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Arrear Sheet" sheetId="21" r:id="rId3"/>
  </sheets>
  <definedNames>
    <definedName name="_xlnm.Print_Area" localSheetId="1">Arrear!$A$1:$AD$34</definedName>
    <definedName name="_xlnm.Print_Area" localSheetId="2">'Unlock Arrear Sheet'!$A$1:$AD$36</definedName>
  </definedNames>
  <calcPr calcId="124519"/>
</workbook>
</file>

<file path=xl/calcChain.xml><?xml version="1.0" encoding="utf-8"?>
<calcChain xmlns="http://schemas.openxmlformats.org/spreadsheetml/2006/main">
  <c r="G30" i="21"/>
  <c r="H11"/>
  <c r="H12" s="1"/>
  <c r="H13" s="1"/>
  <c r="H14" s="1"/>
  <c r="H15" s="1"/>
  <c r="H16" s="1"/>
  <c r="H17" s="1"/>
  <c r="H10"/>
  <c r="C11"/>
  <c r="C12" s="1"/>
  <c r="C10"/>
  <c r="E10" s="1"/>
  <c r="R11"/>
  <c r="S11"/>
  <c r="T11"/>
  <c r="U11"/>
  <c r="V11"/>
  <c r="W11" s="1"/>
  <c r="X11"/>
  <c r="Y11"/>
  <c r="Z11" s="1"/>
  <c r="R12"/>
  <c r="S12"/>
  <c r="T12"/>
  <c r="U12"/>
  <c r="V12"/>
  <c r="W12" s="1"/>
  <c r="X12"/>
  <c r="Y12"/>
  <c r="Z12"/>
  <c r="R13"/>
  <c r="S13"/>
  <c r="T13" s="1"/>
  <c r="U13"/>
  <c r="V13"/>
  <c r="W13"/>
  <c r="X13"/>
  <c r="Y13"/>
  <c r="Z13" s="1"/>
  <c r="R14"/>
  <c r="S14"/>
  <c r="T14"/>
  <c r="U14"/>
  <c r="V14"/>
  <c r="W14" s="1"/>
  <c r="X14"/>
  <c r="X15" s="1"/>
  <c r="Y14"/>
  <c r="Z14"/>
  <c r="R15"/>
  <c r="S15"/>
  <c r="T15" s="1"/>
  <c r="U15"/>
  <c r="U16" s="1"/>
  <c r="Y15"/>
  <c r="Y16" s="1"/>
  <c r="Y17" s="1"/>
  <c r="R16"/>
  <c r="R17" s="1"/>
  <c r="Y10"/>
  <c r="X10"/>
  <c r="V10"/>
  <c r="U10"/>
  <c r="R10"/>
  <c r="S10"/>
  <c r="J10"/>
  <c r="J9"/>
  <c r="E11"/>
  <c r="E9"/>
  <c r="AC19"/>
  <c r="AB19"/>
  <c r="AA19"/>
  <c r="Y19"/>
  <c r="X19"/>
  <c r="Z19" s="1"/>
  <c r="Z18"/>
  <c r="W18"/>
  <c r="T18"/>
  <c r="AB18" s="1"/>
  <c r="P18"/>
  <c r="O18"/>
  <c r="M18"/>
  <c r="L18"/>
  <c r="I18"/>
  <c r="G18"/>
  <c r="Q18" s="1"/>
  <c r="D18"/>
  <c r="N18" s="1"/>
  <c r="F9"/>
  <c r="D9"/>
  <c r="AI1"/>
  <c r="AH1"/>
  <c r="AB18" i="2"/>
  <c r="AC18"/>
  <c r="AB19"/>
  <c r="AC19"/>
  <c r="AC17"/>
  <c r="T18"/>
  <c r="W18"/>
  <c r="Z18"/>
  <c r="D18"/>
  <c r="G18" s="1"/>
  <c r="I18"/>
  <c r="M18"/>
  <c r="O18"/>
  <c r="X19"/>
  <c r="Z19" s="1"/>
  <c r="Y19"/>
  <c r="AA19"/>
  <c r="AI1"/>
  <c r="L3"/>
  <c r="C9"/>
  <c r="R9" s="1"/>
  <c r="H9"/>
  <c r="J9" s="1"/>
  <c r="AH1"/>
  <c r="C10" s="1"/>
  <c r="T3"/>
  <c r="A2"/>
  <c r="E12" i="21" l="1"/>
  <c r="C13"/>
  <c r="K13" s="1"/>
  <c r="U17"/>
  <c r="X16"/>
  <c r="Z15"/>
  <c r="S16"/>
  <c r="V15"/>
  <c r="AC18"/>
  <c r="AA18"/>
  <c r="G9"/>
  <c r="I9"/>
  <c r="N9" s="1"/>
  <c r="K9"/>
  <c r="M9"/>
  <c r="D10"/>
  <c r="F10"/>
  <c r="M10"/>
  <c r="Z10"/>
  <c r="K11"/>
  <c r="D12"/>
  <c r="F12"/>
  <c r="G12" s="1"/>
  <c r="L9"/>
  <c r="P9"/>
  <c r="G10"/>
  <c r="K10"/>
  <c r="D11"/>
  <c r="F11"/>
  <c r="P11" s="1"/>
  <c r="K12"/>
  <c r="D13"/>
  <c r="F13"/>
  <c r="K9" i="2"/>
  <c r="N18"/>
  <c r="L18"/>
  <c r="Q18" s="1"/>
  <c r="P18"/>
  <c r="X9"/>
  <c r="S9"/>
  <c r="Y9"/>
  <c r="G30"/>
  <c r="F9"/>
  <c r="M9"/>
  <c r="E9"/>
  <c r="D9"/>
  <c r="I9"/>
  <c r="V9" s="1"/>
  <c r="H10"/>
  <c r="G13" i="21" l="1"/>
  <c r="G11"/>
  <c r="C14"/>
  <c r="E13"/>
  <c r="P13"/>
  <c r="W15"/>
  <c r="V16"/>
  <c r="T16"/>
  <c r="S17"/>
  <c r="T17" s="1"/>
  <c r="Z16"/>
  <c r="X17"/>
  <c r="Z17" s="1"/>
  <c r="Q9"/>
  <c r="P10"/>
  <c r="Y20"/>
  <c r="S20"/>
  <c r="X20"/>
  <c r="R20"/>
  <c r="T9"/>
  <c r="J11"/>
  <c r="I10"/>
  <c r="W10"/>
  <c r="U20"/>
  <c r="W9"/>
  <c r="O9"/>
  <c r="O10"/>
  <c r="P12"/>
  <c r="T10"/>
  <c r="N10"/>
  <c r="Z9"/>
  <c r="Z20" s="1"/>
  <c r="P9" i="2"/>
  <c r="Z9"/>
  <c r="AA18"/>
  <c r="X10"/>
  <c r="Y10"/>
  <c r="U9"/>
  <c r="T9"/>
  <c r="L9"/>
  <c r="O9"/>
  <c r="R10"/>
  <c r="S10"/>
  <c r="N9"/>
  <c r="G9"/>
  <c r="H11"/>
  <c r="J10"/>
  <c r="I10"/>
  <c r="V10" s="1"/>
  <c r="K10"/>
  <c r="F10"/>
  <c r="M10"/>
  <c r="E10"/>
  <c r="C11"/>
  <c r="D10"/>
  <c r="N10" s="1"/>
  <c r="E14" i="21" l="1"/>
  <c r="C15"/>
  <c r="D14"/>
  <c r="F14"/>
  <c r="K14"/>
  <c r="V17"/>
  <c r="W17" s="1"/>
  <c r="W16"/>
  <c r="L10"/>
  <c r="Q10" s="1"/>
  <c r="J12"/>
  <c r="I11"/>
  <c r="L11"/>
  <c r="Q11" s="1"/>
  <c r="M11"/>
  <c r="T20"/>
  <c r="AA9"/>
  <c r="Z10" i="2"/>
  <c r="X11"/>
  <c r="Y11"/>
  <c r="Q9"/>
  <c r="AA9" s="1"/>
  <c r="W9"/>
  <c r="O10"/>
  <c r="L10"/>
  <c r="U10"/>
  <c r="W10" s="1"/>
  <c r="T10"/>
  <c r="R11"/>
  <c r="S11"/>
  <c r="P10"/>
  <c r="H12"/>
  <c r="I12" s="1"/>
  <c r="J11"/>
  <c r="I11"/>
  <c r="V11" s="1"/>
  <c r="M11"/>
  <c r="E11"/>
  <c r="K11"/>
  <c r="F11"/>
  <c r="G10"/>
  <c r="C12"/>
  <c r="D11"/>
  <c r="U11" s="1"/>
  <c r="P14" i="21" l="1"/>
  <c r="C16"/>
  <c r="E15"/>
  <c r="K15"/>
  <c r="D15"/>
  <c r="G15" s="1"/>
  <c r="F15"/>
  <c r="P15" s="1"/>
  <c r="G14"/>
  <c r="AA11"/>
  <c r="AB11" s="1"/>
  <c r="AC11" s="1"/>
  <c r="J13"/>
  <c r="I12"/>
  <c r="N12" s="1"/>
  <c r="O12"/>
  <c r="M12"/>
  <c r="AA10"/>
  <c r="AB10" s="1"/>
  <c r="AC10" s="1"/>
  <c r="N11"/>
  <c r="O11"/>
  <c r="AB9"/>
  <c r="D12" i="2"/>
  <c r="E12"/>
  <c r="Q10"/>
  <c r="AA10" s="1"/>
  <c r="AB10" s="1"/>
  <c r="Z11"/>
  <c r="AB9"/>
  <c r="AC9" s="1"/>
  <c r="X12"/>
  <c r="Y12"/>
  <c r="O11"/>
  <c r="W11"/>
  <c r="T11"/>
  <c r="R12"/>
  <c r="S12"/>
  <c r="P11"/>
  <c r="N11"/>
  <c r="L11"/>
  <c r="K12"/>
  <c r="F12"/>
  <c r="G12" s="1"/>
  <c r="M12"/>
  <c r="H13"/>
  <c r="J12"/>
  <c r="V12"/>
  <c r="G11"/>
  <c r="C13"/>
  <c r="R13" s="1"/>
  <c r="E16" i="21" l="1"/>
  <c r="C17"/>
  <c r="F16"/>
  <c r="D16"/>
  <c r="G16"/>
  <c r="K16"/>
  <c r="C20"/>
  <c r="L12"/>
  <c r="Q12" s="1"/>
  <c r="J14"/>
  <c r="I13"/>
  <c r="L13"/>
  <c r="M13"/>
  <c r="AC9"/>
  <c r="AA12"/>
  <c r="H14" i="2"/>
  <c r="I14" s="1"/>
  <c r="I13"/>
  <c r="Q11"/>
  <c r="AA11" s="1"/>
  <c r="D13"/>
  <c r="C14"/>
  <c r="H15"/>
  <c r="I15" s="1"/>
  <c r="J14"/>
  <c r="AB11"/>
  <c r="X13"/>
  <c r="Y13"/>
  <c r="Z12"/>
  <c r="U12"/>
  <c r="W12" s="1"/>
  <c r="AC10"/>
  <c r="U13"/>
  <c r="T12"/>
  <c r="S13"/>
  <c r="L12"/>
  <c r="Q12" s="1"/>
  <c r="AA12" s="1"/>
  <c r="N12"/>
  <c r="O12"/>
  <c r="P12"/>
  <c r="M13"/>
  <c r="E13"/>
  <c r="K13"/>
  <c r="F13"/>
  <c r="J13"/>
  <c r="P16" i="21" l="1"/>
  <c r="E17"/>
  <c r="E20" s="1"/>
  <c r="K17"/>
  <c r="D17"/>
  <c r="G17" s="1"/>
  <c r="G20" s="1"/>
  <c r="F17"/>
  <c r="K20"/>
  <c r="D20"/>
  <c r="Q13"/>
  <c r="J15"/>
  <c r="I14"/>
  <c r="N14" s="1"/>
  <c r="O14"/>
  <c r="M14"/>
  <c r="AB12"/>
  <c r="N13"/>
  <c r="O13"/>
  <c r="V14" i="2"/>
  <c r="AC11"/>
  <c r="D14"/>
  <c r="R14"/>
  <c r="H16"/>
  <c r="J15"/>
  <c r="V15"/>
  <c r="X14"/>
  <c r="Y14"/>
  <c r="K14"/>
  <c r="M14"/>
  <c r="F14"/>
  <c r="P14" s="1"/>
  <c r="C15"/>
  <c r="D15" s="1"/>
  <c r="E14"/>
  <c r="O14" s="1"/>
  <c r="S14"/>
  <c r="L14"/>
  <c r="V13"/>
  <c r="W13" s="1"/>
  <c r="AB12"/>
  <c r="AC12" s="1"/>
  <c r="Z13"/>
  <c r="T13"/>
  <c r="P13"/>
  <c r="O13"/>
  <c r="L13"/>
  <c r="G13"/>
  <c r="N13"/>
  <c r="P20" i="21" l="1"/>
  <c r="P17"/>
  <c r="F20"/>
  <c r="L14"/>
  <c r="Q14" s="1"/>
  <c r="AA14" s="1"/>
  <c r="AB14" s="1"/>
  <c r="AC14" s="1"/>
  <c r="J16"/>
  <c r="I15"/>
  <c r="L15" s="1"/>
  <c r="Q15" s="1"/>
  <c r="M15"/>
  <c r="AA13"/>
  <c r="AC12"/>
  <c r="I16" i="2"/>
  <c r="H17"/>
  <c r="Z14"/>
  <c r="N14"/>
  <c r="J16"/>
  <c r="V16"/>
  <c r="H20"/>
  <c r="T14"/>
  <c r="U14"/>
  <c r="C16"/>
  <c r="Y15"/>
  <c r="S15"/>
  <c r="K15"/>
  <c r="F15"/>
  <c r="M15"/>
  <c r="N15"/>
  <c r="E15"/>
  <c r="O15" s="1"/>
  <c r="R15"/>
  <c r="X15"/>
  <c r="L15"/>
  <c r="G14"/>
  <c r="Q14" s="1"/>
  <c r="Q13"/>
  <c r="AA13" s="1"/>
  <c r="AA15" i="21" l="1"/>
  <c r="AB15" s="1"/>
  <c r="AC15" s="1"/>
  <c r="J17"/>
  <c r="I16"/>
  <c r="N16" s="1"/>
  <c r="O16"/>
  <c r="M16"/>
  <c r="AB13"/>
  <c r="N15"/>
  <c r="O15"/>
  <c r="D16" i="2"/>
  <c r="C17"/>
  <c r="I17"/>
  <c r="I20" s="1"/>
  <c r="J17"/>
  <c r="J20" s="1"/>
  <c r="V17"/>
  <c r="V20" s="1"/>
  <c r="C20"/>
  <c r="P15"/>
  <c r="T15"/>
  <c r="Y16"/>
  <c r="S16"/>
  <c r="K16"/>
  <c r="M16"/>
  <c r="F16"/>
  <c r="P16" s="1"/>
  <c r="E16"/>
  <c r="X16"/>
  <c r="Z16" s="1"/>
  <c r="L16"/>
  <c r="N16"/>
  <c r="R16"/>
  <c r="T16" s="1"/>
  <c r="W14"/>
  <c r="AA14"/>
  <c r="Z15"/>
  <c r="G15"/>
  <c r="U15"/>
  <c r="W15" s="1"/>
  <c r="AB13"/>
  <c r="L16" i="21" l="1"/>
  <c r="Q16" s="1"/>
  <c r="AA16" s="1"/>
  <c r="AB16" s="1"/>
  <c r="AC16" s="1"/>
  <c r="I17"/>
  <c r="L17" s="1"/>
  <c r="M17"/>
  <c r="M20" s="1"/>
  <c r="H20"/>
  <c r="AC13"/>
  <c r="U17" i="2"/>
  <c r="W17" s="1"/>
  <c r="K17"/>
  <c r="Y17"/>
  <c r="F17"/>
  <c r="S17"/>
  <c r="S20" s="1"/>
  <c r="E17"/>
  <c r="O17" s="1"/>
  <c r="R17"/>
  <c r="T17" s="1"/>
  <c r="M17"/>
  <c r="M20" s="1"/>
  <c r="D17"/>
  <c r="L17"/>
  <c r="L20" s="1"/>
  <c r="X17"/>
  <c r="K20"/>
  <c r="Y20"/>
  <c r="AB14"/>
  <c r="AC14" s="1"/>
  <c r="Q15"/>
  <c r="O16"/>
  <c r="O20" s="1"/>
  <c r="E20"/>
  <c r="T20"/>
  <c r="G16"/>
  <c r="Q16" s="1"/>
  <c r="U16"/>
  <c r="W16" s="1"/>
  <c r="W20" s="1"/>
  <c r="R20"/>
  <c r="AC13"/>
  <c r="Q17" i="21" l="1"/>
  <c r="L20"/>
  <c r="O17"/>
  <c r="O20" s="1"/>
  <c r="J20"/>
  <c r="N17"/>
  <c r="N20" s="1"/>
  <c r="I20"/>
  <c r="V20"/>
  <c r="Z17" i="2"/>
  <c r="Z20" s="1"/>
  <c r="X20"/>
  <c r="N17"/>
  <c r="N20" s="1"/>
  <c r="D20"/>
  <c r="P17"/>
  <c r="P20" s="1"/>
  <c r="F20"/>
  <c r="G17"/>
  <c r="Q17" s="1"/>
  <c r="AA17" s="1"/>
  <c r="AA16"/>
  <c r="AB16" s="1"/>
  <c r="AC16" s="1"/>
  <c r="AA15"/>
  <c r="Q20"/>
  <c r="U20"/>
  <c r="G20"/>
  <c r="AA17" i="21" l="1"/>
  <c r="AA20" s="1"/>
  <c r="Q20"/>
  <c r="W20"/>
  <c r="AB17" i="2"/>
  <c r="AA20"/>
  <c r="AB15"/>
  <c r="AB17" i="21" l="1"/>
  <c r="AB20" s="1"/>
  <c r="AB20" i="2"/>
  <c r="AC15"/>
  <c r="AC20" s="1"/>
  <c r="L21" s="1"/>
  <c r="AC17" i="21" l="1"/>
  <c r="AC20" s="1"/>
</calcChain>
</file>

<file path=xl/sharedStrings.xml><?xml version="1.0" encoding="utf-8"?>
<sst xmlns="http://schemas.openxmlformats.org/spreadsheetml/2006/main" count="144" uniqueCount="65">
  <si>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</si>
  <si>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</si>
  <si>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</si>
  <si>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</si>
  <si>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</si>
  <si>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</si>
  <si>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</si>
  <si>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</si>
  <si>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</si>
  <si>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</si>
  <si>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</si>
  <si>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</si>
  <si>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</si>
  <si>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</si>
  <si>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</si>
  <si>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</si>
  <si>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</si>
  <si>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</si>
  <si>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</si>
  <si>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</si>
  <si>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</si>
  <si>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</si>
  <si>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</si>
  <si>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</si>
  <si>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</si>
  <si>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</si>
  <si>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</si>
  <si>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</si>
  <si>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</si>
  <si>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</si>
  <si>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</si>
  <si>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</si>
  <si>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</si>
  <si>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</si>
  <si>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</si>
  <si>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</si>
  <si>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</si>
  <si>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</si>
  <si>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</si>
  <si>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</si>
  <si>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</si>
  <si>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</si>
  <si>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</si>
  <si>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</si>
  <si>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</si>
  <si>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</si>
  <si>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</si>
  <si>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</si>
  <si>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</si>
  <si>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</si>
  <si>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</si>
  <si>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</si>
  <si>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</si>
  <si>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</si>
  <si>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</si>
  <si>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</si>
  <si>
    <t>RPMF</t>
  </si>
  <si>
    <t>Income Tax / TDS</t>
  </si>
  <si>
    <t>PL SUR</t>
  </si>
  <si>
    <t>Government Senior Secondry School Dhurasani , Pali</t>
  </si>
  <si>
    <t>Teacher</t>
  </si>
  <si>
    <t>heera lal jat</t>
  </si>
  <si>
    <t>harderam</t>
  </si>
  <si>
    <t>HEERA LAL JAT</t>
  </si>
  <si>
    <t>TEACHER</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</si>
</sst>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1">
    <xf numFmtId="0" fontId="0" fillId="0" borderId="0"/>
  </cellStyleXfs>
  <cellXfs count="103">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textRotation="90"/>
      <protection hidden="1"/>
    </xf>
    <xf numFmtId="0" fontId="23" fillId="0" borderId="0" xfId="0" applyFont="1" applyAlignment="1" applyProtection="1">
      <alignment horizontal="left" vertical="center"/>
      <protection hidden="1"/>
    </xf>
    <xf numFmtId="0" fontId="25" fillId="0" borderId="1" xfId="0" applyFont="1" applyBorder="1" applyAlignment="1" applyProtection="1">
      <alignment horizontal="center" vertical="center"/>
      <protection locked="0" hidden="1"/>
    </xf>
    <xf numFmtId="0" fontId="25" fillId="4"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hidden="1"/>
    </xf>
    <xf numFmtId="0" fontId="17" fillId="0" borderId="1" xfId="0" applyFont="1" applyBorder="1" applyProtection="1">
      <protection locked="0" hidden="1"/>
    </xf>
    <xf numFmtId="0" fontId="23"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4" fillId="0" borderId="1" xfId="0" applyFont="1" applyBorder="1" applyAlignment="1" applyProtection="1">
      <alignment horizontal="center" vertical="center" textRotation="90"/>
      <protection hidden="1"/>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0" fillId="0" borderId="4" xfId="0" applyFont="1" applyBorder="1" applyAlignment="1" applyProtection="1">
      <alignment horizontal="right" vertical="center"/>
      <protection hidden="1"/>
    </xf>
    <xf numFmtId="0" fontId="5" fillId="0" borderId="1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3"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xf numFmtId="0" fontId="25" fillId="4" borderId="1" xfId="0" applyFont="1" applyFill="1" applyBorder="1" applyAlignment="1" applyProtection="1">
      <alignment horizontal="center" vertical="center"/>
      <protection locked="0"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3</xdr:row>
      <xdr:rowOff>9525</xdr:rowOff>
    </xdr:from>
    <xdr:to>
      <xdr:col>21</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342899</xdr:colOff>
      <xdr:row>3</xdr:row>
      <xdr:rowOff>57150</xdr:rowOff>
    </xdr:from>
    <xdr:to>
      <xdr:col>39</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65"/>
  <sheetViews>
    <sheetView tabSelected="1" workbookViewId="0">
      <pane xSplit="4" ySplit="10" topLeftCell="E11" activePane="bottomRight" state="frozen"/>
      <selection pane="topRight" activeCell="E1" sqref="E1"/>
      <selection pane="bottomLeft" activeCell="A11" sqref="A11"/>
      <selection pane="bottomRight" activeCell="K15" sqref="K15"/>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3" width="10.7109375" style="13" customWidth="1"/>
    <col min="14" max="14" width="15.7109375" style="13" customWidth="1"/>
    <col min="15" max="25" width="9.140625" style="13"/>
    <col min="26" max="27" width="0" style="13" hidden="1" customWidth="1"/>
    <col min="28" max="16384" width="9.140625" style="13"/>
  </cols>
  <sheetData>
    <row r="1" spans="1:26" ht="18.75">
      <c r="A1" s="44"/>
      <c r="B1" s="30"/>
      <c r="C1" s="69" t="s">
        <v>29</v>
      </c>
      <c r="D1" s="69"/>
      <c r="E1" s="69"/>
      <c r="F1" s="30"/>
      <c r="G1" s="30"/>
      <c r="H1" s="30"/>
      <c r="I1" s="30"/>
      <c r="J1" s="30"/>
      <c r="K1" s="30"/>
      <c r="L1" s="30"/>
      <c r="M1" s="30"/>
      <c r="N1" s="30"/>
      <c r="O1" s="30"/>
      <c r="P1" s="30"/>
      <c r="Q1" s="30"/>
      <c r="R1" s="30"/>
      <c r="S1" s="30"/>
      <c r="T1" s="30"/>
      <c r="U1" s="30"/>
      <c r="V1" s="30"/>
      <c r="W1" s="30"/>
      <c r="Z1" s="13" t="s">
        <v>42</v>
      </c>
    </row>
    <row r="2" spans="1:26" ht="16.5" thickBot="1">
      <c r="A2" s="45"/>
      <c r="B2" s="31"/>
      <c r="C2" s="31"/>
      <c r="D2" s="31"/>
      <c r="E2" s="31"/>
      <c r="F2" s="31"/>
      <c r="G2" s="31"/>
      <c r="H2" s="31"/>
      <c r="I2" s="31"/>
      <c r="J2" s="31"/>
      <c r="K2" s="31"/>
      <c r="L2" s="31"/>
      <c r="M2" s="31"/>
      <c r="N2" s="31"/>
      <c r="O2" s="31"/>
      <c r="P2" s="31"/>
      <c r="Q2" s="30"/>
      <c r="R2" s="30"/>
      <c r="S2" s="30"/>
      <c r="T2" s="30"/>
      <c r="U2" s="30"/>
      <c r="V2" s="30"/>
      <c r="W2" s="30"/>
      <c r="Z2" s="13" t="s">
        <v>13</v>
      </c>
    </row>
    <row r="3" spans="1:26" ht="20.25" thickTop="1" thickBot="1">
      <c r="A3" s="67" t="s">
        <v>21</v>
      </c>
      <c r="B3" s="67"/>
      <c r="C3" s="68" t="s">
        <v>59</v>
      </c>
      <c r="D3" s="68"/>
      <c r="E3" s="68"/>
      <c r="F3" s="68"/>
      <c r="G3" s="68"/>
      <c r="H3" s="32"/>
      <c r="I3" s="32"/>
      <c r="J3" s="32"/>
      <c r="K3" s="32"/>
      <c r="L3" s="32"/>
      <c r="M3" s="32"/>
      <c r="N3" s="32"/>
      <c r="O3" s="32"/>
      <c r="P3" s="32"/>
      <c r="Q3" s="33"/>
      <c r="R3" s="33"/>
      <c r="S3" s="33"/>
      <c r="T3" s="33"/>
      <c r="U3" s="33"/>
      <c r="V3" s="30"/>
      <c r="W3" s="30"/>
    </row>
    <row r="4" spans="1:26" ht="20.25" thickTop="1" thickBot="1">
      <c r="A4" s="67" t="s">
        <v>31</v>
      </c>
      <c r="B4" s="67"/>
      <c r="C4" s="39">
        <v>10</v>
      </c>
      <c r="D4" s="34"/>
      <c r="E4" s="67" t="s">
        <v>32</v>
      </c>
      <c r="F4" s="67"/>
      <c r="G4" s="40">
        <v>8</v>
      </c>
      <c r="H4" s="32"/>
      <c r="I4" s="32"/>
      <c r="J4" s="32"/>
      <c r="K4" s="32"/>
      <c r="L4" s="32"/>
      <c r="M4" s="32"/>
      <c r="N4" s="32"/>
      <c r="O4" s="32"/>
      <c r="P4" s="32"/>
      <c r="Q4" s="33"/>
      <c r="R4" s="33"/>
      <c r="S4" s="33"/>
      <c r="T4" s="33"/>
      <c r="U4" s="33"/>
      <c r="V4" s="30"/>
      <c r="W4" s="30"/>
    </row>
    <row r="5" spans="1:26" ht="20.25" thickTop="1" thickBot="1">
      <c r="A5" s="67" t="s">
        <v>35</v>
      </c>
      <c r="B5" s="67"/>
      <c r="C5" s="39">
        <v>0</v>
      </c>
      <c r="D5" s="34"/>
      <c r="E5" s="67" t="s">
        <v>36</v>
      </c>
      <c r="F5" s="67"/>
      <c r="G5" s="39">
        <v>0</v>
      </c>
      <c r="H5" s="32"/>
      <c r="I5" s="32"/>
      <c r="J5" s="32"/>
      <c r="K5" s="32"/>
      <c r="L5" s="32"/>
      <c r="M5" s="32"/>
      <c r="N5" s="32"/>
      <c r="O5" s="32"/>
      <c r="P5" s="32"/>
      <c r="Q5" s="33"/>
      <c r="R5" s="33"/>
      <c r="S5" s="33"/>
      <c r="T5" s="33"/>
      <c r="U5" s="33"/>
      <c r="V5" s="30"/>
      <c r="W5" s="30"/>
    </row>
    <row r="6" spans="1:26" ht="17.25" thickTop="1" thickBot="1">
      <c r="A6" s="45"/>
      <c r="B6" s="31"/>
      <c r="C6" s="31"/>
      <c r="D6" s="31"/>
      <c r="E6" s="31"/>
      <c r="F6" s="31"/>
      <c r="G6" s="31"/>
      <c r="H6" s="31"/>
      <c r="I6" s="31"/>
      <c r="J6" s="31"/>
      <c r="K6" s="31"/>
      <c r="L6" s="31"/>
      <c r="M6" s="31"/>
      <c r="N6" s="31"/>
      <c r="O6" s="31"/>
      <c r="P6" s="31"/>
      <c r="Q6" s="30"/>
      <c r="R6" s="30"/>
      <c r="S6" s="30"/>
      <c r="T6" s="30"/>
      <c r="U6" s="30"/>
      <c r="V6" s="30"/>
      <c r="W6" s="30"/>
    </row>
    <row r="7" spans="1:26" s="37" customFormat="1" ht="64.5" customHeight="1" thickTop="1" thickBot="1">
      <c r="A7" s="70" t="s">
        <v>22</v>
      </c>
      <c r="B7" s="70" t="s">
        <v>23</v>
      </c>
      <c r="C7" s="70" t="s">
        <v>24</v>
      </c>
      <c r="D7" s="70" t="s">
        <v>25</v>
      </c>
      <c r="E7" s="70" t="s">
        <v>26</v>
      </c>
      <c r="F7" s="70" t="s">
        <v>27</v>
      </c>
      <c r="G7" s="70" t="s">
        <v>38</v>
      </c>
      <c r="H7" s="70"/>
      <c r="I7" s="71" t="s">
        <v>39</v>
      </c>
      <c r="J7" s="72"/>
      <c r="K7" s="73"/>
      <c r="L7" s="70" t="s">
        <v>56</v>
      </c>
      <c r="M7" s="70"/>
      <c r="N7" s="70" t="s">
        <v>28</v>
      </c>
      <c r="O7" s="35"/>
      <c r="P7" s="35"/>
      <c r="Q7" s="36"/>
      <c r="R7" s="36"/>
      <c r="S7" s="36"/>
      <c r="T7" s="36"/>
      <c r="U7" s="36"/>
      <c r="V7" s="36"/>
      <c r="W7" s="36"/>
    </row>
    <row r="8" spans="1:26" s="37" customFormat="1" ht="33" customHeight="1" thickTop="1" thickBot="1">
      <c r="A8" s="70"/>
      <c r="B8" s="70"/>
      <c r="C8" s="70"/>
      <c r="D8" s="70"/>
      <c r="E8" s="70"/>
      <c r="F8" s="70"/>
      <c r="G8" s="38" t="s">
        <v>40</v>
      </c>
      <c r="H8" s="38" t="s">
        <v>41</v>
      </c>
      <c r="I8" s="38" t="s">
        <v>39</v>
      </c>
      <c r="J8" s="38" t="s">
        <v>40</v>
      </c>
      <c r="K8" s="38" t="s">
        <v>41</v>
      </c>
      <c r="L8" s="55" t="s">
        <v>40</v>
      </c>
      <c r="M8" s="55" t="s">
        <v>41</v>
      </c>
      <c r="N8" s="70"/>
      <c r="O8" s="35"/>
      <c r="P8" s="35"/>
      <c r="Q8" s="36"/>
      <c r="R8" s="36"/>
      <c r="S8" s="36"/>
      <c r="T8" s="36"/>
      <c r="U8" s="36"/>
      <c r="V8" s="36"/>
      <c r="W8" s="36"/>
    </row>
    <row r="9" spans="1:26" s="42" customFormat="1" ht="21" customHeight="1" thickTop="1">
      <c r="A9" s="46">
        <v>1</v>
      </c>
      <c r="B9" s="47" t="s">
        <v>61</v>
      </c>
      <c r="C9" s="47" t="s">
        <v>60</v>
      </c>
      <c r="D9" s="48">
        <v>9</v>
      </c>
      <c r="E9" s="46">
        <v>57800</v>
      </c>
      <c r="F9" s="46">
        <v>21910</v>
      </c>
      <c r="G9" s="46"/>
      <c r="H9" s="49"/>
      <c r="I9" s="49" t="s">
        <v>42</v>
      </c>
      <c r="J9" s="49"/>
      <c r="K9" s="49"/>
      <c r="L9" s="49"/>
      <c r="M9" s="49"/>
      <c r="N9" s="49"/>
      <c r="O9" s="41"/>
      <c r="P9" s="41"/>
      <c r="Q9" s="41"/>
      <c r="R9" s="41"/>
      <c r="S9" s="41"/>
      <c r="T9" s="74" t="s">
        <v>55</v>
      </c>
      <c r="U9" s="74"/>
      <c r="V9" s="74"/>
      <c r="W9" s="41"/>
    </row>
    <row r="10" spans="1:26" s="42" customFormat="1" ht="21" customHeight="1">
      <c r="A10" s="50">
        <v>2</v>
      </c>
      <c r="B10" s="51" t="s">
        <v>62</v>
      </c>
      <c r="C10" s="51" t="s">
        <v>60</v>
      </c>
      <c r="D10" s="52">
        <v>1</v>
      </c>
      <c r="E10" s="50">
        <v>53900</v>
      </c>
      <c r="F10" s="50">
        <v>20550</v>
      </c>
      <c r="G10" s="50"/>
      <c r="H10" s="53"/>
      <c r="I10" s="49" t="s">
        <v>42</v>
      </c>
      <c r="J10" s="53"/>
      <c r="K10" s="53"/>
      <c r="L10" s="53"/>
      <c r="M10" s="53"/>
      <c r="N10" s="53"/>
      <c r="O10" s="41"/>
      <c r="P10" s="41"/>
      <c r="Q10" s="41"/>
      <c r="R10" s="41"/>
      <c r="S10" s="41"/>
      <c r="T10" s="74"/>
      <c r="U10" s="74"/>
      <c r="V10" s="74"/>
      <c r="W10" s="41"/>
    </row>
    <row r="11" spans="1:26" s="42" customFormat="1" ht="21" customHeight="1">
      <c r="A11" s="50">
        <v>3</v>
      </c>
      <c r="B11" s="47"/>
      <c r="C11" s="47" t="s">
        <v>60</v>
      </c>
      <c r="D11" s="48">
        <v>1</v>
      </c>
      <c r="E11" s="46">
        <v>36900</v>
      </c>
      <c r="F11" s="46">
        <v>14110</v>
      </c>
      <c r="G11" s="46"/>
      <c r="H11" s="49"/>
      <c r="I11" s="49" t="s">
        <v>13</v>
      </c>
      <c r="J11" s="53"/>
      <c r="K11" s="53"/>
      <c r="L11" s="53"/>
      <c r="M11" s="53"/>
      <c r="N11" s="53"/>
      <c r="O11" s="41"/>
      <c r="P11" s="41"/>
      <c r="Q11" s="41"/>
      <c r="R11" s="41"/>
      <c r="S11" s="41"/>
      <c r="T11" s="43"/>
      <c r="U11" s="43"/>
      <c r="V11" s="43"/>
      <c r="W11" s="41"/>
    </row>
    <row r="12" spans="1:26" s="42" customFormat="1" ht="21" customHeight="1">
      <c r="A12" s="50">
        <v>4</v>
      </c>
      <c r="B12" s="51"/>
      <c r="C12" s="51" t="s">
        <v>60</v>
      </c>
      <c r="D12" s="52">
        <v>1</v>
      </c>
      <c r="E12" s="46">
        <v>23700</v>
      </c>
      <c r="F12" s="46">
        <v>13200</v>
      </c>
      <c r="G12" s="46"/>
      <c r="H12" s="49"/>
      <c r="I12" s="49" t="s">
        <v>13</v>
      </c>
      <c r="J12" s="53"/>
      <c r="K12" s="53"/>
      <c r="L12" s="53"/>
      <c r="M12" s="53"/>
      <c r="N12" s="53"/>
      <c r="O12" s="41"/>
      <c r="P12" s="41"/>
      <c r="Q12" s="41"/>
      <c r="R12" s="41"/>
      <c r="S12" s="41"/>
      <c r="T12" s="41"/>
      <c r="U12" s="41"/>
      <c r="V12" s="41"/>
      <c r="W12" s="41"/>
    </row>
    <row r="13" spans="1:26" s="42" customFormat="1" ht="21" customHeight="1">
      <c r="A13" s="50">
        <v>5</v>
      </c>
      <c r="B13" s="47"/>
      <c r="C13" s="47"/>
      <c r="D13" s="48"/>
      <c r="E13" s="50"/>
      <c r="F13" s="50"/>
      <c r="G13" s="50"/>
      <c r="H13" s="53"/>
      <c r="I13" s="49"/>
      <c r="J13" s="53"/>
      <c r="K13" s="53"/>
      <c r="L13" s="53"/>
      <c r="M13" s="53"/>
      <c r="N13" s="53"/>
      <c r="O13" s="41"/>
      <c r="P13" s="41"/>
      <c r="Q13" s="41"/>
      <c r="R13" s="41"/>
      <c r="S13" s="41"/>
      <c r="T13" s="41"/>
      <c r="U13" s="41"/>
      <c r="V13" s="41"/>
      <c r="W13" s="41"/>
    </row>
    <row r="14" spans="1:26" s="42" customFormat="1" ht="21" customHeight="1">
      <c r="A14" s="50">
        <v>6</v>
      </c>
      <c r="B14" s="51"/>
      <c r="C14" s="51"/>
      <c r="D14" s="52"/>
      <c r="E14" s="50"/>
      <c r="F14" s="50"/>
      <c r="G14" s="50"/>
      <c r="H14" s="53"/>
      <c r="I14" s="49"/>
      <c r="J14" s="53"/>
      <c r="K14" s="53"/>
      <c r="L14" s="53"/>
      <c r="M14" s="53"/>
      <c r="N14" s="53"/>
      <c r="O14" s="41"/>
      <c r="P14" s="41"/>
      <c r="Q14" s="41"/>
      <c r="R14" s="41"/>
      <c r="S14" s="41"/>
      <c r="T14" s="41"/>
      <c r="U14" s="41"/>
      <c r="V14" s="41"/>
      <c r="W14" s="41"/>
    </row>
    <row r="15" spans="1:26" s="42" customFormat="1" ht="21" customHeight="1">
      <c r="A15" s="50">
        <v>7</v>
      </c>
      <c r="B15" s="51"/>
      <c r="C15" s="51"/>
      <c r="D15" s="52"/>
      <c r="E15" s="50"/>
      <c r="F15" s="50"/>
      <c r="G15" s="50"/>
      <c r="H15" s="53"/>
      <c r="I15" s="49"/>
      <c r="J15" s="53"/>
      <c r="K15" s="53"/>
      <c r="L15" s="53"/>
      <c r="M15" s="53"/>
      <c r="N15" s="53"/>
      <c r="O15" s="41"/>
      <c r="P15" s="41"/>
      <c r="Q15" s="41"/>
      <c r="R15" s="41"/>
      <c r="S15" s="41"/>
      <c r="T15" s="41"/>
      <c r="U15" s="41"/>
      <c r="V15" s="41"/>
      <c r="W15" s="41"/>
    </row>
    <row r="16" spans="1:26" s="42" customFormat="1" ht="21" customHeight="1">
      <c r="A16" s="50">
        <v>8</v>
      </c>
      <c r="B16" s="51"/>
      <c r="C16" s="51"/>
      <c r="D16" s="52"/>
      <c r="E16" s="50"/>
      <c r="F16" s="50"/>
      <c r="G16" s="50"/>
      <c r="H16" s="53"/>
      <c r="I16" s="49"/>
      <c r="J16" s="53"/>
      <c r="K16" s="53"/>
      <c r="L16" s="53"/>
      <c r="M16" s="53"/>
      <c r="N16" s="53"/>
      <c r="O16" s="41"/>
      <c r="P16" s="41"/>
      <c r="Q16" s="41"/>
      <c r="R16" s="41"/>
      <c r="S16" s="41"/>
      <c r="T16" s="41"/>
      <c r="U16" s="41"/>
      <c r="V16" s="41"/>
      <c r="W16" s="41"/>
    </row>
    <row r="17" spans="1:23" s="42" customFormat="1" ht="21" customHeight="1">
      <c r="A17" s="50">
        <v>9</v>
      </c>
      <c r="B17" s="51"/>
      <c r="C17" s="51"/>
      <c r="D17" s="52"/>
      <c r="E17" s="50"/>
      <c r="F17" s="50"/>
      <c r="G17" s="50"/>
      <c r="H17" s="53"/>
      <c r="I17" s="49"/>
      <c r="J17" s="53"/>
      <c r="K17" s="53"/>
      <c r="L17" s="53"/>
      <c r="M17" s="53"/>
      <c r="N17" s="53"/>
      <c r="O17" s="41"/>
      <c r="P17" s="41"/>
      <c r="Q17" s="41"/>
      <c r="R17" s="41"/>
      <c r="S17" s="41"/>
      <c r="T17" s="41"/>
      <c r="U17" s="41"/>
      <c r="V17" s="41"/>
      <c r="W17" s="41"/>
    </row>
    <row r="18" spans="1:23" s="42" customFormat="1" ht="21" customHeight="1">
      <c r="A18" s="50">
        <v>10</v>
      </c>
      <c r="B18" s="51"/>
      <c r="C18" s="51"/>
      <c r="D18" s="52"/>
      <c r="E18" s="50"/>
      <c r="F18" s="50"/>
      <c r="G18" s="50"/>
      <c r="H18" s="53"/>
      <c r="I18" s="49"/>
      <c r="J18" s="53"/>
      <c r="K18" s="53"/>
      <c r="L18" s="53"/>
      <c r="M18" s="53"/>
      <c r="N18" s="53"/>
      <c r="O18" s="41"/>
      <c r="P18" s="41"/>
      <c r="Q18" s="41"/>
      <c r="R18" s="41"/>
      <c r="S18" s="41"/>
      <c r="T18" s="41"/>
      <c r="U18" s="41"/>
      <c r="V18" s="41"/>
      <c r="W18" s="41"/>
    </row>
    <row r="19" spans="1:23" s="42" customFormat="1" ht="21" customHeight="1">
      <c r="A19" s="50">
        <v>11</v>
      </c>
      <c r="B19" s="51"/>
      <c r="C19" s="51"/>
      <c r="D19" s="52"/>
      <c r="E19" s="50"/>
      <c r="F19" s="50"/>
      <c r="G19" s="50"/>
      <c r="H19" s="53"/>
      <c r="I19" s="49"/>
      <c r="J19" s="53"/>
      <c r="K19" s="53"/>
      <c r="L19" s="53"/>
      <c r="M19" s="53"/>
      <c r="N19" s="53"/>
      <c r="O19" s="41"/>
      <c r="P19" s="41"/>
      <c r="Q19" s="41"/>
      <c r="R19" s="41"/>
      <c r="S19" s="41"/>
      <c r="T19" s="41"/>
      <c r="U19" s="41"/>
      <c r="V19" s="41"/>
      <c r="W19" s="41"/>
    </row>
    <row r="20" spans="1:23" s="42" customFormat="1" ht="21" customHeight="1">
      <c r="A20" s="50">
        <v>12</v>
      </c>
      <c r="B20" s="51"/>
      <c r="C20" s="51"/>
      <c r="D20" s="52"/>
      <c r="E20" s="50"/>
      <c r="F20" s="50"/>
      <c r="G20" s="50"/>
      <c r="H20" s="53"/>
      <c r="I20" s="49"/>
      <c r="J20" s="53"/>
      <c r="K20" s="53"/>
      <c r="L20" s="53"/>
      <c r="M20" s="53"/>
      <c r="N20" s="53"/>
      <c r="O20" s="41"/>
      <c r="P20" s="41"/>
      <c r="Q20" s="41"/>
      <c r="R20" s="41"/>
      <c r="S20" s="41"/>
      <c r="T20" s="41"/>
      <c r="U20" s="41"/>
      <c r="V20" s="41"/>
      <c r="W20" s="41"/>
    </row>
    <row r="21" spans="1:23" s="42" customFormat="1" ht="21" customHeight="1">
      <c r="A21" s="50">
        <v>13</v>
      </c>
      <c r="B21" s="51"/>
      <c r="C21" s="51"/>
      <c r="D21" s="52"/>
      <c r="E21" s="50"/>
      <c r="F21" s="50"/>
      <c r="G21" s="50"/>
      <c r="H21" s="53"/>
      <c r="I21" s="49"/>
      <c r="J21" s="53"/>
      <c r="K21" s="53"/>
      <c r="L21" s="53"/>
      <c r="M21" s="53"/>
      <c r="N21" s="53"/>
      <c r="O21" s="41"/>
      <c r="P21" s="41"/>
      <c r="Q21" s="41"/>
      <c r="R21" s="41"/>
      <c r="S21" s="41"/>
      <c r="T21" s="41"/>
      <c r="U21" s="41"/>
      <c r="V21" s="41"/>
      <c r="W21" s="41"/>
    </row>
    <row r="22" spans="1:23" s="42" customFormat="1" ht="21" customHeight="1">
      <c r="A22" s="50">
        <v>14</v>
      </c>
      <c r="B22" s="51"/>
      <c r="C22" s="51"/>
      <c r="D22" s="52"/>
      <c r="E22" s="50"/>
      <c r="F22" s="50"/>
      <c r="G22" s="50"/>
      <c r="H22" s="53"/>
      <c r="I22" s="49"/>
      <c r="J22" s="53"/>
      <c r="K22" s="53"/>
      <c r="L22" s="53"/>
      <c r="M22" s="53"/>
      <c r="N22" s="53"/>
      <c r="O22" s="41"/>
      <c r="P22" s="41"/>
      <c r="Q22" s="41"/>
      <c r="R22" s="41"/>
      <c r="S22" s="41"/>
      <c r="T22" s="41"/>
      <c r="U22" s="41"/>
      <c r="V22" s="41"/>
      <c r="W22" s="41"/>
    </row>
    <row r="23" spans="1:23" s="42" customFormat="1" ht="21" customHeight="1">
      <c r="A23" s="50">
        <v>15</v>
      </c>
      <c r="B23" s="51"/>
      <c r="C23" s="51"/>
      <c r="D23" s="52"/>
      <c r="E23" s="50"/>
      <c r="F23" s="50"/>
      <c r="G23" s="50"/>
      <c r="H23" s="53"/>
      <c r="I23" s="49"/>
      <c r="J23" s="53"/>
      <c r="K23" s="53"/>
      <c r="L23" s="53"/>
      <c r="M23" s="53"/>
      <c r="N23" s="53"/>
      <c r="O23" s="41"/>
      <c r="P23" s="41"/>
      <c r="Q23" s="41"/>
      <c r="R23" s="41"/>
      <c r="S23" s="41"/>
      <c r="T23" s="41"/>
      <c r="U23" s="41"/>
      <c r="V23" s="41"/>
      <c r="W23" s="41"/>
    </row>
    <row r="24" spans="1:23" s="42" customFormat="1" ht="21" customHeight="1">
      <c r="A24" s="50">
        <v>16</v>
      </c>
      <c r="B24" s="51"/>
      <c r="C24" s="51"/>
      <c r="D24" s="52"/>
      <c r="E24" s="50"/>
      <c r="F24" s="50"/>
      <c r="G24" s="50"/>
      <c r="H24" s="53"/>
      <c r="I24" s="49"/>
      <c r="J24" s="53"/>
      <c r="K24" s="53"/>
      <c r="L24" s="53"/>
      <c r="M24" s="53"/>
      <c r="N24" s="53"/>
      <c r="O24" s="41"/>
      <c r="P24" s="41"/>
      <c r="Q24" s="41"/>
      <c r="R24" s="41"/>
      <c r="S24" s="41"/>
      <c r="T24" s="41"/>
      <c r="U24" s="41"/>
      <c r="V24" s="41"/>
      <c r="W24" s="41"/>
    </row>
    <row r="25" spans="1:23" s="42" customFormat="1" ht="21" customHeight="1">
      <c r="A25" s="50">
        <v>17</v>
      </c>
      <c r="B25" s="51"/>
      <c r="C25" s="51"/>
      <c r="D25" s="52"/>
      <c r="E25" s="50"/>
      <c r="F25" s="50"/>
      <c r="G25" s="50"/>
      <c r="H25" s="53"/>
      <c r="I25" s="49"/>
      <c r="J25" s="53"/>
      <c r="K25" s="53"/>
      <c r="L25" s="53"/>
      <c r="M25" s="53"/>
      <c r="N25" s="53"/>
      <c r="O25" s="41"/>
      <c r="P25" s="41"/>
      <c r="Q25" s="41"/>
      <c r="R25" s="41"/>
      <c r="S25" s="41"/>
      <c r="T25" s="41"/>
      <c r="U25" s="41"/>
      <c r="V25" s="41"/>
      <c r="W25" s="41"/>
    </row>
    <row r="26" spans="1:23" s="42" customFormat="1" ht="21" customHeight="1">
      <c r="A26" s="50">
        <v>18</v>
      </c>
      <c r="B26" s="51"/>
      <c r="C26" s="51"/>
      <c r="D26" s="52"/>
      <c r="E26" s="50"/>
      <c r="F26" s="50"/>
      <c r="G26" s="50"/>
      <c r="H26" s="53"/>
      <c r="I26" s="49"/>
      <c r="J26" s="53"/>
      <c r="K26" s="53"/>
      <c r="L26" s="53"/>
      <c r="M26" s="53"/>
      <c r="N26" s="53"/>
      <c r="O26" s="41"/>
      <c r="P26" s="41"/>
      <c r="Q26" s="41"/>
      <c r="R26" s="41"/>
      <c r="S26" s="41"/>
      <c r="T26" s="41"/>
      <c r="U26" s="41"/>
      <c r="V26" s="41"/>
      <c r="W26" s="41"/>
    </row>
    <row r="27" spans="1:23" s="42" customFormat="1" ht="21" customHeight="1">
      <c r="A27" s="50">
        <v>19</v>
      </c>
      <c r="B27" s="51"/>
      <c r="C27" s="51"/>
      <c r="D27" s="52"/>
      <c r="E27" s="50"/>
      <c r="F27" s="50"/>
      <c r="G27" s="50"/>
      <c r="H27" s="53"/>
      <c r="I27" s="49"/>
      <c r="J27" s="53"/>
      <c r="K27" s="53"/>
      <c r="L27" s="53"/>
      <c r="M27" s="53"/>
      <c r="N27" s="53"/>
      <c r="O27" s="41"/>
      <c r="P27" s="41"/>
      <c r="Q27" s="41"/>
      <c r="R27" s="41"/>
      <c r="S27" s="41"/>
      <c r="T27" s="41"/>
      <c r="U27" s="41"/>
      <c r="V27" s="41"/>
      <c r="W27" s="41"/>
    </row>
    <row r="28" spans="1:23" s="42" customFormat="1" ht="21" customHeight="1">
      <c r="A28" s="50">
        <v>20</v>
      </c>
      <c r="B28" s="51"/>
      <c r="C28" s="51"/>
      <c r="D28" s="52"/>
      <c r="E28" s="50"/>
      <c r="F28" s="50"/>
      <c r="G28" s="50"/>
      <c r="H28" s="53"/>
      <c r="I28" s="49"/>
      <c r="J28" s="53"/>
      <c r="K28" s="53"/>
      <c r="L28" s="53"/>
      <c r="M28" s="53"/>
      <c r="N28" s="53"/>
      <c r="O28" s="41"/>
      <c r="P28" s="41"/>
      <c r="Q28" s="41"/>
      <c r="R28" s="41"/>
      <c r="S28" s="41"/>
      <c r="T28" s="41"/>
      <c r="U28" s="41"/>
      <c r="V28" s="41"/>
      <c r="W28" s="41"/>
    </row>
    <row r="29" spans="1:23" s="42" customFormat="1" ht="21" customHeight="1">
      <c r="A29" s="50">
        <v>21</v>
      </c>
      <c r="B29" s="51"/>
      <c r="C29" s="51"/>
      <c r="D29" s="52"/>
      <c r="E29" s="50"/>
      <c r="F29" s="50"/>
      <c r="G29" s="50"/>
      <c r="H29" s="53"/>
      <c r="I29" s="49"/>
      <c r="J29" s="53"/>
      <c r="K29" s="53"/>
      <c r="L29" s="53"/>
      <c r="M29" s="53"/>
      <c r="N29" s="53"/>
      <c r="O29" s="41"/>
      <c r="P29" s="41"/>
      <c r="Q29" s="41"/>
      <c r="R29" s="41"/>
      <c r="S29" s="41"/>
      <c r="T29" s="41"/>
      <c r="U29" s="41"/>
      <c r="V29" s="41"/>
      <c r="W29" s="41"/>
    </row>
    <row r="30" spans="1:23" s="42" customFormat="1" ht="21" customHeight="1">
      <c r="A30" s="50">
        <v>22</v>
      </c>
      <c r="B30" s="51"/>
      <c r="C30" s="51"/>
      <c r="D30" s="52"/>
      <c r="E30" s="50"/>
      <c r="F30" s="50"/>
      <c r="G30" s="50"/>
      <c r="H30" s="53"/>
      <c r="I30" s="49"/>
      <c r="J30" s="53"/>
      <c r="K30" s="53"/>
      <c r="L30" s="53"/>
      <c r="M30" s="53"/>
      <c r="N30" s="53"/>
      <c r="O30" s="41"/>
      <c r="P30" s="41"/>
      <c r="Q30" s="41"/>
      <c r="R30" s="41"/>
      <c r="S30" s="41"/>
      <c r="T30" s="41"/>
      <c r="U30" s="41"/>
      <c r="V30" s="41"/>
      <c r="W30" s="41"/>
    </row>
    <row r="31" spans="1:23" s="42" customFormat="1" ht="21" customHeight="1">
      <c r="A31" s="50">
        <v>23</v>
      </c>
      <c r="B31" s="51"/>
      <c r="C31" s="51"/>
      <c r="D31" s="52"/>
      <c r="E31" s="50"/>
      <c r="F31" s="50"/>
      <c r="G31" s="50"/>
      <c r="H31" s="53"/>
      <c r="I31" s="49"/>
      <c r="J31" s="53"/>
      <c r="K31" s="53"/>
      <c r="L31" s="53"/>
      <c r="M31" s="53"/>
      <c r="N31" s="53"/>
      <c r="O31" s="41"/>
      <c r="P31" s="41"/>
      <c r="Q31" s="41"/>
      <c r="R31" s="41"/>
      <c r="S31" s="41"/>
      <c r="T31" s="41"/>
      <c r="U31" s="41"/>
      <c r="V31" s="41"/>
      <c r="W31" s="41"/>
    </row>
    <row r="32" spans="1:23" s="42" customFormat="1" ht="21" customHeight="1">
      <c r="A32" s="50">
        <v>24</v>
      </c>
      <c r="B32" s="51"/>
      <c r="C32" s="51"/>
      <c r="D32" s="52"/>
      <c r="E32" s="50"/>
      <c r="F32" s="50"/>
      <c r="G32" s="50"/>
      <c r="H32" s="53"/>
      <c r="I32" s="49"/>
      <c r="J32" s="53"/>
      <c r="K32" s="53"/>
      <c r="L32" s="53"/>
      <c r="M32" s="53"/>
      <c r="N32" s="53"/>
      <c r="O32" s="41"/>
      <c r="P32" s="41"/>
      <c r="Q32" s="41"/>
      <c r="R32" s="41"/>
      <c r="S32" s="41"/>
      <c r="T32" s="41"/>
      <c r="U32" s="41"/>
      <c r="V32" s="41"/>
      <c r="W32" s="41"/>
    </row>
    <row r="33" spans="1:23" s="42" customFormat="1" ht="21" customHeight="1">
      <c r="A33" s="50">
        <v>25</v>
      </c>
      <c r="B33" s="51"/>
      <c r="C33" s="51"/>
      <c r="D33" s="52"/>
      <c r="E33" s="50"/>
      <c r="F33" s="50"/>
      <c r="G33" s="50"/>
      <c r="H33" s="53"/>
      <c r="I33" s="49"/>
      <c r="J33" s="53"/>
      <c r="K33" s="53"/>
      <c r="L33" s="53"/>
      <c r="M33" s="53"/>
      <c r="N33" s="53"/>
      <c r="O33" s="41"/>
      <c r="P33" s="41"/>
      <c r="Q33" s="41"/>
      <c r="R33" s="41"/>
      <c r="S33" s="41"/>
      <c r="T33" s="41"/>
      <c r="U33" s="41"/>
      <c r="V33" s="41"/>
      <c r="W33" s="41"/>
    </row>
    <row r="34" spans="1:23" s="42" customFormat="1" ht="21" customHeight="1">
      <c r="A34" s="50">
        <v>26</v>
      </c>
      <c r="B34" s="51"/>
      <c r="C34" s="51"/>
      <c r="D34" s="52"/>
      <c r="E34" s="50"/>
      <c r="F34" s="50"/>
      <c r="G34" s="50"/>
      <c r="H34" s="53"/>
      <c r="I34" s="49"/>
      <c r="J34" s="53"/>
      <c r="K34" s="53"/>
      <c r="L34" s="53"/>
      <c r="M34" s="53"/>
      <c r="N34" s="53"/>
      <c r="O34" s="41"/>
      <c r="P34" s="41"/>
      <c r="Q34" s="41"/>
      <c r="R34" s="41"/>
      <c r="S34" s="41"/>
      <c r="T34" s="41"/>
      <c r="U34" s="41"/>
      <c r="V34" s="41"/>
      <c r="W34" s="41"/>
    </row>
    <row r="35" spans="1:23" s="42" customFormat="1" ht="21" customHeight="1">
      <c r="A35" s="50">
        <v>27</v>
      </c>
      <c r="B35" s="51"/>
      <c r="C35" s="51"/>
      <c r="D35" s="52"/>
      <c r="E35" s="50"/>
      <c r="F35" s="50"/>
      <c r="G35" s="50"/>
      <c r="H35" s="53"/>
      <c r="I35" s="49"/>
      <c r="J35" s="53"/>
      <c r="K35" s="53"/>
      <c r="L35" s="53"/>
      <c r="M35" s="53"/>
      <c r="N35" s="53"/>
      <c r="O35" s="41"/>
      <c r="P35" s="41"/>
      <c r="Q35" s="41"/>
      <c r="R35" s="41"/>
      <c r="S35" s="41"/>
      <c r="T35" s="41"/>
      <c r="U35" s="41"/>
      <c r="V35" s="41"/>
      <c r="W35" s="41"/>
    </row>
    <row r="36" spans="1:23" s="42" customFormat="1" ht="21" customHeight="1">
      <c r="A36" s="50">
        <v>28</v>
      </c>
      <c r="B36" s="51"/>
      <c r="C36" s="51"/>
      <c r="D36" s="52"/>
      <c r="E36" s="50"/>
      <c r="F36" s="50"/>
      <c r="G36" s="50"/>
      <c r="H36" s="53"/>
      <c r="I36" s="49"/>
      <c r="J36" s="53"/>
      <c r="K36" s="53"/>
      <c r="L36" s="53"/>
      <c r="M36" s="53"/>
      <c r="N36" s="53"/>
      <c r="O36" s="41"/>
      <c r="P36" s="41"/>
      <c r="Q36" s="41"/>
      <c r="R36" s="41"/>
      <c r="S36" s="41"/>
      <c r="T36" s="41"/>
      <c r="U36" s="41"/>
      <c r="V36" s="41"/>
      <c r="W36" s="41"/>
    </row>
    <row r="37" spans="1:23" s="42" customFormat="1" ht="21" customHeight="1">
      <c r="A37" s="50">
        <v>29</v>
      </c>
      <c r="B37" s="51"/>
      <c r="C37" s="51"/>
      <c r="D37" s="52"/>
      <c r="E37" s="50"/>
      <c r="F37" s="50"/>
      <c r="G37" s="50"/>
      <c r="H37" s="53"/>
      <c r="I37" s="49"/>
      <c r="J37" s="53"/>
      <c r="K37" s="53"/>
      <c r="L37" s="53"/>
      <c r="M37" s="53"/>
      <c r="N37" s="53"/>
      <c r="O37" s="41"/>
      <c r="P37" s="41"/>
      <c r="Q37" s="41"/>
      <c r="R37" s="41"/>
      <c r="S37" s="41"/>
      <c r="T37" s="41"/>
      <c r="U37" s="41"/>
      <c r="V37" s="41"/>
      <c r="W37" s="41"/>
    </row>
    <row r="38" spans="1:23" s="42" customFormat="1" ht="21" customHeight="1">
      <c r="A38" s="50">
        <v>30</v>
      </c>
      <c r="B38" s="51"/>
      <c r="C38" s="51"/>
      <c r="D38" s="52"/>
      <c r="E38" s="50"/>
      <c r="F38" s="50"/>
      <c r="G38" s="50"/>
      <c r="H38" s="53"/>
      <c r="I38" s="49"/>
      <c r="J38" s="53"/>
      <c r="K38" s="53"/>
      <c r="L38" s="53"/>
      <c r="M38" s="53"/>
      <c r="N38" s="53"/>
      <c r="O38" s="41"/>
      <c r="P38" s="41"/>
      <c r="Q38" s="41"/>
      <c r="R38" s="41"/>
      <c r="S38" s="41"/>
      <c r="T38" s="41"/>
      <c r="U38" s="41"/>
      <c r="V38" s="41"/>
      <c r="W38" s="41"/>
    </row>
    <row r="39" spans="1:23" s="42" customFormat="1" ht="21" customHeight="1">
      <c r="A39" s="50">
        <v>31</v>
      </c>
      <c r="B39" s="51"/>
      <c r="C39" s="51"/>
      <c r="D39" s="52"/>
      <c r="E39" s="50"/>
      <c r="F39" s="50"/>
      <c r="G39" s="50"/>
      <c r="H39" s="53"/>
      <c r="I39" s="49"/>
      <c r="J39" s="53"/>
      <c r="K39" s="53"/>
      <c r="L39" s="53"/>
      <c r="M39" s="53"/>
      <c r="N39" s="53"/>
      <c r="O39" s="41"/>
      <c r="P39" s="41"/>
      <c r="Q39" s="41"/>
      <c r="R39" s="41"/>
      <c r="S39" s="41"/>
      <c r="T39" s="41"/>
      <c r="U39" s="41"/>
      <c r="V39" s="41"/>
      <c r="W39" s="41"/>
    </row>
    <row r="40" spans="1:23" s="42" customFormat="1" ht="21" customHeight="1">
      <c r="A40" s="50">
        <v>32</v>
      </c>
      <c r="B40" s="51"/>
      <c r="C40" s="51"/>
      <c r="D40" s="52"/>
      <c r="E40" s="50"/>
      <c r="F40" s="50"/>
      <c r="G40" s="50"/>
      <c r="H40" s="53"/>
      <c r="I40" s="49"/>
      <c r="J40" s="53"/>
      <c r="K40" s="53"/>
      <c r="L40" s="53"/>
      <c r="M40" s="53"/>
      <c r="N40" s="53"/>
      <c r="O40" s="41"/>
      <c r="P40" s="41"/>
      <c r="Q40" s="41"/>
      <c r="R40" s="41"/>
      <c r="S40" s="41"/>
      <c r="T40" s="41"/>
      <c r="U40" s="41"/>
      <c r="V40" s="41"/>
      <c r="W40" s="41"/>
    </row>
    <row r="41" spans="1:23" s="42" customFormat="1" ht="21" customHeight="1">
      <c r="A41" s="50">
        <v>33</v>
      </c>
      <c r="B41" s="51"/>
      <c r="C41" s="51"/>
      <c r="D41" s="52"/>
      <c r="E41" s="50"/>
      <c r="F41" s="50"/>
      <c r="G41" s="50"/>
      <c r="H41" s="53"/>
      <c r="I41" s="49"/>
      <c r="J41" s="53"/>
      <c r="K41" s="53"/>
      <c r="L41" s="53"/>
      <c r="M41" s="53"/>
      <c r="N41" s="53"/>
      <c r="O41" s="41"/>
      <c r="P41" s="41"/>
      <c r="Q41" s="41"/>
      <c r="R41" s="41"/>
      <c r="S41" s="41"/>
      <c r="T41" s="41"/>
      <c r="U41" s="41"/>
      <c r="V41" s="41"/>
      <c r="W41" s="41"/>
    </row>
    <row r="42" spans="1:23" s="42" customFormat="1" ht="21" customHeight="1">
      <c r="A42" s="50">
        <v>34</v>
      </c>
      <c r="B42" s="51"/>
      <c r="C42" s="51"/>
      <c r="D42" s="52"/>
      <c r="E42" s="50"/>
      <c r="F42" s="50"/>
      <c r="G42" s="50"/>
      <c r="H42" s="53"/>
      <c r="I42" s="49"/>
      <c r="J42" s="53"/>
      <c r="K42" s="53"/>
      <c r="L42" s="53"/>
      <c r="M42" s="53"/>
      <c r="N42" s="53"/>
      <c r="O42" s="41"/>
      <c r="P42" s="41"/>
      <c r="Q42" s="41"/>
      <c r="R42" s="41"/>
      <c r="S42" s="41"/>
      <c r="T42" s="41"/>
      <c r="U42" s="41"/>
      <c r="V42" s="41"/>
      <c r="W42" s="41"/>
    </row>
    <row r="43" spans="1:23" s="42" customFormat="1" ht="21" customHeight="1">
      <c r="A43" s="50">
        <v>35</v>
      </c>
      <c r="B43" s="51"/>
      <c r="C43" s="51"/>
      <c r="D43" s="52"/>
      <c r="E43" s="50"/>
      <c r="F43" s="50"/>
      <c r="G43" s="50"/>
      <c r="H43" s="53"/>
      <c r="I43" s="49"/>
      <c r="J43" s="53"/>
      <c r="K43" s="53"/>
      <c r="L43" s="53"/>
      <c r="M43" s="53"/>
      <c r="N43" s="53"/>
      <c r="O43" s="41"/>
      <c r="P43" s="41"/>
      <c r="Q43" s="41"/>
      <c r="R43" s="41"/>
      <c r="S43" s="41"/>
      <c r="T43" s="41"/>
      <c r="U43" s="41"/>
      <c r="V43" s="41"/>
      <c r="W43" s="41"/>
    </row>
    <row r="44" spans="1:23" s="42" customFormat="1" ht="21" customHeight="1">
      <c r="A44" s="50">
        <v>36</v>
      </c>
      <c r="B44" s="51"/>
      <c r="C44" s="51"/>
      <c r="D44" s="52"/>
      <c r="E44" s="50"/>
      <c r="F44" s="50"/>
      <c r="G44" s="50"/>
      <c r="H44" s="53"/>
      <c r="I44" s="49"/>
      <c r="J44" s="53"/>
      <c r="K44" s="53"/>
      <c r="L44" s="53"/>
      <c r="M44" s="53"/>
      <c r="N44" s="53"/>
      <c r="O44" s="41"/>
      <c r="P44" s="41"/>
      <c r="Q44" s="41"/>
      <c r="R44" s="41"/>
      <c r="S44" s="41"/>
      <c r="T44" s="41"/>
      <c r="U44" s="41"/>
      <c r="V44" s="41"/>
      <c r="W44" s="41"/>
    </row>
    <row r="45" spans="1:23" s="42" customFormat="1" ht="21" customHeight="1">
      <c r="A45" s="50">
        <v>37</v>
      </c>
      <c r="B45" s="51"/>
      <c r="C45" s="51"/>
      <c r="D45" s="52"/>
      <c r="E45" s="50"/>
      <c r="F45" s="50"/>
      <c r="G45" s="50"/>
      <c r="H45" s="53"/>
      <c r="I45" s="49"/>
      <c r="J45" s="53"/>
      <c r="K45" s="53"/>
      <c r="L45" s="53"/>
      <c r="M45" s="53"/>
      <c r="N45" s="53"/>
      <c r="O45" s="41"/>
      <c r="P45" s="41"/>
      <c r="Q45" s="41"/>
      <c r="R45" s="41"/>
      <c r="S45" s="41"/>
      <c r="T45" s="41"/>
      <c r="U45" s="41"/>
      <c r="V45" s="41"/>
      <c r="W45" s="41"/>
    </row>
    <row r="46" spans="1:23" s="42" customFormat="1" ht="21" customHeight="1">
      <c r="A46" s="50">
        <v>38</v>
      </c>
      <c r="B46" s="51"/>
      <c r="C46" s="51"/>
      <c r="D46" s="52"/>
      <c r="E46" s="50"/>
      <c r="F46" s="50"/>
      <c r="G46" s="50"/>
      <c r="H46" s="53"/>
      <c r="I46" s="49"/>
      <c r="J46" s="53"/>
      <c r="K46" s="53"/>
      <c r="L46" s="53"/>
      <c r="M46" s="53"/>
      <c r="N46" s="53"/>
      <c r="O46" s="41"/>
      <c r="P46" s="41"/>
      <c r="Q46" s="41"/>
      <c r="R46" s="41"/>
      <c r="S46" s="41"/>
      <c r="T46" s="41"/>
      <c r="U46" s="41"/>
      <c r="V46" s="41"/>
      <c r="W46" s="41"/>
    </row>
    <row r="47" spans="1:23" s="42" customFormat="1" ht="21" customHeight="1">
      <c r="A47" s="50">
        <v>39</v>
      </c>
      <c r="B47" s="51"/>
      <c r="C47" s="51"/>
      <c r="D47" s="52"/>
      <c r="E47" s="50"/>
      <c r="F47" s="50"/>
      <c r="G47" s="50"/>
      <c r="H47" s="53"/>
      <c r="I47" s="49"/>
      <c r="J47" s="53"/>
      <c r="K47" s="53"/>
      <c r="L47" s="53"/>
      <c r="M47" s="53"/>
      <c r="N47" s="53"/>
      <c r="O47" s="41"/>
      <c r="P47" s="41"/>
      <c r="Q47" s="41"/>
      <c r="R47" s="41"/>
      <c r="S47" s="41"/>
      <c r="T47" s="41"/>
      <c r="U47" s="41"/>
      <c r="V47" s="41"/>
      <c r="W47" s="41"/>
    </row>
    <row r="48" spans="1:23" s="42" customFormat="1" ht="21" customHeight="1">
      <c r="A48" s="50">
        <v>40</v>
      </c>
      <c r="B48" s="51"/>
      <c r="C48" s="51"/>
      <c r="D48" s="52"/>
      <c r="E48" s="50"/>
      <c r="F48" s="50"/>
      <c r="G48" s="50"/>
      <c r="H48" s="53"/>
      <c r="I48" s="49"/>
      <c r="J48" s="53"/>
      <c r="K48" s="53"/>
      <c r="L48" s="53"/>
      <c r="M48" s="53"/>
      <c r="N48" s="53"/>
      <c r="O48" s="41"/>
      <c r="P48" s="41"/>
      <c r="Q48" s="41"/>
      <c r="R48" s="41"/>
      <c r="S48" s="41"/>
      <c r="T48" s="41"/>
      <c r="U48" s="41"/>
      <c r="V48" s="41"/>
      <c r="W48" s="41"/>
    </row>
    <row r="49" spans="1:23" s="42" customFormat="1" ht="21" customHeight="1">
      <c r="A49" s="50">
        <v>41</v>
      </c>
      <c r="B49" s="51"/>
      <c r="C49" s="51"/>
      <c r="D49" s="52"/>
      <c r="E49" s="50"/>
      <c r="F49" s="50"/>
      <c r="G49" s="50"/>
      <c r="H49" s="53"/>
      <c r="I49" s="49"/>
      <c r="J49" s="53"/>
      <c r="K49" s="53"/>
      <c r="L49" s="53"/>
      <c r="M49" s="53"/>
      <c r="N49" s="53"/>
      <c r="O49" s="41"/>
      <c r="P49" s="41"/>
      <c r="Q49" s="41"/>
      <c r="R49" s="41"/>
      <c r="S49" s="41"/>
      <c r="T49" s="41"/>
      <c r="U49" s="41"/>
      <c r="V49" s="41"/>
      <c r="W49" s="41"/>
    </row>
    <row r="50" spans="1:23" s="42" customFormat="1" ht="21" customHeight="1">
      <c r="A50" s="50">
        <v>42</v>
      </c>
      <c r="B50" s="51"/>
      <c r="C50" s="51"/>
      <c r="D50" s="52"/>
      <c r="E50" s="50"/>
      <c r="F50" s="50"/>
      <c r="G50" s="50"/>
      <c r="H50" s="53"/>
      <c r="I50" s="49"/>
      <c r="J50" s="53"/>
      <c r="K50" s="53"/>
      <c r="L50" s="53"/>
      <c r="M50" s="53"/>
      <c r="N50" s="53"/>
      <c r="O50" s="41"/>
      <c r="P50" s="41"/>
      <c r="Q50" s="41"/>
      <c r="R50" s="41"/>
      <c r="S50" s="41"/>
      <c r="T50" s="41"/>
      <c r="U50" s="41"/>
      <c r="V50" s="41"/>
      <c r="W50" s="41"/>
    </row>
    <row r="51" spans="1:23" s="42" customFormat="1" ht="21" customHeight="1">
      <c r="A51" s="50">
        <v>43</v>
      </c>
      <c r="B51" s="51"/>
      <c r="C51" s="51"/>
      <c r="D51" s="52"/>
      <c r="E51" s="50"/>
      <c r="F51" s="50"/>
      <c r="G51" s="50"/>
      <c r="H51" s="53"/>
      <c r="I51" s="49"/>
      <c r="J51" s="53"/>
      <c r="K51" s="53"/>
      <c r="L51" s="53"/>
      <c r="M51" s="53"/>
      <c r="N51" s="53"/>
      <c r="O51" s="41"/>
      <c r="P51" s="41"/>
      <c r="Q51" s="41"/>
      <c r="R51" s="41"/>
      <c r="S51" s="41"/>
      <c r="T51" s="41"/>
      <c r="U51" s="41"/>
      <c r="V51" s="41"/>
      <c r="W51" s="41"/>
    </row>
    <row r="52" spans="1:23" s="42" customFormat="1" ht="21" customHeight="1">
      <c r="A52" s="50">
        <v>44</v>
      </c>
      <c r="B52" s="51"/>
      <c r="C52" s="51"/>
      <c r="D52" s="52"/>
      <c r="E52" s="50"/>
      <c r="F52" s="50"/>
      <c r="G52" s="50"/>
      <c r="H52" s="53"/>
      <c r="I52" s="49"/>
      <c r="J52" s="53"/>
      <c r="K52" s="53"/>
      <c r="L52" s="53"/>
      <c r="M52" s="53"/>
      <c r="N52" s="53"/>
      <c r="O52" s="41"/>
      <c r="P52" s="41"/>
      <c r="Q52" s="41"/>
      <c r="R52" s="41"/>
      <c r="S52" s="41"/>
      <c r="T52" s="41"/>
      <c r="U52" s="41"/>
      <c r="V52" s="41"/>
      <c r="W52" s="41"/>
    </row>
    <row r="53" spans="1:23" s="42" customFormat="1" ht="21" customHeight="1">
      <c r="A53" s="50">
        <v>45</v>
      </c>
      <c r="B53" s="51"/>
      <c r="C53" s="51"/>
      <c r="D53" s="52"/>
      <c r="E53" s="50"/>
      <c r="F53" s="50"/>
      <c r="G53" s="50"/>
      <c r="H53" s="53"/>
      <c r="I53" s="49"/>
      <c r="J53" s="53"/>
      <c r="K53" s="53"/>
      <c r="L53" s="53"/>
      <c r="M53" s="53"/>
      <c r="N53" s="53"/>
      <c r="O53" s="41"/>
      <c r="P53" s="41"/>
      <c r="Q53" s="41"/>
      <c r="R53" s="41"/>
      <c r="S53" s="41"/>
      <c r="T53" s="41"/>
      <c r="U53" s="41"/>
      <c r="V53" s="41"/>
      <c r="W53" s="41"/>
    </row>
    <row r="54" spans="1:23" s="42" customFormat="1" ht="21" customHeight="1">
      <c r="A54" s="50">
        <v>46</v>
      </c>
      <c r="B54" s="51"/>
      <c r="C54" s="51"/>
      <c r="D54" s="52"/>
      <c r="E54" s="50"/>
      <c r="F54" s="50"/>
      <c r="G54" s="50"/>
      <c r="H54" s="53"/>
      <c r="I54" s="49"/>
      <c r="J54" s="53"/>
      <c r="K54" s="53"/>
      <c r="L54" s="53"/>
      <c r="M54" s="53"/>
      <c r="N54" s="53"/>
      <c r="O54" s="41"/>
      <c r="P54" s="41"/>
      <c r="Q54" s="41"/>
      <c r="R54" s="41"/>
      <c r="S54" s="41"/>
      <c r="T54" s="41"/>
      <c r="U54" s="41"/>
      <c r="V54" s="41"/>
      <c r="W54" s="41"/>
    </row>
    <row r="55" spans="1:23" s="42" customFormat="1" ht="21" customHeight="1">
      <c r="A55" s="50">
        <v>47</v>
      </c>
      <c r="B55" s="51"/>
      <c r="C55" s="51"/>
      <c r="D55" s="52"/>
      <c r="E55" s="50"/>
      <c r="F55" s="50"/>
      <c r="G55" s="50"/>
      <c r="H55" s="53"/>
      <c r="I55" s="49"/>
      <c r="J55" s="53"/>
      <c r="K55" s="53"/>
      <c r="L55" s="53"/>
      <c r="M55" s="53"/>
      <c r="N55" s="53"/>
      <c r="O55" s="41"/>
      <c r="P55" s="41"/>
      <c r="Q55" s="41"/>
      <c r="R55" s="41"/>
      <c r="S55" s="41"/>
      <c r="T55" s="41"/>
      <c r="U55" s="41"/>
      <c r="V55" s="41"/>
      <c r="W55" s="41"/>
    </row>
    <row r="56" spans="1:23" s="42" customFormat="1" ht="21" customHeight="1">
      <c r="A56" s="50">
        <v>48</v>
      </c>
      <c r="B56" s="51"/>
      <c r="C56" s="51"/>
      <c r="D56" s="52"/>
      <c r="E56" s="50"/>
      <c r="F56" s="50"/>
      <c r="G56" s="50"/>
      <c r="H56" s="53"/>
      <c r="I56" s="49"/>
      <c r="J56" s="53"/>
      <c r="K56" s="53"/>
      <c r="L56" s="53"/>
      <c r="M56" s="53"/>
      <c r="N56" s="53"/>
      <c r="O56" s="41"/>
      <c r="P56" s="41"/>
      <c r="Q56" s="41"/>
      <c r="R56" s="41"/>
      <c r="S56" s="41"/>
      <c r="T56" s="41"/>
      <c r="U56" s="41"/>
      <c r="V56" s="41"/>
      <c r="W56" s="41"/>
    </row>
    <row r="57" spans="1:23" s="42" customFormat="1" ht="21" customHeight="1">
      <c r="A57" s="50">
        <v>49</v>
      </c>
      <c r="B57" s="51"/>
      <c r="C57" s="51"/>
      <c r="D57" s="52"/>
      <c r="E57" s="50"/>
      <c r="F57" s="50"/>
      <c r="G57" s="50"/>
      <c r="H57" s="53"/>
      <c r="I57" s="49"/>
      <c r="J57" s="53"/>
      <c r="K57" s="53"/>
      <c r="L57" s="53"/>
      <c r="M57" s="53"/>
      <c r="N57" s="53"/>
      <c r="O57" s="41"/>
      <c r="P57" s="41"/>
      <c r="Q57" s="41"/>
      <c r="R57" s="41"/>
      <c r="S57" s="41"/>
      <c r="T57" s="41"/>
      <c r="U57" s="41"/>
      <c r="V57" s="41"/>
      <c r="W57" s="41"/>
    </row>
    <row r="58" spans="1:23" s="42" customFormat="1" ht="21" customHeight="1">
      <c r="A58" s="50">
        <v>50</v>
      </c>
      <c r="B58" s="51"/>
      <c r="C58" s="51"/>
      <c r="D58" s="52"/>
      <c r="E58" s="50"/>
      <c r="F58" s="50"/>
      <c r="G58" s="50"/>
      <c r="H58" s="53"/>
      <c r="I58" s="49"/>
      <c r="J58" s="53"/>
      <c r="K58" s="53"/>
      <c r="L58" s="53"/>
      <c r="M58" s="53"/>
      <c r="N58" s="53"/>
      <c r="O58" s="41"/>
      <c r="P58" s="41"/>
      <c r="Q58" s="41"/>
      <c r="R58" s="41"/>
      <c r="S58" s="41"/>
      <c r="T58" s="41"/>
      <c r="U58" s="41"/>
      <c r="V58" s="41"/>
      <c r="W58" s="41"/>
    </row>
    <row r="59" spans="1:23" s="42" customFormat="1" ht="21" customHeight="1">
      <c r="A59" s="50">
        <v>51</v>
      </c>
      <c r="B59" s="51"/>
      <c r="C59" s="51"/>
      <c r="D59" s="52"/>
      <c r="E59" s="50"/>
      <c r="F59" s="50"/>
      <c r="G59" s="50"/>
      <c r="H59" s="54"/>
      <c r="I59" s="49"/>
      <c r="J59" s="54"/>
      <c r="K59" s="54"/>
      <c r="L59" s="54"/>
      <c r="M59" s="54"/>
      <c r="N59" s="54"/>
      <c r="O59" s="41"/>
      <c r="P59" s="41"/>
      <c r="Q59" s="41"/>
      <c r="R59" s="41"/>
      <c r="S59" s="41"/>
      <c r="T59" s="41"/>
      <c r="U59" s="41"/>
      <c r="V59" s="41"/>
      <c r="W59" s="41"/>
    </row>
    <row r="60" spans="1:23">
      <c r="A60" s="44"/>
      <c r="B60" s="30"/>
      <c r="C60" s="30"/>
      <c r="D60" s="30"/>
      <c r="E60" s="30"/>
      <c r="F60" s="30"/>
      <c r="G60" s="30"/>
      <c r="H60" s="30"/>
      <c r="I60" s="30"/>
      <c r="J60" s="30"/>
      <c r="K60" s="30"/>
      <c r="L60" s="30"/>
      <c r="M60" s="30"/>
      <c r="N60" s="30"/>
      <c r="O60" s="30"/>
      <c r="P60" s="30"/>
      <c r="Q60" s="30"/>
      <c r="R60" s="30"/>
      <c r="S60" s="30"/>
      <c r="T60" s="30"/>
      <c r="U60" s="30"/>
      <c r="V60" s="30"/>
      <c r="W60" s="30"/>
    </row>
    <row r="61" spans="1:23">
      <c r="A61" s="44"/>
      <c r="B61" s="30"/>
      <c r="C61" s="30"/>
      <c r="D61" s="30"/>
      <c r="E61" s="30"/>
      <c r="F61" s="30"/>
      <c r="G61" s="30"/>
      <c r="H61" s="30"/>
      <c r="I61" s="30"/>
      <c r="J61" s="30"/>
      <c r="K61" s="30"/>
      <c r="L61" s="30"/>
      <c r="M61" s="30"/>
      <c r="N61" s="30"/>
      <c r="O61" s="30"/>
      <c r="P61" s="30"/>
      <c r="Q61" s="30"/>
      <c r="R61" s="30"/>
      <c r="S61" s="30"/>
      <c r="T61" s="30"/>
      <c r="U61" s="30"/>
      <c r="V61" s="30"/>
      <c r="W61" s="30"/>
    </row>
    <row r="62" spans="1:23">
      <c r="A62" s="44"/>
      <c r="B62" s="30"/>
      <c r="C62" s="30"/>
      <c r="D62" s="30"/>
      <c r="E62" s="30"/>
      <c r="F62" s="30"/>
      <c r="G62" s="30"/>
      <c r="H62" s="30"/>
      <c r="I62" s="30"/>
      <c r="J62" s="30"/>
      <c r="K62" s="30"/>
      <c r="L62" s="30"/>
      <c r="M62" s="30"/>
      <c r="N62" s="30"/>
      <c r="O62" s="30"/>
      <c r="P62" s="30"/>
      <c r="Q62" s="30"/>
      <c r="R62" s="30"/>
      <c r="S62" s="30"/>
      <c r="T62" s="30"/>
      <c r="U62" s="30"/>
      <c r="V62" s="30"/>
      <c r="W62" s="30"/>
    </row>
    <row r="63" spans="1:23">
      <c r="A63" s="44"/>
      <c r="B63" s="30"/>
      <c r="C63" s="30"/>
      <c r="D63" s="30"/>
      <c r="E63" s="30"/>
      <c r="F63" s="30"/>
      <c r="G63" s="30"/>
      <c r="H63" s="30"/>
      <c r="I63" s="30"/>
      <c r="J63" s="30"/>
      <c r="K63" s="30"/>
      <c r="L63" s="30"/>
      <c r="M63" s="30"/>
      <c r="N63" s="30"/>
      <c r="O63" s="30"/>
      <c r="P63" s="30"/>
      <c r="Q63" s="30"/>
      <c r="R63" s="30"/>
      <c r="S63" s="30"/>
      <c r="T63" s="30"/>
      <c r="U63" s="30"/>
      <c r="V63" s="30"/>
      <c r="W63" s="30"/>
    </row>
    <row r="64" spans="1:23">
      <c r="A64" s="44"/>
      <c r="B64" s="30"/>
      <c r="C64" s="30"/>
      <c r="D64" s="30"/>
      <c r="E64" s="30"/>
      <c r="F64" s="30"/>
      <c r="G64" s="30"/>
      <c r="H64" s="30"/>
      <c r="I64" s="30"/>
      <c r="J64" s="30"/>
      <c r="K64" s="30"/>
      <c r="L64" s="30"/>
      <c r="M64" s="30"/>
      <c r="N64" s="30"/>
      <c r="O64" s="30"/>
      <c r="P64" s="30"/>
      <c r="Q64" s="30"/>
      <c r="R64" s="30"/>
      <c r="S64" s="30"/>
      <c r="T64" s="30"/>
      <c r="U64" s="30"/>
      <c r="V64" s="30"/>
      <c r="W64" s="30"/>
    </row>
    <row r="65" spans="1:23">
      <c r="A65" s="44"/>
      <c r="B65" s="30"/>
      <c r="C65" s="30"/>
      <c r="D65" s="30"/>
      <c r="E65" s="30"/>
      <c r="F65" s="30"/>
      <c r="G65" s="30"/>
      <c r="H65" s="30"/>
      <c r="I65" s="30"/>
      <c r="J65" s="30"/>
      <c r="K65" s="30"/>
      <c r="L65" s="30"/>
      <c r="M65" s="30"/>
      <c r="N65" s="30"/>
      <c r="O65" s="30"/>
      <c r="P65" s="30"/>
      <c r="Q65" s="30"/>
      <c r="R65" s="30"/>
      <c r="S65" s="30"/>
      <c r="T65" s="30"/>
      <c r="U65" s="30"/>
      <c r="V65" s="30"/>
      <c r="W65" s="30"/>
    </row>
  </sheetData>
  <sheetProtection password="C1FB" sheet="1" objects="1" scenarios="1" formatCells="0" formatColumns="0" formatRows="0" selectLockedCells="1"/>
  <mergeCells count="18">
    <mergeCell ref="G7:H7"/>
    <mergeCell ref="N7:N8"/>
    <mergeCell ref="I7:K7"/>
    <mergeCell ref="T9:V10"/>
    <mergeCell ref="A5:B5"/>
    <mergeCell ref="E5:F5"/>
    <mergeCell ref="A7:A8"/>
    <mergeCell ref="B7:B8"/>
    <mergeCell ref="C7:C8"/>
    <mergeCell ref="D7:D8"/>
    <mergeCell ref="E7:E8"/>
    <mergeCell ref="F7:F8"/>
    <mergeCell ref="L7:M7"/>
    <mergeCell ref="A3:B3"/>
    <mergeCell ref="C3:G3"/>
    <mergeCell ref="C1:E1"/>
    <mergeCell ref="A4:B4"/>
    <mergeCell ref="E4:F4"/>
  </mergeCells>
  <dataValidations count="1">
    <dataValidation type="list" allowBlank="1" showInputMessage="1" showErrorMessage="1" sqref="I9:I59">
      <formula1>$Z$1:$Z$3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I32"/>
  <sheetViews>
    <sheetView workbookViewId="0">
      <selection activeCell="K6" sqref="K6:K7"/>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89" t="s">
        <v>16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H1" s="13">
        <f>IF(ISNA(VLOOKUP($G$4,Master!A$9:T$78,4,FALSE)),"",VLOOKUP($G$4,Master!A$9:AN$78,4,FALSE))</f>
        <v>9</v>
      </c>
      <c r="AI1" s="13" t="str">
        <f>IF(ISNA(VLOOKUP($G$4,Master!A$9:T$78,9,FALSE)),"",VLOOKUP($G$4,Master!A$9:AN$78,9,FALSE))</f>
        <v>GPF</v>
      </c>
    </row>
    <row r="2" spans="1:35" ht="18.75">
      <c r="A2" s="90" t="str">
        <f>IF(AND(Master!C3=""),"",CONCATENATE("Office Of  ",Master!C3))</f>
        <v>Office Of  Government Senior Secondry School Dhurasani , Pali</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5" ht="18.75">
      <c r="H3" s="91" t="s">
        <v>17</v>
      </c>
      <c r="I3" s="91"/>
      <c r="J3" s="91"/>
      <c r="K3" s="91"/>
      <c r="L3" s="92" t="str">
        <f>IF(ISNA(VLOOKUP($G$4,Master!A$9:T$78,2,FALSE)),"",VLOOKUP($G$4,Master!A$9:AN$78,2,FALSE))</f>
        <v>heera lal jat</v>
      </c>
      <c r="M3" s="92"/>
      <c r="N3" s="92"/>
      <c r="O3" s="92"/>
      <c r="P3" s="92"/>
      <c r="Q3" s="92"/>
      <c r="R3" s="93" t="s">
        <v>18</v>
      </c>
      <c r="S3" s="93"/>
      <c r="T3" s="94" t="str">
        <f>IF(ISNA(VLOOKUP($G$4,Master!A$9:T$78,3,FALSE)),"",VLOOKUP($G$4,Master!A$9:AN$78,3,FALSE))</f>
        <v>Teacher</v>
      </c>
      <c r="U3" s="94"/>
      <c r="V3" s="94"/>
      <c r="W3" s="94"/>
      <c r="X3" s="57"/>
      <c r="Y3" s="57"/>
      <c r="Z3" s="57"/>
      <c r="AA3" s="57"/>
    </row>
    <row r="4" spans="1:35" ht="18.75">
      <c r="E4" s="85" t="s">
        <v>30</v>
      </c>
      <c r="F4" s="85"/>
      <c r="G4" s="29">
        <v>1</v>
      </c>
      <c r="H4" s="5"/>
      <c r="I4" s="5"/>
      <c r="J4" s="5"/>
      <c r="K4" s="5"/>
      <c r="L4" s="14"/>
      <c r="M4" s="14"/>
      <c r="N4" s="14"/>
      <c r="O4" s="14"/>
      <c r="P4" s="14"/>
      <c r="Q4" s="14"/>
      <c r="R4" s="15"/>
      <c r="S4" s="15"/>
      <c r="T4" s="16"/>
      <c r="U4" s="16"/>
      <c r="V4" s="16"/>
      <c r="W4" s="16"/>
      <c r="X4" s="16"/>
      <c r="Y4" s="16"/>
      <c r="Z4" s="16"/>
      <c r="AA4" s="16"/>
    </row>
    <row r="5" spans="1:35">
      <c r="A5" s="80" t="s">
        <v>0</v>
      </c>
      <c r="B5" s="81" t="s">
        <v>4</v>
      </c>
      <c r="C5" s="88" t="s">
        <v>6</v>
      </c>
      <c r="D5" s="88"/>
      <c r="E5" s="88"/>
      <c r="F5" s="88"/>
      <c r="G5" s="88"/>
      <c r="H5" s="88" t="s">
        <v>7</v>
      </c>
      <c r="I5" s="88"/>
      <c r="J5" s="88"/>
      <c r="K5" s="88"/>
      <c r="L5" s="88"/>
      <c r="M5" s="88" t="s">
        <v>8</v>
      </c>
      <c r="N5" s="88"/>
      <c r="O5" s="88"/>
      <c r="P5" s="88"/>
      <c r="Q5" s="88"/>
      <c r="R5" s="82" t="s">
        <v>14</v>
      </c>
      <c r="S5" s="83"/>
      <c r="T5" s="83"/>
      <c r="U5" s="83"/>
      <c r="V5" s="83"/>
      <c r="W5" s="83"/>
      <c r="X5" s="83"/>
      <c r="Y5" s="83"/>
      <c r="Z5" s="83"/>
      <c r="AA5" s="84"/>
      <c r="AB5" s="75" t="s">
        <v>46</v>
      </c>
      <c r="AC5" s="75" t="s">
        <v>47</v>
      </c>
      <c r="AD5" s="75" t="s">
        <v>19</v>
      </c>
    </row>
    <row r="6" spans="1:35" ht="15" customHeight="1">
      <c r="A6" s="80"/>
      <c r="B6" s="81"/>
      <c r="C6" s="81" t="s">
        <v>33</v>
      </c>
      <c r="D6" s="79" t="s">
        <v>1</v>
      </c>
      <c r="E6" s="80" t="s">
        <v>3</v>
      </c>
      <c r="F6" s="80" t="s">
        <v>2</v>
      </c>
      <c r="G6" s="81" t="s">
        <v>43</v>
      </c>
      <c r="H6" s="81" t="s">
        <v>34</v>
      </c>
      <c r="I6" s="79" t="s">
        <v>1</v>
      </c>
      <c r="J6" s="80" t="s">
        <v>3</v>
      </c>
      <c r="K6" s="80" t="s">
        <v>2</v>
      </c>
      <c r="L6" s="81" t="s">
        <v>44</v>
      </c>
      <c r="M6" s="81" t="s">
        <v>5</v>
      </c>
      <c r="N6" s="79" t="s">
        <v>1</v>
      </c>
      <c r="O6" s="80" t="s">
        <v>3</v>
      </c>
      <c r="P6" s="80" t="s">
        <v>2</v>
      </c>
      <c r="Q6" s="81" t="s">
        <v>45</v>
      </c>
      <c r="R6" s="77" t="s">
        <v>12</v>
      </c>
      <c r="S6" s="77"/>
      <c r="T6" s="77"/>
      <c r="U6" s="77" t="s">
        <v>37</v>
      </c>
      <c r="V6" s="77"/>
      <c r="W6" s="77"/>
      <c r="X6" s="77" t="s">
        <v>56</v>
      </c>
      <c r="Y6" s="77"/>
      <c r="Z6" s="77"/>
      <c r="AA6" s="86" t="s">
        <v>57</v>
      </c>
      <c r="AB6" s="75"/>
      <c r="AC6" s="75"/>
      <c r="AD6" s="75"/>
    </row>
    <row r="7" spans="1:35" ht="86.25" customHeight="1">
      <c r="A7" s="80"/>
      <c r="B7" s="81"/>
      <c r="C7" s="81"/>
      <c r="D7" s="79"/>
      <c r="E7" s="80"/>
      <c r="F7" s="80"/>
      <c r="G7" s="81"/>
      <c r="H7" s="81"/>
      <c r="I7" s="79"/>
      <c r="J7" s="80"/>
      <c r="K7" s="80"/>
      <c r="L7" s="81"/>
      <c r="M7" s="81"/>
      <c r="N7" s="79"/>
      <c r="O7" s="80"/>
      <c r="P7" s="80"/>
      <c r="Q7" s="81"/>
      <c r="R7" s="17" t="s">
        <v>9</v>
      </c>
      <c r="S7" s="17" t="s">
        <v>10</v>
      </c>
      <c r="T7" s="17" t="s">
        <v>11</v>
      </c>
      <c r="U7" s="17" t="s">
        <v>9</v>
      </c>
      <c r="V7" s="17" t="s">
        <v>10</v>
      </c>
      <c r="W7" s="17" t="s">
        <v>11</v>
      </c>
      <c r="X7" s="56" t="s">
        <v>9</v>
      </c>
      <c r="Y7" s="56" t="s">
        <v>10</v>
      </c>
      <c r="Z7" s="56" t="s">
        <v>11</v>
      </c>
      <c r="AA7" s="87"/>
      <c r="AB7" s="76"/>
      <c r="AC7" s="76"/>
      <c r="AD7" s="75"/>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58">
        <f>IF(ISNA(VLOOKUP($G$4,Master!A$9:T$78,5,FALSE)),"",VLOOKUP($G$4,Master!A$9:AN$78,5,FALSE))</f>
        <v>57800</v>
      </c>
      <c r="D9" s="58">
        <f>IF(AND(C9=""),"",IF(AND($G$4=""),"",ROUND(C9*0.05,0)))</f>
        <v>2890</v>
      </c>
      <c r="E9" s="58">
        <f>IF(AND(C9=""),"",IF(AND($G$4=""),"",ROUND(C9*Master!G$4%,0)))</f>
        <v>4624</v>
      </c>
      <c r="F9" s="21">
        <f>IF(AND(C9=""),"",IF(AND($G$4=""),"",Master!G$5))</f>
        <v>0</v>
      </c>
      <c r="G9" s="21">
        <f>IF(AND(C9=""),"",SUM(C9:F9))</f>
        <v>65314</v>
      </c>
      <c r="H9" s="58">
        <f>IF(ISNA(VLOOKUP($G$4,Master!A$9:T$78,6,FALSE)),"",VLOOKUP($G$4,Master!A$9:AN$78,6,FALSE))</f>
        <v>21910</v>
      </c>
      <c r="I9" s="58">
        <f>IF(AND(H9=""),"",IF(AND($G$4=""),"",ROUND(H9*1.39,0)))</f>
        <v>30455</v>
      </c>
      <c r="J9" s="58">
        <f>IF(AND(H9=""),"",IF(AND($G$4=""),"",ROUND(H9*Master!C$4%,0)))</f>
        <v>2191</v>
      </c>
      <c r="K9" s="21">
        <f>IF(AND(C9=""),"",IF(AND($G$4=""),"",Master!C$5))</f>
        <v>0</v>
      </c>
      <c r="L9" s="21">
        <f>IF(AND(C9=""),"",SUM(H9:K9))</f>
        <v>54556</v>
      </c>
      <c r="M9" s="21">
        <f>IF(AND(C9=""),"",IF(AND(H9=""),"",C9-H9))</f>
        <v>35890</v>
      </c>
      <c r="N9" s="21">
        <f t="shared" ref="N9:Q9" si="0">IF(AND(D9=""),"",IF(AND(I9=""),"",D9-I9))</f>
        <v>-27565</v>
      </c>
      <c r="O9" s="21">
        <f>IF(AND(E9=""),"",IF(AND(J9=""),"",E9-J9))</f>
        <v>2433</v>
      </c>
      <c r="P9" s="21">
        <f>IF(AND(F9=""),"",IF(AND(K9=""),"",F9-K9))</f>
        <v>0</v>
      </c>
      <c r="Q9" s="21">
        <f t="shared" si="0"/>
        <v>10758</v>
      </c>
      <c r="R9" s="58">
        <f>IF(AND(C9=""),"",IF(ISNA(VLOOKUP($G$4,Master!A$9:T$78,8,FALSE)),"",VLOOKUP($G$4,Master!A$9:AN$78,8,FALSE)))</f>
        <v>0</v>
      </c>
      <c r="S9" s="58">
        <f>IF(AND(C9=""),"",IF(ISNA(VLOOKUP($G$4,Master!A$9:T$78,7,FALSE)),"",VLOOKUP($G$4,Master!A$9:AN$78,7,FALSE)))</f>
        <v>0</v>
      </c>
      <c r="T9" s="21">
        <f>IF(AND(R9=""),"",IF(AND(S9=""),"",R9-S9))</f>
        <v>0</v>
      </c>
      <c r="U9" s="58">
        <f>IF(AND(C9=""),"",IF(AND(AI$1=Master!Z$1),VLOOKUP($G$4,Master!A$9:AN$78,11,FALSE),ROUND((C9+D9)*10%,0)))</f>
        <v>0</v>
      </c>
      <c r="V9" s="58">
        <f>IF(AND(H9=""),"",IF(AND(AI$1=Master!Z$1),VLOOKUP($G$4,Master!A$9:AN$78,10,FALSE),ROUND((H9+I9)*10%,0)))</f>
        <v>0</v>
      </c>
      <c r="W9" s="21">
        <f>IF(AND(U9=""),"",IF(AND(V9=""),"",U9-V9))</f>
        <v>0</v>
      </c>
      <c r="X9" s="58">
        <f>IF(AND(C9=""),"",IF(ISNA(VLOOKUP($G$4,Master!A$9:T$78,13,FALSE)),"",VLOOKUP($G$4,Master!A$9:AN$78,13,FALSE)))</f>
        <v>0</v>
      </c>
      <c r="Y9" s="58">
        <f>IF(AND(C9=""),"",IF(ISNA(VLOOKUP($G$4,Master!A$9:T$78,12,FALSE)),"",VLOOKUP($G$4,Master!A$9:AN$78,12,FALSE)))</f>
        <v>0</v>
      </c>
      <c r="Z9" s="21">
        <f>IF(AND(X9=""),"",IF(AND(Y9=""),"",X9-Y9))</f>
        <v>0</v>
      </c>
      <c r="AA9" s="58">
        <f>IF(AND($G$4=""),"",IF(AND(Q9=""),"",ROUND(Q9*10%,0)))</f>
        <v>1076</v>
      </c>
      <c r="AB9" s="21">
        <f>IF(AND(T9=""),"",IF(AND(W9=""),"",IF(AND(Z9=""),"",IF(AND(AA9=""),"",T9+W9+Z9+AA9))))</f>
        <v>1076</v>
      </c>
      <c r="AC9" s="21">
        <f t="shared" ref="AC9:AC14" si="1">IF(AND(Q9=""),"",IF(AND(AB9=""),"",Q9-AB9))</f>
        <v>9682</v>
      </c>
      <c r="AD9" s="61"/>
    </row>
    <row r="10" spans="1:35">
      <c r="A10" s="19">
        <v>2</v>
      </c>
      <c r="B10" s="20">
        <v>43040</v>
      </c>
      <c r="C10" s="58">
        <f>IF(AND($G$4=""),"",IF(AND(Arrear!AH$1&lt;2),"",Arrear!C9))</f>
        <v>57800</v>
      </c>
      <c r="D10" s="58">
        <f t="shared" ref="D10:D11" si="2">IF(AND(C10=""),"",IF(AND($G$4=""),"",ROUND(C10*0.05,0)))</f>
        <v>2890</v>
      </c>
      <c r="E10" s="58">
        <f>IF(AND(C10=""),"",IF(AND($G$4=""),"",ROUND(C10*Master!G$4%,0)))</f>
        <v>4624</v>
      </c>
      <c r="F10" s="21">
        <f>IF(AND(C10=""),"",IF(AND($G$4=""),"",Master!G$5))</f>
        <v>0</v>
      </c>
      <c r="G10" s="21">
        <f t="shared" ref="G10:G13" si="3">IF(AND(C10=""),"",SUM(C10:F10))</f>
        <v>65314</v>
      </c>
      <c r="H10" s="58">
        <f>IF(AND($G$4=""),"",IF(AND(Arrear!AH$1&lt;2),"",H9))</f>
        <v>21910</v>
      </c>
      <c r="I10" s="58">
        <f t="shared" ref="I10:I14" si="4">IF(AND(H10=""),"",IF(AND($G$4=""),"",ROUND(H10*1.39,0)))</f>
        <v>30455</v>
      </c>
      <c r="J10" s="58">
        <f>IF(AND(H10=""),"",IF(AND($G$4=""),"",ROUND(H10*Master!C$4%,0)))</f>
        <v>2191</v>
      </c>
      <c r="K10" s="21">
        <f>IF(AND(C10=""),"",IF(AND($G$4=""),"",Master!C$5))</f>
        <v>0</v>
      </c>
      <c r="L10" s="21">
        <f t="shared" ref="L10:L13" si="5">IF(AND(C10=""),"",SUM(H10:K10))</f>
        <v>54556</v>
      </c>
      <c r="M10" s="21">
        <f t="shared" ref="M10:M13" si="6">IF(AND(C10=""),"",IF(AND(H10=""),"",C10-H10))</f>
        <v>35890</v>
      </c>
      <c r="N10" s="21">
        <f t="shared" ref="N10:N13" si="7">IF(AND(D10=""),"",IF(AND(I10=""),"",D10-I10))</f>
        <v>-27565</v>
      </c>
      <c r="O10" s="21">
        <f t="shared" ref="O10:O13" si="8">IF(AND(E10=""),"",IF(AND(J10=""),"",E10-J10))</f>
        <v>2433</v>
      </c>
      <c r="P10" s="21">
        <f t="shared" ref="P10:P13" si="9">IF(AND(F10=""),"",IF(AND(K10=""),"",F10-K10))</f>
        <v>0</v>
      </c>
      <c r="Q10" s="21">
        <f t="shared" ref="Q10:Q13" si="10">IF(AND(G10=""),"",IF(AND(L10=""),"",G10-L10))</f>
        <v>10758</v>
      </c>
      <c r="R10" s="58">
        <f>IF(AND(C10=""),"",IF(ISNA(VLOOKUP($G$4,Master!A$9:T$78,8,FALSE)),"",VLOOKUP($G$4,Master!A$9:AN$78,8,FALSE)))</f>
        <v>0</v>
      </c>
      <c r="S10" s="58">
        <f>IF(AND(C10=""),"",IF(ISNA(VLOOKUP($G$4,Master!A$9:T$78,7,FALSE)),"",VLOOKUP($G$4,Master!A$9:AN$78,7,FALSE)))</f>
        <v>0</v>
      </c>
      <c r="T10" s="21">
        <f t="shared" ref="T10:T13" si="11">IF(AND(R10=""),"",IF(AND(S10=""),"",R10-S10))</f>
        <v>0</v>
      </c>
      <c r="U10" s="58">
        <f>IF(AND(C10=""),"",IF(AND(AI$1=Master!Z$1),VLOOKUP($G$4,Master!A$9:AN$78,11,FALSE),ROUND((C10+D10)*10%,0)))</f>
        <v>0</v>
      </c>
      <c r="V10" s="58">
        <f>IF(AND(H10=""),"",IF(AND(AI$1=Master!Z$1),VLOOKUP($G$4,Master!A$9:AN$78,10,FALSE),ROUND((H10+I10)*10%,0)))</f>
        <v>0</v>
      </c>
      <c r="W10" s="21">
        <f t="shared" ref="W10:W13" si="12">IF(AND(U10=""),"",IF(AND(V10=""),"",U10-V10))</f>
        <v>0</v>
      </c>
      <c r="X10" s="58">
        <f>IF(AND(C10=""),"",IF(ISNA(VLOOKUP($G$4,Master!A$9:T$78,13,FALSE)),"",VLOOKUP($G$4,Master!A$9:AN$78,13,FALSE)))</f>
        <v>0</v>
      </c>
      <c r="Y10" s="58">
        <f>IF(AND(C10=""),"",IF(ISNA(VLOOKUP($G$4,Master!A$9:T$78,12,FALSE)),"",VLOOKUP($G$4,Master!A$9:AN$78,12,FALSE)))</f>
        <v>0</v>
      </c>
      <c r="Z10" s="21">
        <f t="shared" ref="Z10:Z19" si="13">IF(AND(X10=""),"",IF(AND(Y10=""),"",X10-Y10))</f>
        <v>0</v>
      </c>
      <c r="AA10" s="58">
        <f t="shared" ref="AA10:AA19" si="14">IF(AND($G$4=""),"",IF(AND(Q10=""),"",ROUND(Q10*10%,0)))</f>
        <v>1076</v>
      </c>
      <c r="AB10" s="21">
        <f t="shared" ref="AB10:AB19" si="15">IF(AND(T10=""),"",IF(AND(W10=""),"",IF(AND(Z10=""),"",IF(AND(AA10=""),"",T10+W10+Z10+AA10))))</f>
        <v>1076</v>
      </c>
      <c r="AC10" s="21">
        <f t="shared" si="1"/>
        <v>9682</v>
      </c>
      <c r="AD10" s="61"/>
    </row>
    <row r="11" spans="1:35">
      <c r="A11" s="19">
        <v>3</v>
      </c>
      <c r="B11" s="20">
        <v>43070</v>
      </c>
      <c r="C11" s="58">
        <f>IF(AND($G$4=""),"",IF(AND(Arrear!AH$1&lt;3),"",Arrear!C10))</f>
        <v>57800</v>
      </c>
      <c r="D11" s="58">
        <f t="shared" si="2"/>
        <v>2890</v>
      </c>
      <c r="E11" s="58">
        <f>IF(AND(C11=""),"",IF(AND($G$4=""),"",ROUND(C11*Master!G$4%,0)))</f>
        <v>4624</v>
      </c>
      <c r="F11" s="21">
        <f>IF(AND(C11=""),"",IF(AND($G$4=""),"",Master!G$5))</f>
        <v>0</v>
      </c>
      <c r="G11" s="21">
        <f t="shared" si="3"/>
        <v>65314</v>
      </c>
      <c r="H11" s="58">
        <f>IF(AND($G$4=""),"",IF(AND(Arrear!AH$1&lt;3),"",H10))</f>
        <v>21910</v>
      </c>
      <c r="I11" s="58">
        <f t="shared" si="4"/>
        <v>30455</v>
      </c>
      <c r="J11" s="58">
        <f>IF(AND(H11=""),"",IF(AND($G$4=""),"",ROUND(H11*Master!C$4%,0)))</f>
        <v>2191</v>
      </c>
      <c r="K11" s="21">
        <f>IF(AND(C11=""),"",IF(AND($G$4=""),"",Master!C$5))</f>
        <v>0</v>
      </c>
      <c r="L11" s="21">
        <f t="shared" si="5"/>
        <v>54556</v>
      </c>
      <c r="M11" s="21">
        <f t="shared" si="6"/>
        <v>35890</v>
      </c>
      <c r="N11" s="21">
        <f t="shared" si="7"/>
        <v>-27565</v>
      </c>
      <c r="O11" s="21">
        <f t="shared" si="8"/>
        <v>2433</v>
      </c>
      <c r="P11" s="21">
        <f t="shared" si="9"/>
        <v>0</v>
      </c>
      <c r="Q11" s="21">
        <f t="shared" si="10"/>
        <v>10758</v>
      </c>
      <c r="R11" s="58">
        <f>IF(AND(C11=""),"",IF(ISNA(VLOOKUP($G$4,Master!A$9:T$78,8,FALSE)),"",VLOOKUP($G$4,Master!A$9:AN$78,8,FALSE)))</f>
        <v>0</v>
      </c>
      <c r="S11" s="58">
        <f>IF(AND(C11=""),"",IF(ISNA(VLOOKUP($G$4,Master!A$9:T$78,7,FALSE)),"",VLOOKUP($G$4,Master!A$9:AN$78,7,FALSE)))</f>
        <v>0</v>
      </c>
      <c r="T11" s="21">
        <f t="shared" si="11"/>
        <v>0</v>
      </c>
      <c r="U11" s="58">
        <f>IF(AND(C11=""),"",IF(AND(AI$1=Master!Z$1),VLOOKUP($G$4,Master!A$9:AN$78,11,FALSE),ROUND((C11+D11)*10%,0)))</f>
        <v>0</v>
      </c>
      <c r="V11" s="58">
        <f>IF(AND(H11=""),"",IF(AND(AI$1=Master!Z$1),VLOOKUP($G$4,Master!A$9:AN$78,10,FALSE),ROUND((H11+I11)*10%,0)))</f>
        <v>0</v>
      </c>
      <c r="W11" s="21">
        <f t="shared" si="12"/>
        <v>0</v>
      </c>
      <c r="X11" s="58">
        <f>IF(AND(C11=""),"",IF(ISNA(VLOOKUP($G$4,Master!A$9:T$78,13,FALSE)),"",VLOOKUP($G$4,Master!A$9:AN$78,13,FALSE)))</f>
        <v>0</v>
      </c>
      <c r="Y11" s="58">
        <f>IF(AND(C11=""),"",IF(ISNA(VLOOKUP($G$4,Master!A$9:T$78,12,FALSE)),"",VLOOKUP($G$4,Master!A$9:AN$78,12,FALSE)))</f>
        <v>0</v>
      </c>
      <c r="Z11" s="21">
        <f t="shared" si="13"/>
        <v>0</v>
      </c>
      <c r="AA11" s="58">
        <f t="shared" si="14"/>
        <v>1076</v>
      </c>
      <c r="AB11" s="21">
        <f t="shared" si="15"/>
        <v>1076</v>
      </c>
      <c r="AC11" s="21">
        <f t="shared" si="1"/>
        <v>9682</v>
      </c>
      <c r="AD11" s="61"/>
    </row>
    <row r="12" spans="1:35">
      <c r="A12" s="19">
        <v>4</v>
      </c>
      <c r="B12" s="20">
        <v>43101</v>
      </c>
      <c r="C12" s="58">
        <f>IF(AND($G$4=""),"",IF(AND(Arrear!AH$1&lt;4),"",Arrear!C11))</f>
        <v>57800</v>
      </c>
      <c r="D12" s="58">
        <f>IF(AND(C12=""),"",IF(AND($G$4=""),"",ROUND(C12*0.07,0)))</f>
        <v>4046</v>
      </c>
      <c r="E12" s="58">
        <f>IF(AND(C12=""),"",IF(AND($G$4=""),"",ROUND(C12*Master!G$4%,0)))</f>
        <v>4624</v>
      </c>
      <c r="F12" s="21">
        <f>IF(AND(C12=""),"",IF(AND($G$4=""),"",Master!G$5))</f>
        <v>0</v>
      </c>
      <c r="G12" s="21">
        <f t="shared" si="3"/>
        <v>66470</v>
      </c>
      <c r="H12" s="58">
        <f>IF(AND($G$4=""),"",IF(AND(Arrear!AH$1&lt;4),"",H11))</f>
        <v>21910</v>
      </c>
      <c r="I12" s="58">
        <f>IF(AND(H12=""),"",IF(AND($G$4=""),"",ROUND(H12*1.42,0)))</f>
        <v>31112</v>
      </c>
      <c r="J12" s="58">
        <f>IF(AND(H12=""),"",IF(AND($G$4=""),"",ROUND(H12*Master!C$4%,0)))</f>
        <v>2191</v>
      </c>
      <c r="K12" s="21">
        <f>IF(AND(C12=""),"",IF(AND($G$4=""),"",Master!C$5))</f>
        <v>0</v>
      </c>
      <c r="L12" s="21">
        <f t="shared" si="5"/>
        <v>55213</v>
      </c>
      <c r="M12" s="21">
        <f t="shared" si="6"/>
        <v>35890</v>
      </c>
      <c r="N12" s="21">
        <f t="shared" si="7"/>
        <v>-27066</v>
      </c>
      <c r="O12" s="21">
        <f t="shared" si="8"/>
        <v>2433</v>
      </c>
      <c r="P12" s="21">
        <f t="shared" si="9"/>
        <v>0</v>
      </c>
      <c r="Q12" s="21">
        <f t="shared" si="10"/>
        <v>11257</v>
      </c>
      <c r="R12" s="58">
        <f>IF(AND(C12=""),"",IF(ISNA(VLOOKUP($G$4,Master!A$9:T$78,8,FALSE)),"",VLOOKUP($G$4,Master!A$9:AN$78,8,FALSE)))</f>
        <v>0</v>
      </c>
      <c r="S12" s="58">
        <f>IF(AND(C12=""),"",IF(ISNA(VLOOKUP($G$4,Master!A$9:T$78,7,FALSE)),"",VLOOKUP($G$4,Master!A$9:AN$78,7,FALSE)))</f>
        <v>0</v>
      </c>
      <c r="T12" s="21">
        <f t="shared" si="11"/>
        <v>0</v>
      </c>
      <c r="U12" s="58">
        <f>IF(AND(C12=""),"",IF(AND(AI$1=Master!Z$1),VLOOKUP($G$4,Master!A$9:AN$78,11,FALSE),ROUND((C12+D12)*10%,0)))</f>
        <v>0</v>
      </c>
      <c r="V12" s="58">
        <f>IF(AND(H12=""),"",IF(AND(AI$1=Master!Z$1),VLOOKUP($G$4,Master!A$9:AN$78,10,FALSE),ROUND((H12+I12)*10%,0)))</f>
        <v>0</v>
      </c>
      <c r="W12" s="21">
        <f t="shared" si="12"/>
        <v>0</v>
      </c>
      <c r="X12" s="58">
        <f>IF(AND(C12=""),"",IF(ISNA(VLOOKUP($G$4,Master!A$9:T$78,13,FALSE)),"",VLOOKUP($G$4,Master!A$9:AN$78,13,FALSE)))</f>
        <v>0</v>
      </c>
      <c r="Y12" s="58">
        <f>IF(AND(C12=""),"",IF(ISNA(VLOOKUP($G$4,Master!A$9:T$78,12,FALSE)),"",VLOOKUP($G$4,Master!A$9:AN$78,12,FALSE)))</f>
        <v>0</v>
      </c>
      <c r="Z12" s="21">
        <f t="shared" si="13"/>
        <v>0</v>
      </c>
      <c r="AA12" s="58">
        <f t="shared" si="14"/>
        <v>1126</v>
      </c>
      <c r="AB12" s="21">
        <f t="shared" si="15"/>
        <v>1126</v>
      </c>
      <c r="AC12" s="21">
        <f t="shared" si="1"/>
        <v>10131</v>
      </c>
      <c r="AD12" s="61"/>
    </row>
    <row r="13" spans="1:35">
      <c r="A13" s="19">
        <v>5</v>
      </c>
      <c r="B13" s="20">
        <v>43132</v>
      </c>
      <c r="C13" s="58">
        <f>IF(AND($G$4=""),"",IF(AND(Arrear!AH$1&lt;5),"",Arrear!C12))</f>
        <v>57800</v>
      </c>
      <c r="D13" s="58">
        <f>IF(AND(C13=""),"",IF(AND($G$4=""),"",ROUND(C13*0.07,0)))</f>
        <v>4046</v>
      </c>
      <c r="E13" s="58">
        <f>IF(AND(C13=""),"",IF(AND($G$4=""),"",ROUND(C13*Master!G$4%,0)))</f>
        <v>4624</v>
      </c>
      <c r="F13" s="21">
        <f>IF(AND(C13=""),"",IF(AND($G$4=""),"",Master!G$5))</f>
        <v>0</v>
      </c>
      <c r="G13" s="21">
        <f t="shared" si="3"/>
        <v>66470</v>
      </c>
      <c r="H13" s="58">
        <f>IF(AND($G$4=""),"",IF(AND(Arrear!AH$1&lt;5),"",H12))</f>
        <v>21910</v>
      </c>
      <c r="I13" s="58">
        <f t="shared" ref="I13:I17" si="16">IF(AND(H13=""),"",IF(AND($G$4=""),"",ROUND(H13*1.42,0)))</f>
        <v>31112</v>
      </c>
      <c r="J13" s="58">
        <f>IF(AND(H13=""),"",IF(AND($G$4=""),"",ROUND(H13*Master!C$4%,0)))</f>
        <v>2191</v>
      </c>
      <c r="K13" s="21">
        <f>IF(AND(C13=""),"",IF(AND($G$4=""),"",Master!C$5))</f>
        <v>0</v>
      </c>
      <c r="L13" s="21">
        <f t="shared" si="5"/>
        <v>55213</v>
      </c>
      <c r="M13" s="21">
        <f t="shared" si="6"/>
        <v>35890</v>
      </c>
      <c r="N13" s="21">
        <f t="shared" si="7"/>
        <v>-27066</v>
      </c>
      <c r="O13" s="21">
        <f t="shared" si="8"/>
        <v>2433</v>
      </c>
      <c r="P13" s="21">
        <f t="shared" si="9"/>
        <v>0</v>
      </c>
      <c r="Q13" s="21">
        <f t="shared" si="10"/>
        <v>11257</v>
      </c>
      <c r="R13" s="58">
        <f>IF(AND(C13=""),"",IF(ISNA(VLOOKUP($G$4,Master!A$9:T$78,8,FALSE)),"",VLOOKUP($G$4,Master!A$9:AN$78,8,FALSE)))</f>
        <v>0</v>
      </c>
      <c r="S13" s="58">
        <f>IF(AND(C13=""),"",IF(ISNA(VLOOKUP($G$4,Master!A$9:T$78,7,FALSE)),"",VLOOKUP($G$4,Master!A$9:AN$78,7,FALSE)))</f>
        <v>0</v>
      </c>
      <c r="T13" s="21">
        <f t="shared" si="11"/>
        <v>0</v>
      </c>
      <c r="U13" s="58">
        <f>IF(AND(C13=""),"",IF(AND(AI$1=Master!Z$1),VLOOKUP($G$4,Master!A$9:AN$78,11,FALSE),ROUND((C13+D13)*10%,0)))</f>
        <v>0</v>
      </c>
      <c r="V13" s="58">
        <f>IF(AND(H13=""),"",IF(AND(AI$1=Master!Z$1),VLOOKUP($G$4,Master!A$9:AN$78,10,FALSE),ROUND((H13+I13)*10%,0)))</f>
        <v>0</v>
      </c>
      <c r="W13" s="21">
        <f t="shared" si="12"/>
        <v>0</v>
      </c>
      <c r="X13" s="58">
        <f>IF(AND(C13=""),"",IF(ISNA(VLOOKUP($G$4,Master!A$9:T$78,13,FALSE)),"",VLOOKUP($G$4,Master!A$9:AN$78,13,FALSE)))</f>
        <v>0</v>
      </c>
      <c r="Y13" s="58">
        <f>IF(AND(C13=""),"",IF(ISNA(VLOOKUP($G$4,Master!A$9:T$78,12,FALSE)),"",VLOOKUP($G$4,Master!A$9:AN$78,12,FALSE)))</f>
        <v>0</v>
      </c>
      <c r="Z13" s="21">
        <f t="shared" si="13"/>
        <v>0</v>
      </c>
      <c r="AA13" s="58">
        <f t="shared" si="14"/>
        <v>1126</v>
      </c>
      <c r="AB13" s="21">
        <f t="shared" si="15"/>
        <v>1126</v>
      </c>
      <c r="AC13" s="21">
        <f t="shared" si="1"/>
        <v>10131</v>
      </c>
      <c r="AD13" s="61"/>
    </row>
    <row r="14" spans="1:35">
      <c r="A14" s="19">
        <v>6</v>
      </c>
      <c r="B14" s="20">
        <v>43160</v>
      </c>
      <c r="C14" s="58">
        <f>IF(AND($G$4=""),"",IF(AND(Arrear!AH$1&lt;6),"",Arrear!C13))</f>
        <v>57800</v>
      </c>
      <c r="D14" s="58">
        <f>IF(AND(C14=""),"",IF(AND($G$4=""),"",ROUND(C14*0.07,0)))</f>
        <v>4046</v>
      </c>
      <c r="E14" s="58">
        <f>IF(AND(C14=""),"",IF(AND($G$4=""),"",ROUND(C14*Master!G$4%,0)))</f>
        <v>4624</v>
      </c>
      <c r="F14" s="21">
        <f>IF(AND(C14=""),"",IF(AND($G$4=""),"",Master!G$5))</f>
        <v>0</v>
      </c>
      <c r="G14" s="21">
        <f t="shared" ref="G14" si="17">IF(AND(C14=""),"",SUM(C14:F14))</f>
        <v>66470</v>
      </c>
      <c r="H14" s="58">
        <f>IF(AND($G$4=""),"",IF(AND(Arrear!AH$1&lt;6),"",H13))</f>
        <v>21910</v>
      </c>
      <c r="I14" s="58">
        <f t="shared" si="16"/>
        <v>31112</v>
      </c>
      <c r="J14" s="58">
        <f>IF(AND(H14=""),"",IF(AND($G$4=""),"",ROUND(H14*Master!C$4%,0)))</f>
        <v>2191</v>
      </c>
      <c r="K14" s="21">
        <f>IF(AND(C14=""),"",IF(AND($G$4=""),"",Master!C$5))</f>
        <v>0</v>
      </c>
      <c r="L14" s="21">
        <f t="shared" ref="L14" si="18">IF(AND(C14=""),"",SUM(H14:K14))</f>
        <v>55213</v>
      </c>
      <c r="M14" s="21">
        <f t="shared" ref="M14" si="19">IF(AND(C14=""),"",IF(AND(H14=""),"",C14-H14))</f>
        <v>35890</v>
      </c>
      <c r="N14" s="21">
        <f t="shared" ref="N14" si="20">IF(AND(D14=""),"",IF(AND(I14=""),"",D14-I14))</f>
        <v>-27066</v>
      </c>
      <c r="O14" s="21">
        <f t="shared" ref="O14" si="21">IF(AND(E14=""),"",IF(AND(J14=""),"",E14-J14))</f>
        <v>2433</v>
      </c>
      <c r="P14" s="21">
        <f t="shared" ref="P14" si="22">IF(AND(F14=""),"",IF(AND(K14=""),"",F14-K14))</f>
        <v>0</v>
      </c>
      <c r="Q14" s="21">
        <f t="shared" ref="Q14" si="23">IF(AND(G14=""),"",IF(AND(L14=""),"",G14-L14))</f>
        <v>11257</v>
      </c>
      <c r="R14" s="58">
        <f>IF(AND(C14=""),"",IF(ISNA(VLOOKUP($G$4,Master!A$9:T$78,8,FALSE)),"",VLOOKUP($G$4,Master!A$9:AN$78,8,FALSE)))</f>
        <v>0</v>
      </c>
      <c r="S14" s="58">
        <f>IF(AND(C14=""),"",IF(ISNA(VLOOKUP($G$4,Master!A$9:T$78,7,FALSE)),"",VLOOKUP($G$4,Master!A$9:AN$78,7,FALSE)))</f>
        <v>0</v>
      </c>
      <c r="T14" s="58">
        <f t="shared" ref="T14" si="24">IF(AND(R14=""),"",IF(AND(S14=""),"",R14-S14))</f>
        <v>0</v>
      </c>
      <c r="U14" s="58">
        <f>IF(AND(C14=""),"",IF(AND(AI$1=Master!Z$1),VLOOKUP($G$4,Master!A$9:AN$78,11,FALSE),ROUND((C14+D14)*10%,0)))</f>
        <v>0</v>
      </c>
      <c r="V14" s="58">
        <f>IF(AND(H14=""),"",IF(AND(AI$1=Master!Z$1),VLOOKUP($G$4,Master!A$9:AN$78,10,FALSE),ROUND((H14+I14)*10%,0)))</f>
        <v>0</v>
      </c>
      <c r="W14" s="58">
        <f t="shared" ref="W14" si="25">IF(AND(U14=""),"",IF(AND(V14=""),"",U14-V14))</f>
        <v>0</v>
      </c>
      <c r="X14" s="58">
        <f>IF(AND(C14=""),"",IF(ISNA(VLOOKUP($G$4,Master!A$9:T$78,13,FALSE)),"",VLOOKUP($G$4,Master!A$9:AN$78,13,FALSE)))</f>
        <v>0</v>
      </c>
      <c r="Y14" s="58">
        <f>IF(AND(C14=""),"",IF(ISNA(VLOOKUP($G$4,Master!A$9:T$78,12,FALSE)),"",VLOOKUP($G$4,Master!A$9:AN$78,12,FALSE)))</f>
        <v>0</v>
      </c>
      <c r="Z14" s="58">
        <f t="shared" si="13"/>
        <v>0</v>
      </c>
      <c r="AA14" s="58">
        <f t="shared" si="14"/>
        <v>1126</v>
      </c>
      <c r="AB14" s="21">
        <f t="shared" si="15"/>
        <v>1126</v>
      </c>
      <c r="AC14" s="21">
        <f t="shared" si="1"/>
        <v>10131</v>
      </c>
      <c r="AD14" s="61"/>
    </row>
    <row r="15" spans="1:35">
      <c r="A15" s="19">
        <v>7</v>
      </c>
      <c r="B15" s="20">
        <v>43191</v>
      </c>
      <c r="C15" s="58">
        <f>IF(AND($G$4=""),"",IF(AND(Arrear!AH$1&lt;7),"",Arrear!C14))</f>
        <v>57800</v>
      </c>
      <c r="D15" s="58">
        <f>IF(AND(C15=""),"",IF(AND($G$4=""),"",ROUND(C15*0.07,0)))</f>
        <v>4046</v>
      </c>
      <c r="E15" s="58">
        <f>IF(AND(C15=""),"",IF(AND($G$4=""),"",ROUND(C15*Master!G$4%,0)))</f>
        <v>4624</v>
      </c>
      <c r="F15" s="21">
        <f>IF(AND(C15=""),"",IF(AND($G$4=""),"",Master!G$5))</f>
        <v>0</v>
      </c>
      <c r="G15" s="21">
        <f t="shared" ref="G15:G16" si="26">IF(AND(C15=""),"",SUM(C15:F15))</f>
        <v>66470</v>
      </c>
      <c r="H15" s="58">
        <f>IF(AND($G$4=""),"",IF(AND(Arrear!AH$1&lt;7),"",H14))</f>
        <v>21910</v>
      </c>
      <c r="I15" s="58">
        <f t="shared" si="16"/>
        <v>31112</v>
      </c>
      <c r="J15" s="58">
        <f>IF(AND(H15=""),"",IF(AND($G$4=""),"",ROUND(H15*Master!C$4%,0)))</f>
        <v>2191</v>
      </c>
      <c r="K15" s="21">
        <f>IF(AND(C15=""),"",IF(AND($G$4=""),"",Master!C$5))</f>
        <v>0</v>
      </c>
      <c r="L15" s="21">
        <f t="shared" ref="L15:L16" si="27">IF(AND(C15=""),"",SUM(H15:K15))</f>
        <v>55213</v>
      </c>
      <c r="M15" s="21">
        <f t="shared" ref="M15:M16" si="28">IF(AND(C15=""),"",IF(AND(H15=""),"",C15-H15))</f>
        <v>35890</v>
      </c>
      <c r="N15" s="21">
        <f t="shared" ref="N15:N16" si="29">IF(AND(D15=""),"",IF(AND(I15=""),"",D15-I15))</f>
        <v>-27066</v>
      </c>
      <c r="O15" s="21">
        <f t="shared" ref="O15:O16" si="30">IF(AND(E15=""),"",IF(AND(J15=""),"",E15-J15))</f>
        <v>2433</v>
      </c>
      <c r="P15" s="21">
        <f t="shared" ref="P15:P16" si="31">IF(AND(F15=""),"",IF(AND(K15=""),"",F15-K15))</f>
        <v>0</v>
      </c>
      <c r="Q15" s="21">
        <f t="shared" ref="Q15:Q16" si="32">IF(AND(G15=""),"",IF(AND(L15=""),"",G15-L15))</f>
        <v>11257</v>
      </c>
      <c r="R15" s="58">
        <f>IF(AND(C15=""),"",IF(ISNA(VLOOKUP($G$4,Master!A$9:T$78,8,FALSE)),"",VLOOKUP($G$4,Master!A$9:AN$78,8,FALSE)))</f>
        <v>0</v>
      </c>
      <c r="S15" s="58">
        <f>IF(AND(C15=""),"",IF(ISNA(VLOOKUP($G$4,Master!A$9:T$78,7,FALSE)),"",VLOOKUP($G$4,Master!A$9:AN$78,7,FALSE)))</f>
        <v>0</v>
      </c>
      <c r="T15" s="58">
        <f t="shared" ref="T15:T16" si="33">IF(AND(R15=""),"",IF(AND(S15=""),"",R15-S15))</f>
        <v>0</v>
      </c>
      <c r="U15" s="58">
        <f>IF(AND(C15=""),"",IF(AND(AI$1=Master!Z$1),VLOOKUP($G$4,Master!A$9:AN$78,11,FALSE),ROUND((C15+D15)*10%,0)))</f>
        <v>0</v>
      </c>
      <c r="V15" s="58">
        <f>IF(AND(H15=""),"",IF(AND(AI$1=Master!Z$1),VLOOKUP($G$4,Master!A$9:AN$78,10,FALSE),ROUND((H15+I15)*10%,0)))</f>
        <v>0</v>
      </c>
      <c r="W15" s="58">
        <f t="shared" ref="W15:W16" si="34">IF(AND(U15=""),"",IF(AND(V15=""),"",U15-V15))</f>
        <v>0</v>
      </c>
      <c r="X15" s="58">
        <f>IF(AND(C15=""),"",IF(ISNA(VLOOKUP($G$4,Master!A$9:T$78,13,FALSE)),"",VLOOKUP($G$4,Master!A$9:AN$78,13,FALSE)))</f>
        <v>0</v>
      </c>
      <c r="Y15" s="58">
        <f>IF(AND(C15=""),"",IF(ISNA(VLOOKUP($G$4,Master!A$9:T$78,12,FALSE)),"",VLOOKUP($G$4,Master!A$9:AN$78,12,FALSE)))</f>
        <v>0</v>
      </c>
      <c r="Z15" s="58">
        <f t="shared" ref="Z15:Z16" si="35">IF(AND(X15=""),"",IF(AND(Y15=""),"",X15-Y15))</f>
        <v>0</v>
      </c>
      <c r="AA15" s="58">
        <f t="shared" ref="AA15:AA16" si="36">IF(AND($G$4=""),"",IF(AND(Q15=""),"",ROUND(Q15*10%,0)))</f>
        <v>1126</v>
      </c>
      <c r="AB15" s="21">
        <f t="shared" ref="AB15:AB16" si="37">IF(AND(T15=""),"",IF(AND(W15=""),"",IF(AND(Z15=""),"",IF(AND(AA15=""),"",T15+W15+Z15+AA15))))</f>
        <v>1126</v>
      </c>
      <c r="AC15" s="21">
        <f t="shared" ref="AC15:AC17" si="38">IF(AND(Q15=""),"",IF(AND(AB15=""),"",Q15-AB15))</f>
        <v>10131</v>
      </c>
      <c r="AD15" s="61"/>
    </row>
    <row r="16" spans="1:35">
      <c r="A16" s="19">
        <v>8</v>
      </c>
      <c r="B16" s="20">
        <v>43221</v>
      </c>
      <c r="C16" s="58">
        <f>IF(AND($G$4=""),"",IF(AND(Arrear!AH$1&lt;8),"",Arrear!C15))</f>
        <v>57800</v>
      </c>
      <c r="D16" s="58">
        <f>IF(AND(C16=""),"",IF(AND($G$4=""),"",ROUND(C16*0.07,0)))</f>
        <v>4046</v>
      </c>
      <c r="E16" s="58">
        <f>IF(AND(C16=""),"",IF(AND($G$4=""),"",ROUND(C16*Master!G$4%,0)))</f>
        <v>4624</v>
      </c>
      <c r="F16" s="21">
        <f>IF(AND(C16=""),"",IF(AND($G$4=""),"",Master!G$5))</f>
        <v>0</v>
      </c>
      <c r="G16" s="21">
        <f t="shared" si="26"/>
        <v>66470</v>
      </c>
      <c r="H16" s="58">
        <f>IF(AND($G$4=""),"",IF(AND(Arrear!AH$1&lt;8),"",H15))</f>
        <v>21910</v>
      </c>
      <c r="I16" s="58">
        <f t="shared" si="16"/>
        <v>31112</v>
      </c>
      <c r="J16" s="58">
        <f>IF(AND(H16=""),"",IF(AND($G$4=""),"",ROUND(H16*Master!C$4%,0)))</f>
        <v>2191</v>
      </c>
      <c r="K16" s="21">
        <f>IF(AND(C16=""),"",IF(AND($G$4=""),"",Master!C$5))</f>
        <v>0</v>
      </c>
      <c r="L16" s="21">
        <f t="shared" si="27"/>
        <v>55213</v>
      </c>
      <c r="M16" s="21">
        <f t="shared" si="28"/>
        <v>35890</v>
      </c>
      <c r="N16" s="21">
        <f t="shared" si="29"/>
        <v>-27066</v>
      </c>
      <c r="O16" s="21">
        <f t="shared" si="30"/>
        <v>2433</v>
      </c>
      <c r="P16" s="21">
        <f t="shared" si="31"/>
        <v>0</v>
      </c>
      <c r="Q16" s="21">
        <f t="shared" si="32"/>
        <v>11257</v>
      </c>
      <c r="R16" s="58">
        <f>IF(AND(C16=""),"",IF(ISNA(VLOOKUP($G$4,Master!A$9:T$78,8,FALSE)),"",VLOOKUP($G$4,Master!A$9:AN$78,8,FALSE)))</f>
        <v>0</v>
      </c>
      <c r="S16" s="58">
        <f>IF(AND(C16=""),"",IF(ISNA(VLOOKUP($G$4,Master!A$9:T$78,7,FALSE)),"",VLOOKUP($G$4,Master!A$9:AN$78,7,FALSE)))</f>
        <v>0</v>
      </c>
      <c r="T16" s="58">
        <f t="shared" si="33"/>
        <v>0</v>
      </c>
      <c r="U16" s="58">
        <f>IF(AND(C16=""),"",IF(AND(AI$1=Master!Z$1),VLOOKUP($G$4,Master!A$9:AN$78,11,FALSE),ROUND((C16+D16)*10%,0)))</f>
        <v>0</v>
      </c>
      <c r="V16" s="58">
        <f>IF(AND(H16=""),"",IF(AND(AI$1=Master!Z$1),VLOOKUP($G$4,Master!A$9:AN$78,10,FALSE),ROUND((H16+I16)*10%,0)))</f>
        <v>0</v>
      </c>
      <c r="W16" s="58">
        <f t="shared" si="34"/>
        <v>0</v>
      </c>
      <c r="X16" s="58">
        <f>IF(AND(C16=""),"",IF(ISNA(VLOOKUP($G$4,Master!A$9:T$78,13,FALSE)),"",VLOOKUP($G$4,Master!A$9:AN$78,13,FALSE)))</f>
        <v>0</v>
      </c>
      <c r="Y16" s="58">
        <f>IF(AND(C16=""),"",IF(ISNA(VLOOKUP($G$4,Master!A$9:T$78,12,FALSE)),"",VLOOKUP($G$4,Master!A$9:AN$78,12,FALSE)))</f>
        <v>0</v>
      </c>
      <c r="Z16" s="58">
        <f t="shared" si="35"/>
        <v>0</v>
      </c>
      <c r="AA16" s="58">
        <f t="shared" si="36"/>
        <v>1126</v>
      </c>
      <c r="AB16" s="21">
        <f t="shared" si="37"/>
        <v>1126</v>
      </c>
      <c r="AC16" s="21">
        <f t="shared" si="38"/>
        <v>10131</v>
      </c>
      <c r="AD16" s="61"/>
    </row>
    <row r="17" spans="1:30">
      <c r="A17" s="19">
        <v>9</v>
      </c>
      <c r="B17" s="20">
        <v>43252</v>
      </c>
      <c r="C17" s="58">
        <f>IF(AND($G$4=""),"",IF(AND(Arrear!AH$1&lt;9),"",Arrear!C16))</f>
        <v>57800</v>
      </c>
      <c r="D17" s="58">
        <f>IF(AND(C17=""),"",IF(AND($G$4=""),"",ROUND(C17*0.07,0)))</f>
        <v>4046</v>
      </c>
      <c r="E17" s="58">
        <f>IF(AND(C17=""),"",IF(AND($G$4=""),"",ROUND(C17*Master!G$4%,0)))</f>
        <v>4624</v>
      </c>
      <c r="F17" s="21">
        <f>IF(AND(C17=""),"",IF(AND($G$4=""),"",Master!G$5))</f>
        <v>0</v>
      </c>
      <c r="G17" s="21">
        <f t="shared" ref="G17" si="39">IF(AND(C17=""),"",SUM(C17:F17))</f>
        <v>66470</v>
      </c>
      <c r="H17" s="58">
        <f>IF(AND($G$4=""),"",IF(AND(Arrear!AH$1&lt;9),"",H16))</f>
        <v>21910</v>
      </c>
      <c r="I17" s="58">
        <f t="shared" si="16"/>
        <v>31112</v>
      </c>
      <c r="J17" s="58">
        <f>IF(AND(H17=""),"",IF(AND($G$4=""),"",ROUND(H17*Master!C$4%,0)))</f>
        <v>2191</v>
      </c>
      <c r="K17" s="21">
        <f>IF(AND(C17=""),"",IF(AND($G$4=""),"",Master!C$5))</f>
        <v>0</v>
      </c>
      <c r="L17" s="21">
        <f t="shared" ref="L17" si="40">IF(AND(C17=""),"",SUM(H17:K17))</f>
        <v>55213</v>
      </c>
      <c r="M17" s="21">
        <f t="shared" ref="M17" si="41">IF(AND(C17=""),"",IF(AND(H17=""),"",C17-H17))</f>
        <v>35890</v>
      </c>
      <c r="N17" s="21">
        <f t="shared" ref="N17" si="42">IF(AND(D17=""),"",IF(AND(I17=""),"",D17-I17))</f>
        <v>-27066</v>
      </c>
      <c r="O17" s="21">
        <f t="shared" ref="O17" si="43">IF(AND(E17=""),"",IF(AND(J17=""),"",E17-J17))</f>
        <v>2433</v>
      </c>
      <c r="P17" s="21">
        <f t="shared" ref="P17" si="44">IF(AND(F17=""),"",IF(AND(K17=""),"",F17-K17))</f>
        <v>0</v>
      </c>
      <c r="Q17" s="21">
        <f t="shared" ref="Q17" si="45">IF(AND(G17=""),"",IF(AND(L17=""),"",G17-L17))</f>
        <v>11257</v>
      </c>
      <c r="R17" s="58">
        <f>IF(AND(C17=""),"",IF(ISNA(VLOOKUP($G$4,Master!A$9:T$78,8,FALSE)),"",VLOOKUP($G$4,Master!A$9:AN$78,8,FALSE)))</f>
        <v>0</v>
      </c>
      <c r="S17" s="58">
        <f>IF(AND(C17=""),"",IF(ISNA(VLOOKUP($G$4,Master!A$9:T$78,7,FALSE)),"",VLOOKUP($G$4,Master!A$9:AN$78,7,FALSE)))</f>
        <v>0</v>
      </c>
      <c r="T17" s="58">
        <f t="shared" ref="T17" si="46">IF(AND(R17=""),"",IF(AND(S17=""),"",R17-S17))</f>
        <v>0</v>
      </c>
      <c r="U17" s="58">
        <f>IF(AND(C17=""),"",IF(AND(AI$1=Master!Z$1),VLOOKUP($G$4,Master!A$9:AN$78,11,FALSE),ROUND((C17+D17)*10%,0)))</f>
        <v>0</v>
      </c>
      <c r="V17" s="58">
        <f>IF(AND(H17=""),"",IF(AND(AI$1=Master!Z$1),VLOOKUP($G$4,Master!A$9:AN$78,10,FALSE),ROUND((H17+I17)*10%,0)))</f>
        <v>0</v>
      </c>
      <c r="W17" s="58">
        <f t="shared" ref="W17" si="47">IF(AND(U17=""),"",IF(AND(V17=""),"",U17-V17))</f>
        <v>0</v>
      </c>
      <c r="X17" s="58">
        <f>IF(AND(C17=""),"",IF(ISNA(VLOOKUP($G$4,Master!A$9:T$78,13,FALSE)),"",VLOOKUP($G$4,Master!A$9:AN$78,13,FALSE)))</f>
        <v>0</v>
      </c>
      <c r="Y17" s="58">
        <f>IF(AND(C17=""),"",IF(ISNA(VLOOKUP($G$4,Master!A$9:T$78,12,FALSE)),"",VLOOKUP($G$4,Master!A$9:AN$78,12,FALSE)))</f>
        <v>0</v>
      </c>
      <c r="Z17" s="58">
        <f t="shared" ref="Z17" si="48">IF(AND(X17=""),"",IF(AND(Y17=""),"",X17-Y17))</f>
        <v>0</v>
      </c>
      <c r="AA17" s="58">
        <f t="shared" ref="AA17" si="49">IF(AND($G$4=""),"",IF(AND(Q17=""),"",ROUND(Q17*10%,0)))</f>
        <v>1126</v>
      </c>
      <c r="AB17" s="21">
        <f t="shared" ref="AB17" si="50">IF(AND(T17=""),"",IF(AND(W17=""),"",IF(AND(Z17=""),"",IF(AND(AA17=""),"",T17+W17+Z17+AA17))))</f>
        <v>1126</v>
      </c>
      <c r="AC17" s="21">
        <f t="shared" si="38"/>
        <v>10131</v>
      </c>
      <c r="AD17" s="61"/>
    </row>
    <row r="18" spans="1:30">
      <c r="A18" s="19">
        <v>10</v>
      </c>
      <c r="B18" s="22" t="s">
        <v>58</v>
      </c>
      <c r="C18" s="59"/>
      <c r="D18" s="58" t="str">
        <f t="shared" ref="D18" si="51">IF(AND(C18=""),"",IF(AND($G$4=""),"",ROUND(C18*0.05,0)))</f>
        <v/>
      </c>
      <c r="E18" s="58"/>
      <c r="F18" s="58"/>
      <c r="G18" s="21" t="str">
        <f t="shared" ref="G18" si="52">IF(AND(C18=""),"",SUM(C18:F18))</f>
        <v/>
      </c>
      <c r="H18" s="59"/>
      <c r="I18" s="58" t="str">
        <f t="shared" ref="I18" si="53">IF(AND(H18=""),"",IF(AND($G$4=""),"",ROUND(H18*1.39,0)))</f>
        <v/>
      </c>
      <c r="J18" s="21"/>
      <c r="K18" s="21"/>
      <c r="L18" s="21" t="str">
        <f t="shared" ref="L18" si="54">IF(AND(C18=""),"",SUM(H18:K18))</f>
        <v/>
      </c>
      <c r="M18" s="21" t="str">
        <f t="shared" ref="M18" si="55">IF(AND(C18=""),"",IF(AND(H18=""),"",C18-H18))</f>
        <v/>
      </c>
      <c r="N18" s="21" t="str">
        <f t="shared" ref="N18" si="56">IF(AND(D18=""),"",IF(AND(I18=""),"",D18-I18))</f>
        <v/>
      </c>
      <c r="O18" s="21" t="str">
        <f t="shared" ref="O18" si="57">IF(AND(E18=""),"",IF(AND(J18=""),"",E18-J18))</f>
        <v/>
      </c>
      <c r="P18" s="21" t="str">
        <f t="shared" ref="P18" si="58">IF(AND(F18=""),"",IF(AND(K18=""),"",F18-K18))</f>
        <v/>
      </c>
      <c r="Q18" s="21" t="str">
        <f t="shared" ref="Q18" si="59">IF(AND(G18=""),"",IF(AND(L18=""),"",G18-L18))</f>
        <v/>
      </c>
      <c r="R18" s="58"/>
      <c r="S18" s="58"/>
      <c r="T18" s="21" t="str">
        <f t="shared" ref="T18" si="60">IF(AND(R18=""),"",IF(AND(S18=""),"",R18-S18))</f>
        <v/>
      </c>
      <c r="U18" s="58"/>
      <c r="V18" s="58"/>
      <c r="W18" s="21" t="str">
        <f t="shared" ref="W18" si="61">IF(AND(U18=""),"",IF(AND(V18=""),"",U18-V18))</f>
        <v/>
      </c>
      <c r="X18" s="58"/>
      <c r="Y18" s="58"/>
      <c r="Z18" s="21" t="str">
        <f t="shared" ref="Z18" si="62">IF(AND(X18=""),"",IF(AND(Y18=""),"",X18-Y18))</f>
        <v/>
      </c>
      <c r="AA18" s="58" t="str">
        <f>IF(AND($G$4=""),"",IF(AND(Q18=""),"",ROUND(Q18*10%,0)))</f>
        <v/>
      </c>
      <c r="AB18" s="21" t="str">
        <f t="shared" ref="AB18:AB19" si="63">IF(AND(T18=""),"",IF(AND(W18=""),"",IF(AND(Z18=""),"",IF(AND(AA18=""),"",T18+W18+Z18+AA18))))</f>
        <v/>
      </c>
      <c r="AC18" s="21" t="str">
        <f t="shared" ref="AC18:AC19" si="64">IF(AND(Q18=""),"",IF(AND(AB18=""),"",Q18-AB18))</f>
        <v/>
      </c>
      <c r="AD18" s="61"/>
    </row>
    <row r="19" spans="1:30">
      <c r="A19" s="19">
        <v>11</v>
      </c>
      <c r="B19" s="22"/>
      <c r="C19" s="21"/>
      <c r="D19" s="21"/>
      <c r="E19" s="21"/>
      <c r="F19" s="21"/>
      <c r="G19" s="21"/>
      <c r="H19" s="21"/>
      <c r="I19" s="21"/>
      <c r="J19" s="21"/>
      <c r="K19" s="23"/>
      <c r="L19" s="21"/>
      <c r="M19" s="21"/>
      <c r="N19" s="21"/>
      <c r="O19" s="21"/>
      <c r="P19" s="23"/>
      <c r="Q19" s="21"/>
      <c r="R19" s="60"/>
      <c r="S19" s="60"/>
      <c r="T19" s="23"/>
      <c r="U19" s="58"/>
      <c r="V19" s="58"/>
      <c r="W19" s="21"/>
      <c r="X19" s="58" t="str">
        <f>IF(AND(C19=""),"",IF(ISNA(VLOOKUP($G$4,Master!A$9:T$78,13,FALSE)),"",VLOOKUP($G$4,Master!A$9:AN$78,13,FALSE)))</f>
        <v/>
      </c>
      <c r="Y19" s="58" t="str">
        <f>IF(AND(C19=""),"",IF(ISNA(VLOOKUP($G$4,Master!A$9:T$78,12,FALSE)),"",VLOOKUP($G$4,Master!A$9:AN$78,12,FALSE)))</f>
        <v/>
      </c>
      <c r="Z19" s="21" t="str">
        <f t="shared" si="13"/>
        <v/>
      </c>
      <c r="AA19" s="58" t="str">
        <f t="shared" si="14"/>
        <v/>
      </c>
      <c r="AB19" s="21" t="str">
        <f t="shared" si="63"/>
        <v/>
      </c>
      <c r="AC19" s="21" t="str">
        <f t="shared" si="64"/>
        <v/>
      </c>
      <c r="AD19" s="61"/>
    </row>
    <row r="20" spans="1:30" ht="15.75">
      <c r="A20" s="78" t="s">
        <v>15</v>
      </c>
      <c r="B20" s="78"/>
      <c r="C20" s="21">
        <f t="shared" ref="C20:AC20" si="65">IF(AND($G$4=""),"",SUM(C9:C19))</f>
        <v>520200</v>
      </c>
      <c r="D20" s="21">
        <f t="shared" si="65"/>
        <v>32946</v>
      </c>
      <c r="E20" s="21">
        <f t="shared" si="65"/>
        <v>41616</v>
      </c>
      <c r="F20" s="21">
        <f t="shared" si="65"/>
        <v>0</v>
      </c>
      <c r="G20" s="21">
        <f t="shared" si="65"/>
        <v>594762</v>
      </c>
      <c r="H20" s="21">
        <f t="shared" si="65"/>
        <v>197190</v>
      </c>
      <c r="I20" s="21">
        <f t="shared" si="65"/>
        <v>278037</v>
      </c>
      <c r="J20" s="21">
        <f t="shared" si="65"/>
        <v>19719</v>
      </c>
      <c r="K20" s="21">
        <f t="shared" si="65"/>
        <v>0</v>
      </c>
      <c r="L20" s="21">
        <f t="shared" si="65"/>
        <v>494946</v>
      </c>
      <c r="M20" s="21">
        <f t="shared" si="65"/>
        <v>323010</v>
      </c>
      <c r="N20" s="21">
        <f t="shared" si="65"/>
        <v>-245091</v>
      </c>
      <c r="O20" s="21">
        <f t="shared" si="65"/>
        <v>21897</v>
      </c>
      <c r="P20" s="21">
        <f t="shared" si="65"/>
        <v>0</v>
      </c>
      <c r="Q20" s="21">
        <f t="shared" si="65"/>
        <v>99816</v>
      </c>
      <c r="R20" s="21">
        <f t="shared" si="65"/>
        <v>0</v>
      </c>
      <c r="S20" s="21">
        <f t="shared" si="65"/>
        <v>0</v>
      </c>
      <c r="T20" s="21">
        <f t="shared" si="65"/>
        <v>0</v>
      </c>
      <c r="U20" s="21">
        <f t="shared" si="65"/>
        <v>0</v>
      </c>
      <c r="V20" s="21">
        <f t="shared" si="65"/>
        <v>0</v>
      </c>
      <c r="W20" s="21">
        <f t="shared" si="65"/>
        <v>0</v>
      </c>
      <c r="X20" s="21">
        <f t="shared" si="65"/>
        <v>0</v>
      </c>
      <c r="Y20" s="21">
        <f t="shared" si="65"/>
        <v>0</v>
      </c>
      <c r="Z20" s="21">
        <f t="shared" si="65"/>
        <v>0</v>
      </c>
      <c r="AA20" s="21">
        <f t="shared" si="65"/>
        <v>9984</v>
      </c>
      <c r="AB20" s="21">
        <f t="shared" si="65"/>
        <v>9984</v>
      </c>
      <c r="AC20" s="24">
        <f t="shared" si="65"/>
        <v>89832</v>
      </c>
      <c r="AD20" s="25"/>
    </row>
    <row r="21" spans="1:30" ht="18.75">
      <c r="A21" s="26"/>
      <c r="B21" s="27"/>
      <c r="C21" s="28"/>
      <c r="D21" s="28"/>
      <c r="E21" s="28"/>
      <c r="F21" s="28"/>
      <c r="G21" s="28"/>
      <c r="H21" s="28"/>
      <c r="I21" s="97" t="s">
        <v>54</v>
      </c>
      <c r="J21" s="97"/>
      <c r="K21" s="97"/>
      <c r="L21" s="98" t="str">
        <f>IF(AND(G4=""),"",IF(AND(AC20=0),"","( Rs. "&amp;LOOKUP(IF(INT(RIGHT(AC20,7)/100000)&gt;19,INT(RIGHT(AC20,7)/1000000),IF(INT(RIGHT(AC20,7)/100000)&gt;=10,INT(RIGHT(AC20,7)/100000),0)),{0,1,2,3,4,5,6,7,8,9,10,11,12,13,14,15,16,17,18,19},{""," TEN "," TWENTY "," THIRTY "," FOURTY "," FIFTY "," SIXTY "," SEVENTY "," EIGHTY "," NINETY "," TEN "," ELEVEN "," TWELVE "," THIRTEEN "," FOURTEEN "," FIFTEEN "," SIXTEEN"," SEVENTEEN"," EIGHTEEN "," NINETEEN "})&amp;IF((IF(INT(RIGHT(AC20,7)/100000)&gt;19,INT(RIGHT(AC20,7)/1000000),IF(INT(RIGHT(AC20,7)/100000)&gt;=10,INT(RIGHT(AC20,7)/100000),0))+IF(INT(RIGHT(AC20,7)/100000)&gt;19,INT(RIGHT(AC20,6)/100000),IF(INT(RIGHT(AC20,7)/100000)&gt;10,0,INT(RIGHT(AC20,6)/100000))))&gt;0,LOOKUP(IF(INT(RIGHT(AC20,7)/100000)&gt;19,INT(RIGHT(AC20,6)/100000),IF(INT(RIGHT(AC20,7)/100000)&gt;10,0,INT(RIGHT(AC20,6)/100000))),{0,1,2,3,4,5,6,7,8,9,10,11,12,13,14,15,16,17,18,19},{""," ONE "," TWO "," THREE "," FOUR "," FIVE "," SIX "," SEVEN "," EIGHT "," NINE "," TEN "," ELEVEN "," TWELVE "," THIRTEEN "," FOURTEEN "," FIFTEEN "," SIXTEEN"," SEVENTEEN"," EIGHTEEN "," NINETEEN "})&amp;" Lac. "," ")&amp;LOOKUP(IF(INT(RIGHT(AC20,5)/1000)&gt;19,INT(RIGHT(AC20,5)/10000),IF(INT(RIGHT(AC20,5)/1000)&gt;=10,INT(RIGHT(AC20,5)/1000),0)),{0,1,2,3,4,5,6,7,8,9,10,11,12,13,14,15,16,17,18,19},{""," TEN "," TWENTY "," THIRTY "," FOURTY "," FIFTY "," SIXTY "," SEVENTY "," EIGHTY "," NINETY "," TEN "," ELEVEN "," TWELVE "," THIRTEEN "," FOURTEEN "," FIFTEEN "," SIXTEEN"," SEVENTEEN"," EIGHTEEN "," NINETEEN "})&amp;IF((IF(INT(RIGHT(AC20,5)/1000)&gt;19,INT(RIGHT(AC20,4)/1000),IF(INT(RIGHT(AC20,5)/1000)&gt;10,0,INT(RIGHT(AC20,4)/1000)))+IF(INT(RIGHT(AC20,5)/1000)&gt;19,INT(RIGHT(AC20,5)/10000),IF(INT(RIGHT(AC20,5)/1000)&gt;=10,INT(RIGHT(AC20,5)/1000),0)))&gt;0,LOOKUP(IF(INT(RIGHT(AC20,5)/1000)&gt;19,INT(RIGHT(AC20,4)/1000),IF(INT(RIGHT(AC20,5)/1000)&gt;10,0,INT(RIGHT(AC20,4)/1000))),{0,1,2,3,4,5,6,7,8,9,10,11,12,13,14,15,16,17,18,19},{""," ONE "," TWO "," THREE "," FOUR "," FIVE "," SIX "," SEVEN "," EIGHT "," NINE "," TEN "," ELEVEN "," TWELVE "," THIRTEEN "," FOURTEEN "," FIFTEEN "," SIXTEEN"," SEVENTEEN"," EIGHTEEN "," NINETEEN "})&amp;" THOUSAND "," ")&amp;IF((INT((RIGHT(AC20,3))/100))&gt;0,LOOKUP(INT((RIGHT(AC20,3))/100),{0,1,2,3,4,5,6,7,8,9,10,11,12,13,14,15,16,17,18,19},{""," ONE "," TWO "," THREE "," FOUR "," FIVE "," SIX "," SEVEN "," EIGHT "," NINE "," TEN "," ELEVEN "," TWELVE "," THIRTEEN "," FOURTEEN "," FIFTEEN "," SIXTEEN"," SEVENTEEN"," EIGHTEEN "," NINETEEN "})&amp;" HUNDRED "," ")&amp;LOOKUP(IF(INT(RIGHT(AC20,2))&gt;19,INT(RIGHT(AC20,2)/10),IF(INT(RIGHT(AC20,2))&gt;=10,INT(RIGHT(AC20,2)),0)),{0,1,2,3,4,5,6,7,8,9,10,11,12,13,14,15,16,17,18,19},{""," TEN "," TWENTY "," THIRTY "," FOURTY "," FIFTY "," SIXTY "," SEVENTY "," EIGHTY "," NINETY "," TEN "," ELEVEN "," TWELVE "," THIRTEEN "," FOURTEEN "," FIFTEEN "," SIXTEEN"," SEVENTEEN"," EIGHTEEN "," NINETEEN "})&amp;LOOKUP(IF(INT(RIGHT(AC20,2))&lt;10,INT(RIGHT(AC20,1)),IF(INT(RIGHT(AC20,2))&lt;20,0,INT(RIGHT(AC20,1)))),{0,1,2,3,4,5,6,7,8,9,10,11,12,13,14,15,16,17,18,19},{""," ONE "," TWO "," THREE "," FOUR "," FIVE "," SIX "," SEVEN "," EIGHT "," NINE "," TEN "," ELEVEN "," TWELVE "," THIRTEEN "," FOURTEEN "," FIFTEEN "," SIXTEEN"," SEVENTEEN"," EIGHTEEN "," NINETEEN "})&amp;" Only)"))</f>
        <v>( Rs.   EIGHTY  NINE  THOUSAND  EIGHT  HUNDRED  THIRTY  TWO  Only)</v>
      </c>
      <c r="M21" s="98"/>
      <c r="N21" s="98"/>
      <c r="O21" s="98"/>
      <c r="P21" s="98"/>
      <c r="Q21" s="98"/>
      <c r="R21" s="98"/>
      <c r="S21" s="98"/>
      <c r="T21" s="98"/>
      <c r="U21" s="98"/>
      <c r="V21" s="98"/>
      <c r="W21" s="98"/>
      <c r="X21" s="98"/>
      <c r="Y21" s="98"/>
      <c r="Z21" s="98"/>
      <c r="AA21" s="98"/>
      <c r="AB21" s="98"/>
      <c r="AC21" s="28"/>
      <c r="AD21" s="28"/>
    </row>
    <row r="22" spans="1:30" ht="18.75">
      <c r="A22" s="26"/>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ht="18.75">
      <c r="A23" s="26"/>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30" ht="18.75">
      <c r="A24" s="26"/>
      <c r="B24" s="27"/>
      <c r="C24" s="28"/>
      <c r="D24" s="28"/>
      <c r="E24" s="96"/>
      <c r="F24" s="96"/>
      <c r="G24" s="96"/>
      <c r="H24" s="96"/>
      <c r="I24" s="96"/>
      <c r="J24" s="96"/>
      <c r="K24" s="96"/>
      <c r="L24" s="28"/>
      <c r="M24" s="28"/>
      <c r="N24" s="28"/>
      <c r="O24" s="28"/>
      <c r="P24" s="28"/>
      <c r="Q24" s="28"/>
      <c r="R24" s="28"/>
      <c r="S24" s="28"/>
      <c r="T24" s="96" t="s">
        <v>20</v>
      </c>
      <c r="U24" s="96"/>
      <c r="V24" s="96"/>
      <c r="W24" s="96"/>
      <c r="X24" s="96"/>
      <c r="Y24" s="96"/>
      <c r="Z24" s="96"/>
      <c r="AA24" s="96"/>
      <c r="AB24" s="96"/>
      <c r="AC24" s="96"/>
      <c r="AD24" s="96"/>
    </row>
    <row r="27" spans="1:30" ht="18.75">
      <c r="A27" s="1"/>
      <c r="B27" s="2" t="s">
        <v>48</v>
      </c>
      <c r="C27" s="99"/>
      <c r="D27" s="99"/>
      <c r="E27" s="99"/>
      <c r="F27" s="99"/>
      <c r="G27" s="99"/>
      <c r="H27" s="99"/>
      <c r="I27" s="3"/>
      <c r="J27" s="99" t="s">
        <v>49</v>
      </c>
      <c r="K27" s="99"/>
    </row>
    <row r="28" spans="1:30" ht="18.75">
      <c r="A28" s="1"/>
      <c r="B28" s="100" t="s">
        <v>50</v>
      </c>
      <c r="C28" s="100"/>
      <c r="D28" s="100"/>
      <c r="E28" s="100"/>
      <c r="F28" s="100"/>
      <c r="G28" s="100"/>
      <c r="H28" s="100"/>
      <c r="I28" s="100"/>
      <c r="J28" s="4"/>
      <c r="K28" s="4"/>
    </row>
    <row r="29" spans="1:30" ht="18.75">
      <c r="A29" s="5">
        <v>1</v>
      </c>
      <c r="B29" s="101" t="s">
        <v>51</v>
      </c>
      <c r="C29" s="101"/>
      <c r="D29" s="101"/>
      <c r="E29" s="101"/>
      <c r="F29" s="101"/>
      <c r="G29" s="101"/>
      <c r="H29" s="3"/>
      <c r="I29" s="3"/>
      <c r="J29" s="1"/>
      <c r="K29" s="1"/>
    </row>
    <row r="30" spans="1:30" ht="18.75">
      <c r="A30" s="6">
        <v>2</v>
      </c>
      <c r="B30" s="12" t="s">
        <v>52</v>
      </c>
      <c r="C30" s="12"/>
      <c r="D30" s="12"/>
      <c r="E30" s="12"/>
      <c r="F30" s="11"/>
      <c r="G30" s="94" t="str">
        <f>IF(AND(G4=""),"",CONCATENATE(L3,",","  ",T3))</f>
        <v>heera lal jat,  Teacher</v>
      </c>
      <c r="H30" s="94"/>
      <c r="I30" s="94"/>
      <c r="J30" s="94"/>
      <c r="K30" s="94"/>
    </row>
    <row r="31" spans="1:30" ht="18.75">
      <c r="A31" s="7">
        <v>3</v>
      </c>
      <c r="B31" s="95" t="s">
        <v>53</v>
      </c>
      <c r="C31" s="95"/>
      <c r="D31" s="8"/>
      <c r="E31" s="8"/>
      <c r="F31" s="1"/>
      <c r="G31" s="1"/>
      <c r="H31" s="1"/>
      <c r="I31" s="9"/>
      <c r="J31" s="10"/>
      <c r="K31" s="10"/>
    </row>
    <row r="32" spans="1:30" ht="18.75">
      <c r="T32" s="96" t="s">
        <v>20</v>
      </c>
      <c r="U32" s="96"/>
      <c r="V32" s="96"/>
      <c r="W32" s="96"/>
      <c r="X32" s="96"/>
      <c r="Y32" s="96"/>
      <c r="Z32" s="96"/>
      <c r="AA32" s="96"/>
      <c r="AB32" s="96"/>
      <c r="AC32" s="96"/>
      <c r="AD32" s="96"/>
    </row>
  </sheetData>
  <sheetProtection password="C1FB" sheet="1" objects="1" scenarios="1" formatCells="0" formatColumns="0" formatRows="0" insertColumns="0" insertRows="0" insertHyperlinks="0" deleteColumns="0" deleteRows="0"/>
  <mergeCells count="47">
    <mergeCell ref="B31:C31"/>
    <mergeCell ref="G30:K30"/>
    <mergeCell ref="T32:AD32"/>
    <mergeCell ref="I21:K21"/>
    <mergeCell ref="L21:AB21"/>
    <mergeCell ref="C27:H27"/>
    <mergeCell ref="J27:K27"/>
    <mergeCell ref="B28:I28"/>
    <mergeCell ref="B29:G29"/>
    <mergeCell ref="E24:K24"/>
    <mergeCell ref="T24:AD24"/>
    <mergeCell ref="A1:AD1"/>
    <mergeCell ref="A2:AD2"/>
    <mergeCell ref="H3:K3"/>
    <mergeCell ref="L3:Q3"/>
    <mergeCell ref="R3:S3"/>
    <mergeCell ref="T3:W3"/>
    <mergeCell ref="A5:A7"/>
    <mergeCell ref="B5:B7"/>
    <mergeCell ref="E4:F4"/>
    <mergeCell ref="O6:O7"/>
    <mergeCell ref="AB5:AB7"/>
    <mergeCell ref="X6:Z6"/>
    <mergeCell ref="AA6:AA7"/>
    <mergeCell ref="P6:P7"/>
    <mergeCell ref="Q6:Q7"/>
    <mergeCell ref="R6:T6"/>
    <mergeCell ref="C5:G5"/>
    <mergeCell ref="H5:L5"/>
    <mergeCell ref="M5:Q5"/>
    <mergeCell ref="H6:H7"/>
    <mergeCell ref="AC5:AC7"/>
    <mergeCell ref="AD5:AD7"/>
    <mergeCell ref="U6:W6"/>
    <mergeCell ref="A20:B20"/>
    <mergeCell ref="I6:I7"/>
    <mergeCell ref="J6:J7"/>
    <mergeCell ref="K6:K7"/>
    <mergeCell ref="L6:L7"/>
    <mergeCell ref="M6:M7"/>
    <mergeCell ref="N6:N7"/>
    <mergeCell ref="C6:C7"/>
    <mergeCell ref="D6:D7"/>
    <mergeCell ref="E6:E7"/>
    <mergeCell ref="F6:F7"/>
    <mergeCell ref="G6:G7"/>
    <mergeCell ref="R5:AA5"/>
  </mergeCells>
  <pageMargins left="0.7" right="0.39"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dimension ref="A1:AI32"/>
  <sheetViews>
    <sheetView workbookViewId="0">
      <selection activeCell="AK10" sqref="AK10"/>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89" t="s">
        <v>16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H1" s="13">
        <f>IF(ISNA(VLOOKUP($G$4,Master!A$9:T$78,4,FALSE)),"",VLOOKUP($G$4,Master!A$9:AN$78,4,FALSE))</f>
        <v>9</v>
      </c>
      <c r="AI1" s="13" t="str">
        <f>IF(ISNA(VLOOKUP($G$4,Master!A$9:T$78,9,FALSE)),"",VLOOKUP($G$4,Master!A$9:AN$78,9,FALSE))</f>
        <v>GPF</v>
      </c>
    </row>
    <row r="2" spans="1:35" ht="18.75">
      <c r="A2" s="90" t="s">
        <v>59</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5" ht="18.75">
      <c r="H3" s="91" t="s">
        <v>17</v>
      </c>
      <c r="I3" s="91"/>
      <c r="J3" s="91"/>
      <c r="K3" s="91"/>
      <c r="L3" s="92" t="s">
        <v>63</v>
      </c>
      <c r="M3" s="92"/>
      <c r="N3" s="92"/>
      <c r="O3" s="92"/>
      <c r="P3" s="92"/>
      <c r="Q3" s="92"/>
      <c r="R3" s="93" t="s">
        <v>18</v>
      </c>
      <c r="S3" s="93"/>
      <c r="T3" s="94" t="s">
        <v>64</v>
      </c>
      <c r="U3" s="94"/>
      <c r="V3" s="94"/>
      <c r="W3" s="94"/>
      <c r="X3" s="62"/>
      <c r="Y3" s="62"/>
      <c r="Z3" s="62"/>
      <c r="AA3" s="62"/>
    </row>
    <row r="4" spans="1:35" ht="18.75">
      <c r="E4" s="85" t="s">
        <v>30</v>
      </c>
      <c r="F4" s="85"/>
      <c r="G4" s="29">
        <v>1</v>
      </c>
      <c r="H4" s="64"/>
      <c r="I4" s="64"/>
      <c r="J4" s="64"/>
      <c r="K4" s="64"/>
      <c r="L4" s="14"/>
      <c r="M4" s="14"/>
      <c r="N4" s="14"/>
      <c r="O4" s="14"/>
      <c r="P4" s="14"/>
      <c r="Q4" s="14"/>
      <c r="R4" s="65"/>
      <c r="S4" s="65"/>
      <c r="T4" s="16"/>
      <c r="U4" s="16"/>
      <c r="V4" s="16"/>
      <c r="W4" s="16"/>
      <c r="X4" s="16"/>
      <c r="Y4" s="16"/>
      <c r="Z4" s="16"/>
      <c r="AA4" s="16"/>
    </row>
    <row r="5" spans="1:35">
      <c r="A5" s="80" t="s">
        <v>0</v>
      </c>
      <c r="B5" s="81" t="s">
        <v>4</v>
      </c>
      <c r="C5" s="88" t="s">
        <v>6</v>
      </c>
      <c r="D5" s="88"/>
      <c r="E5" s="88"/>
      <c r="F5" s="88"/>
      <c r="G5" s="88"/>
      <c r="H5" s="88" t="s">
        <v>7</v>
      </c>
      <c r="I5" s="88"/>
      <c r="J5" s="88"/>
      <c r="K5" s="88"/>
      <c r="L5" s="88"/>
      <c r="M5" s="88" t="s">
        <v>8</v>
      </c>
      <c r="N5" s="88"/>
      <c r="O5" s="88"/>
      <c r="P5" s="88"/>
      <c r="Q5" s="88"/>
      <c r="R5" s="82" t="s">
        <v>14</v>
      </c>
      <c r="S5" s="83"/>
      <c r="T5" s="83"/>
      <c r="U5" s="83"/>
      <c r="V5" s="83"/>
      <c r="W5" s="83"/>
      <c r="X5" s="83"/>
      <c r="Y5" s="83"/>
      <c r="Z5" s="83"/>
      <c r="AA5" s="84"/>
      <c r="AB5" s="75" t="s">
        <v>46</v>
      </c>
      <c r="AC5" s="75" t="s">
        <v>47</v>
      </c>
      <c r="AD5" s="75" t="s">
        <v>19</v>
      </c>
    </row>
    <row r="6" spans="1:35" ht="15" customHeight="1">
      <c r="A6" s="80"/>
      <c r="B6" s="81"/>
      <c r="C6" s="81" t="s">
        <v>33</v>
      </c>
      <c r="D6" s="79" t="s">
        <v>1</v>
      </c>
      <c r="E6" s="80" t="s">
        <v>3</v>
      </c>
      <c r="F6" s="80" t="s">
        <v>2</v>
      </c>
      <c r="G6" s="81" t="s">
        <v>43</v>
      </c>
      <c r="H6" s="81" t="s">
        <v>34</v>
      </c>
      <c r="I6" s="79" t="s">
        <v>1</v>
      </c>
      <c r="J6" s="80" t="s">
        <v>3</v>
      </c>
      <c r="K6" s="80" t="s">
        <v>2</v>
      </c>
      <c r="L6" s="81" t="s">
        <v>44</v>
      </c>
      <c r="M6" s="81" t="s">
        <v>5</v>
      </c>
      <c r="N6" s="79" t="s">
        <v>1</v>
      </c>
      <c r="O6" s="80" t="s">
        <v>3</v>
      </c>
      <c r="P6" s="80" t="s">
        <v>2</v>
      </c>
      <c r="Q6" s="81" t="s">
        <v>45</v>
      </c>
      <c r="R6" s="77" t="s">
        <v>12</v>
      </c>
      <c r="S6" s="77"/>
      <c r="T6" s="77"/>
      <c r="U6" s="77" t="s">
        <v>37</v>
      </c>
      <c r="V6" s="77"/>
      <c r="W6" s="77"/>
      <c r="X6" s="77" t="s">
        <v>56</v>
      </c>
      <c r="Y6" s="77"/>
      <c r="Z6" s="77"/>
      <c r="AA6" s="86" t="s">
        <v>57</v>
      </c>
      <c r="AB6" s="75"/>
      <c r="AC6" s="75"/>
      <c r="AD6" s="75"/>
    </row>
    <row r="7" spans="1:35" ht="86.25" customHeight="1">
      <c r="A7" s="80"/>
      <c r="B7" s="81"/>
      <c r="C7" s="81"/>
      <c r="D7" s="79"/>
      <c r="E7" s="80"/>
      <c r="F7" s="80"/>
      <c r="G7" s="81"/>
      <c r="H7" s="81"/>
      <c r="I7" s="79"/>
      <c r="J7" s="80"/>
      <c r="K7" s="80"/>
      <c r="L7" s="81"/>
      <c r="M7" s="81"/>
      <c r="N7" s="79"/>
      <c r="O7" s="80"/>
      <c r="P7" s="80"/>
      <c r="Q7" s="81"/>
      <c r="R7" s="66" t="s">
        <v>9</v>
      </c>
      <c r="S7" s="66" t="s">
        <v>10</v>
      </c>
      <c r="T7" s="66" t="s">
        <v>11</v>
      </c>
      <c r="U7" s="66" t="s">
        <v>9</v>
      </c>
      <c r="V7" s="66" t="s">
        <v>10</v>
      </c>
      <c r="W7" s="66" t="s">
        <v>11</v>
      </c>
      <c r="X7" s="66" t="s">
        <v>9</v>
      </c>
      <c r="Y7" s="66" t="s">
        <v>10</v>
      </c>
      <c r="Z7" s="66" t="s">
        <v>11</v>
      </c>
      <c r="AA7" s="87"/>
      <c r="AB7" s="76"/>
      <c r="AC7" s="76"/>
      <c r="AD7" s="75"/>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102">
        <v>57800</v>
      </c>
      <c r="D9" s="58">
        <f>IF(AND(C9=""),"",IF(AND($G$4=""),"",ROUND(C9*0.05,0)))</f>
        <v>2890</v>
      </c>
      <c r="E9" s="58">
        <f>IF(AND(C9=""),"",IF(AND($G$4=""),"",ROUND(C9*8%,0)))</f>
        <v>4624</v>
      </c>
      <c r="F9" s="21">
        <f>IF(AND(C9=""),"",IF(AND($G$4=""),"",Master!G$5))</f>
        <v>0</v>
      </c>
      <c r="G9" s="21">
        <f>IF(AND(C9=""),"",SUM(C9:F9))</f>
        <v>65314</v>
      </c>
      <c r="H9" s="102">
        <v>21910</v>
      </c>
      <c r="I9" s="58">
        <f>IF(AND(H9=""),"",IF(AND($G$4=""),"",ROUND(H9*1.39,0)))</f>
        <v>30455</v>
      </c>
      <c r="J9" s="58">
        <f>IF(AND(H9=""),"",IF(AND($G$4=""),"",ROUND(H9*10%,0)))</f>
        <v>2191</v>
      </c>
      <c r="K9" s="21">
        <f>IF(AND(C9=""),"",IF(AND($G$4=""),"",Master!C$5))</f>
        <v>0</v>
      </c>
      <c r="L9" s="21">
        <f>IF(AND(C9=""),"",SUM(H9:K9))</f>
        <v>54556</v>
      </c>
      <c r="M9" s="21">
        <f>IF(AND(C9=""),"",IF(AND(H9=""),"",C9-H9))</f>
        <v>35890</v>
      </c>
      <c r="N9" s="21">
        <f t="shared" ref="N9:Q18" si="0">IF(AND(D9=""),"",IF(AND(I9=""),"",D9-I9))</f>
        <v>-27565</v>
      </c>
      <c r="O9" s="21">
        <f>IF(AND(E9=""),"",IF(AND(J9=""),"",E9-J9))</f>
        <v>2433</v>
      </c>
      <c r="P9" s="21">
        <f>IF(AND(F9=""),"",IF(AND(K9=""),"",F9-K9))</f>
        <v>0</v>
      </c>
      <c r="Q9" s="21">
        <f t="shared" si="0"/>
        <v>10758</v>
      </c>
      <c r="R9" s="102">
        <v>0</v>
      </c>
      <c r="S9" s="102">
        <v>0</v>
      </c>
      <c r="T9" s="21">
        <f>IF(AND(R9=""),"",IF(AND(S9=""),"",R9-S9))</f>
        <v>0</v>
      </c>
      <c r="U9" s="102">
        <v>0</v>
      </c>
      <c r="V9" s="102">
        <v>0</v>
      </c>
      <c r="W9" s="21">
        <f>IF(AND(U9=""),"",IF(AND(V9=""),"",U9-V9))</f>
        <v>0</v>
      </c>
      <c r="X9" s="102">
        <v>0</v>
      </c>
      <c r="Y9" s="102">
        <v>0</v>
      </c>
      <c r="Z9" s="21">
        <f>IF(AND(X9=""),"",IF(AND(Y9=""),"",X9-Y9))</f>
        <v>0</v>
      </c>
      <c r="AA9" s="58">
        <f>IF(AND($G$4=""),"",IF(AND(Q9=""),"",ROUND(Q9*10%,0)))</f>
        <v>1076</v>
      </c>
      <c r="AB9" s="21">
        <f>IF(AND(T9=""),"",IF(AND(W9=""),"",IF(AND(Z9=""),"",IF(AND(AA9=""),"",T9+W9+Z9+AA9))))</f>
        <v>1076</v>
      </c>
      <c r="AC9" s="21">
        <f t="shared" ref="AC9:AC19" si="1">IF(AND(Q9=""),"",IF(AND(AB9=""),"",Q9-AB9))</f>
        <v>9682</v>
      </c>
      <c r="AD9" s="61"/>
    </row>
    <row r="10" spans="1:35">
      <c r="A10" s="19">
        <v>2</v>
      </c>
      <c r="B10" s="20">
        <v>43040</v>
      </c>
      <c r="C10" s="58">
        <f>C9</f>
        <v>57800</v>
      </c>
      <c r="D10" s="58">
        <f t="shared" ref="D10:D11" si="2">IF(AND(C10=""),"",IF(AND($G$4=""),"",ROUND(C10*0.05,0)))</f>
        <v>2890</v>
      </c>
      <c r="E10" s="58">
        <f t="shared" ref="E10:E17" si="3">IF(AND(C10=""),"",IF(AND($G$4=""),"",ROUND(C10*8%,0)))</f>
        <v>4624</v>
      </c>
      <c r="F10" s="21">
        <f>IF(AND(C10=""),"",IF(AND($G$4=""),"",Master!G$5))</f>
        <v>0</v>
      </c>
      <c r="G10" s="21">
        <f t="shared" ref="G10:G18" si="4">IF(AND(C10=""),"",SUM(C10:F10))</f>
        <v>65314</v>
      </c>
      <c r="H10" s="58">
        <f>H9</f>
        <v>21910</v>
      </c>
      <c r="I10" s="58">
        <f t="shared" ref="I10:I14" si="5">IF(AND(H10=""),"",IF(AND($G$4=""),"",ROUND(H10*1.39,0)))</f>
        <v>30455</v>
      </c>
      <c r="J10" s="58">
        <f t="shared" ref="J10:J17" si="6">IF(AND(H10=""),"",IF(AND($G$4=""),"",ROUND(H10*10%,0)))</f>
        <v>2191</v>
      </c>
      <c r="K10" s="21">
        <f>IF(AND(C10=""),"",IF(AND($G$4=""),"",Master!C$5))</f>
        <v>0</v>
      </c>
      <c r="L10" s="21">
        <f t="shared" ref="L10:L18" si="7">IF(AND(C10=""),"",SUM(H10:K10))</f>
        <v>54556</v>
      </c>
      <c r="M10" s="21">
        <f t="shared" ref="M10:M18" si="8">IF(AND(C10=""),"",IF(AND(H10=""),"",C10-H10))</f>
        <v>35890</v>
      </c>
      <c r="N10" s="21">
        <f t="shared" si="0"/>
        <v>-27565</v>
      </c>
      <c r="O10" s="21">
        <f t="shared" si="0"/>
        <v>2433</v>
      </c>
      <c r="P10" s="21">
        <f t="shared" si="0"/>
        <v>0</v>
      </c>
      <c r="Q10" s="21">
        <f t="shared" si="0"/>
        <v>10758</v>
      </c>
      <c r="R10" s="58">
        <f>R9</f>
        <v>0</v>
      </c>
      <c r="S10" s="58">
        <f>S9</f>
        <v>0</v>
      </c>
      <c r="T10" s="21">
        <f t="shared" ref="T10:T18" si="9">IF(AND(R10=""),"",IF(AND(S10=""),"",R10-S10))</f>
        <v>0</v>
      </c>
      <c r="U10" s="58">
        <f>U9</f>
        <v>0</v>
      </c>
      <c r="V10" s="58">
        <f>V9</f>
        <v>0</v>
      </c>
      <c r="W10" s="21">
        <f t="shared" ref="W10:W18" si="10">IF(AND(U10=""),"",IF(AND(V10=""),"",U10-V10))</f>
        <v>0</v>
      </c>
      <c r="X10" s="58">
        <f>X9</f>
        <v>0</v>
      </c>
      <c r="Y10" s="58">
        <f>Y9</f>
        <v>0</v>
      </c>
      <c r="Z10" s="21">
        <f t="shared" ref="Z10:Z19" si="11">IF(AND(X10=""),"",IF(AND(Y10=""),"",X10-Y10))</f>
        <v>0</v>
      </c>
      <c r="AA10" s="58">
        <f t="shared" ref="AA10:AA19" si="12">IF(AND($G$4=""),"",IF(AND(Q10=""),"",ROUND(Q10*10%,0)))</f>
        <v>1076</v>
      </c>
      <c r="AB10" s="21">
        <f t="shared" ref="AB10:AB19" si="13">IF(AND(T10=""),"",IF(AND(W10=""),"",IF(AND(Z10=""),"",IF(AND(AA10=""),"",T10+W10+Z10+AA10))))</f>
        <v>1076</v>
      </c>
      <c r="AC10" s="21">
        <f t="shared" si="1"/>
        <v>9682</v>
      </c>
      <c r="AD10" s="61"/>
    </row>
    <row r="11" spans="1:35">
      <c r="A11" s="19">
        <v>3</v>
      </c>
      <c r="B11" s="20">
        <v>43070</v>
      </c>
      <c r="C11" s="58">
        <f t="shared" ref="C11:C17" si="14">C10</f>
        <v>57800</v>
      </c>
      <c r="D11" s="58">
        <f t="shared" si="2"/>
        <v>2890</v>
      </c>
      <c r="E11" s="58">
        <f t="shared" si="3"/>
        <v>4624</v>
      </c>
      <c r="F11" s="21">
        <f>IF(AND(C11=""),"",IF(AND($G$4=""),"",Master!G$5))</f>
        <v>0</v>
      </c>
      <c r="G11" s="21">
        <f t="shared" si="4"/>
        <v>65314</v>
      </c>
      <c r="H11" s="58">
        <f t="shared" ref="H11:H17" si="15">H10</f>
        <v>21910</v>
      </c>
      <c r="I11" s="58">
        <f t="shared" si="5"/>
        <v>30455</v>
      </c>
      <c r="J11" s="58">
        <f t="shared" si="6"/>
        <v>2191</v>
      </c>
      <c r="K11" s="21">
        <f>IF(AND(C11=""),"",IF(AND($G$4=""),"",Master!C$5))</f>
        <v>0</v>
      </c>
      <c r="L11" s="21">
        <f t="shared" si="7"/>
        <v>54556</v>
      </c>
      <c r="M11" s="21">
        <f t="shared" si="8"/>
        <v>35890</v>
      </c>
      <c r="N11" s="21">
        <f t="shared" si="0"/>
        <v>-27565</v>
      </c>
      <c r="O11" s="21">
        <f t="shared" si="0"/>
        <v>2433</v>
      </c>
      <c r="P11" s="21">
        <f t="shared" si="0"/>
        <v>0</v>
      </c>
      <c r="Q11" s="21">
        <f t="shared" si="0"/>
        <v>10758</v>
      </c>
      <c r="R11" s="58">
        <f t="shared" ref="R11:R17" si="16">R10</f>
        <v>0</v>
      </c>
      <c r="S11" s="58">
        <f t="shared" ref="S11:S17" si="17">S10</f>
        <v>0</v>
      </c>
      <c r="T11" s="21">
        <f t="shared" ref="T11:T17" si="18">IF(AND(R11=""),"",IF(AND(S11=""),"",R11-S11))</f>
        <v>0</v>
      </c>
      <c r="U11" s="58">
        <f t="shared" ref="U11:U17" si="19">U10</f>
        <v>0</v>
      </c>
      <c r="V11" s="58">
        <f t="shared" ref="V11:V17" si="20">V10</f>
        <v>0</v>
      </c>
      <c r="W11" s="21">
        <f t="shared" ref="W11:W17" si="21">IF(AND(U11=""),"",IF(AND(V11=""),"",U11-V11))</f>
        <v>0</v>
      </c>
      <c r="X11" s="58">
        <f t="shared" ref="X11:X17" si="22">X10</f>
        <v>0</v>
      </c>
      <c r="Y11" s="58">
        <f t="shared" ref="Y11:Y17" si="23">Y10</f>
        <v>0</v>
      </c>
      <c r="Z11" s="21">
        <f t="shared" ref="Z11:Z17" si="24">IF(AND(X11=""),"",IF(AND(Y11=""),"",X11-Y11))</f>
        <v>0</v>
      </c>
      <c r="AA11" s="58">
        <f t="shared" si="12"/>
        <v>1076</v>
      </c>
      <c r="AB11" s="21">
        <f t="shared" si="13"/>
        <v>1076</v>
      </c>
      <c r="AC11" s="21">
        <f t="shared" si="1"/>
        <v>9682</v>
      </c>
      <c r="AD11" s="61"/>
    </row>
    <row r="12" spans="1:35">
      <c r="A12" s="19">
        <v>4</v>
      </c>
      <c r="B12" s="20">
        <v>43101</v>
      </c>
      <c r="C12" s="58">
        <f t="shared" si="14"/>
        <v>57800</v>
      </c>
      <c r="D12" s="58">
        <f>IF(AND(C12=""),"",IF(AND($G$4=""),"",ROUND(C12*0.07,0)))</f>
        <v>4046</v>
      </c>
      <c r="E12" s="58">
        <f t="shared" si="3"/>
        <v>4624</v>
      </c>
      <c r="F12" s="21">
        <f>IF(AND(C12=""),"",IF(AND($G$4=""),"",Master!G$5))</f>
        <v>0</v>
      </c>
      <c r="G12" s="21">
        <f t="shared" si="4"/>
        <v>66470</v>
      </c>
      <c r="H12" s="58">
        <f t="shared" si="15"/>
        <v>21910</v>
      </c>
      <c r="I12" s="58">
        <f>IF(AND(H12=""),"",IF(AND($G$4=""),"",ROUND(H12*1.42,0)))</f>
        <v>31112</v>
      </c>
      <c r="J12" s="58">
        <f t="shared" si="6"/>
        <v>2191</v>
      </c>
      <c r="K12" s="21">
        <f>IF(AND(C12=""),"",IF(AND($G$4=""),"",Master!C$5))</f>
        <v>0</v>
      </c>
      <c r="L12" s="21">
        <f t="shared" si="7"/>
        <v>55213</v>
      </c>
      <c r="M12" s="21">
        <f t="shared" si="8"/>
        <v>35890</v>
      </c>
      <c r="N12" s="21">
        <f t="shared" si="0"/>
        <v>-27066</v>
      </c>
      <c r="O12" s="21">
        <f t="shared" si="0"/>
        <v>2433</v>
      </c>
      <c r="P12" s="21">
        <f t="shared" si="0"/>
        <v>0</v>
      </c>
      <c r="Q12" s="21">
        <f t="shared" si="0"/>
        <v>11257</v>
      </c>
      <c r="R12" s="58">
        <f t="shared" si="16"/>
        <v>0</v>
      </c>
      <c r="S12" s="58">
        <f t="shared" si="17"/>
        <v>0</v>
      </c>
      <c r="T12" s="21">
        <f t="shared" si="18"/>
        <v>0</v>
      </c>
      <c r="U12" s="58">
        <f t="shared" si="19"/>
        <v>0</v>
      </c>
      <c r="V12" s="58">
        <f t="shared" si="20"/>
        <v>0</v>
      </c>
      <c r="W12" s="21">
        <f t="shared" si="21"/>
        <v>0</v>
      </c>
      <c r="X12" s="58">
        <f t="shared" si="22"/>
        <v>0</v>
      </c>
      <c r="Y12" s="58">
        <f t="shared" si="23"/>
        <v>0</v>
      </c>
      <c r="Z12" s="21">
        <f t="shared" si="24"/>
        <v>0</v>
      </c>
      <c r="AA12" s="58">
        <f t="shared" si="12"/>
        <v>1126</v>
      </c>
      <c r="AB12" s="21">
        <f t="shared" si="13"/>
        <v>1126</v>
      </c>
      <c r="AC12" s="21">
        <f t="shared" si="1"/>
        <v>10131</v>
      </c>
      <c r="AD12" s="61"/>
    </row>
    <row r="13" spans="1:35">
      <c r="A13" s="19">
        <v>5</v>
      </c>
      <c r="B13" s="20">
        <v>43132</v>
      </c>
      <c r="C13" s="58">
        <f t="shared" si="14"/>
        <v>57800</v>
      </c>
      <c r="D13" s="58">
        <f>IF(AND(C13=""),"",IF(AND($G$4=""),"",ROUND(C13*0.07,0)))</f>
        <v>4046</v>
      </c>
      <c r="E13" s="58">
        <f t="shared" si="3"/>
        <v>4624</v>
      </c>
      <c r="F13" s="21">
        <f>IF(AND(C13=""),"",IF(AND($G$4=""),"",Master!G$5))</f>
        <v>0</v>
      </c>
      <c r="G13" s="21">
        <f t="shared" si="4"/>
        <v>66470</v>
      </c>
      <c r="H13" s="58">
        <f t="shared" si="15"/>
        <v>21910</v>
      </c>
      <c r="I13" s="58">
        <f t="shared" ref="I13:I17" si="25">IF(AND(H13=""),"",IF(AND($G$4=""),"",ROUND(H13*1.42,0)))</f>
        <v>31112</v>
      </c>
      <c r="J13" s="58">
        <f t="shared" si="6"/>
        <v>2191</v>
      </c>
      <c r="K13" s="21">
        <f>IF(AND(C13=""),"",IF(AND($G$4=""),"",Master!C$5))</f>
        <v>0</v>
      </c>
      <c r="L13" s="21">
        <f t="shared" si="7"/>
        <v>55213</v>
      </c>
      <c r="M13" s="21">
        <f t="shared" si="8"/>
        <v>35890</v>
      </c>
      <c r="N13" s="21">
        <f t="shared" si="0"/>
        <v>-27066</v>
      </c>
      <c r="O13" s="21">
        <f t="shared" si="0"/>
        <v>2433</v>
      </c>
      <c r="P13" s="21">
        <f t="shared" si="0"/>
        <v>0</v>
      </c>
      <c r="Q13" s="21">
        <f t="shared" si="0"/>
        <v>11257</v>
      </c>
      <c r="R13" s="58">
        <f t="shared" si="16"/>
        <v>0</v>
      </c>
      <c r="S13" s="58">
        <f t="shared" si="17"/>
        <v>0</v>
      </c>
      <c r="T13" s="21">
        <f t="shared" si="18"/>
        <v>0</v>
      </c>
      <c r="U13" s="58">
        <f t="shared" si="19"/>
        <v>0</v>
      </c>
      <c r="V13" s="58">
        <f t="shared" si="20"/>
        <v>0</v>
      </c>
      <c r="W13" s="21">
        <f t="shared" si="21"/>
        <v>0</v>
      </c>
      <c r="X13" s="58">
        <f t="shared" si="22"/>
        <v>0</v>
      </c>
      <c r="Y13" s="58">
        <f t="shared" si="23"/>
        <v>0</v>
      </c>
      <c r="Z13" s="21">
        <f t="shared" si="24"/>
        <v>0</v>
      </c>
      <c r="AA13" s="58">
        <f t="shared" si="12"/>
        <v>1126</v>
      </c>
      <c r="AB13" s="21">
        <f t="shared" si="13"/>
        <v>1126</v>
      </c>
      <c r="AC13" s="21">
        <f t="shared" si="1"/>
        <v>10131</v>
      </c>
      <c r="AD13" s="61"/>
    </row>
    <row r="14" spans="1:35">
      <c r="A14" s="19">
        <v>6</v>
      </c>
      <c r="B14" s="20">
        <v>43160</v>
      </c>
      <c r="C14" s="58">
        <f t="shared" si="14"/>
        <v>57800</v>
      </c>
      <c r="D14" s="58">
        <f>IF(AND(C14=""),"",IF(AND($G$4=""),"",ROUND(C14*0.07,0)))</f>
        <v>4046</v>
      </c>
      <c r="E14" s="58">
        <f t="shared" si="3"/>
        <v>4624</v>
      </c>
      <c r="F14" s="21">
        <f>IF(AND(C14=""),"",IF(AND($G$4=""),"",Master!G$5))</f>
        <v>0</v>
      </c>
      <c r="G14" s="21">
        <f t="shared" si="4"/>
        <v>66470</v>
      </c>
      <c r="H14" s="58">
        <f t="shared" si="15"/>
        <v>21910</v>
      </c>
      <c r="I14" s="58">
        <f t="shared" si="25"/>
        <v>31112</v>
      </c>
      <c r="J14" s="58">
        <f t="shared" si="6"/>
        <v>2191</v>
      </c>
      <c r="K14" s="21">
        <f>IF(AND(C14=""),"",IF(AND($G$4=""),"",Master!C$5))</f>
        <v>0</v>
      </c>
      <c r="L14" s="21">
        <f t="shared" si="7"/>
        <v>55213</v>
      </c>
      <c r="M14" s="21">
        <f t="shared" si="8"/>
        <v>35890</v>
      </c>
      <c r="N14" s="21">
        <f t="shared" si="0"/>
        <v>-27066</v>
      </c>
      <c r="O14" s="21">
        <f t="shared" si="0"/>
        <v>2433</v>
      </c>
      <c r="P14" s="21">
        <f t="shared" si="0"/>
        <v>0</v>
      </c>
      <c r="Q14" s="21">
        <f t="shared" si="0"/>
        <v>11257</v>
      </c>
      <c r="R14" s="58">
        <f t="shared" si="16"/>
        <v>0</v>
      </c>
      <c r="S14" s="58">
        <f t="shared" si="17"/>
        <v>0</v>
      </c>
      <c r="T14" s="21">
        <f t="shared" si="18"/>
        <v>0</v>
      </c>
      <c r="U14" s="58">
        <f t="shared" si="19"/>
        <v>0</v>
      </c>
      <c r="V14" s="58">
        <f t="shared" si="20"/>
        <v>0</v>
      </c>
      <c r="W14" s="21">
        <f t="shared" si="21"/>
        <v>0</v>
      </c>
      <c r="X14" s="58">
        <f t="shared" si="22"/>
        <v>0</v>
      </c>
      <c r="Y14" s="58">
        <f t="shared" si="23"/>
        <v>0</v>
      </c>
      <c r="Z14" s="21">
        <f t="shared" si="24"/>
        <v>0</v>
      </c>
      <c r="AA14" s="58">
        <f t="shared" si="12"/>
        <v>1126</v>
      </c>
      <c r="AB14" s="21">
        <f t="shared" si="13"/>
        <v>1126</v>
      </c>
      <c r="AC14" s="21">
        <f t="shared" si="1"/>
        <v>10131</v>
      </c>
      <c r="AD14" s="61"/>
    </row>
    <row r="15" spans="1:35">
      <c r="A15" s="19">
        <v>7</v>
      </c>
      <c r="B15" s="20">
        <v>43191</v>
      </c>
      <c r="C15" s="58">
        <f t="shared" si="14"/>
        <v>57800</v>
      </c>
      <c r="D15" s="58">
        <f>IF(AND(C15=""),"",IF(AND($G$4=""),"",ROUND(C15*0.07,0)))</f>
        <v>4046</v>
      </c>
      <c r="E15" s="58">
        <f t="shared" si="3"/>
        <v>4624</v>
      </c>
      <c r="F15" s="21">
        <f>IF(AND(C15=""),"",IF(AND($G$4=""),"",Master!G$5))</f>
        <v>0</v>
      </c>
      <c r="G15" s="21">
        <f t="shared" si="4"/>
        <v>66470</v>
      </c>
      <c r="H15" s="58">
        <f t="shared" si="15"/>
        <v>21910</v>
      </c>
      <c r="I15" s="58">
        <f t="shared" si="25"/>
        <v>31112</v>
      </c>
      <c r="J15" s="58">
        <f t="shared" si="6"/>
        <v>2191</v>
      </c>
      <c r="K15" s="21">
        <f>IF(AND(C15=""),"",IF(AND($G$4=""),"",Master!C$5))</f>
        <v>0</v>
      </c>
      <c r="L15" s="21">
        <f t="shared" si="7"/>
        <v>55213</v>
      </c>
      <c r="M15" s="21">
        <f t="shared" si="8"/>
        <v>35890</v>
      </c>
      <c r="N15" s="21">
        <f t="shared" si="0"/>
        <v>-27066</v>
      </c>
      <c r="O15" s="21">
        <f t="shared" si="0"/>
        <v>2433</v>
      </c>
      <c r="P15" s="21">
        <f t="shared" si="0"/>
        <v>0</v>
      </c>
      <c r="Q15" s="21">
        <f t="shared" si="0"/>
        <v>11257</v>
      </c>
      <c r="R15" s="58">
        <f t="shared" si="16"/>
        <v>0</v>
      </c>
      <c r="S15" s="58">
        <f t="shared" si="17"/>
        <v>0</v>
      </c>
      <c r="T15" s="21">
        <f t="shared" si="18"/>
        <v>0</v>
      </c>
      <c r="U15" s="58">
        <f t="shared" si="19"/>
        <v>0</v>
      </c>
      <c r="V15" s="58">
        <f t="shared" si="20"/>
        <v>0</v>
      </c>
      <c r="W15" s="21">
        <f t="shared" si="21"/>
        <v>0</v>
      </c>
      <c r="X15" s="58">
        <f t="shared" si="22"/>
        <v>0</v>
      </c>
      <c r="Y15" s="58">
        <f t="shared" si="23"/>
        <v>0</v>
      </c>
      <c r="Z15" s="21">
        <f t="shared" si="24"/>
        <v>0</v>
      </c>
      <c r="AA15" s="58">
        <f t="shared" si="12"/>
        <v>1126</v>
      </c>
      <c r="AB15" s="21">
        <f t="shared" si="13"/>
        <v>1126</v>
      </c>
      <c r="AC15" s="21">
        <f t="shared" si="1"/>
        <v>10131</v>
      </c>
      <c r="AD15" s="61"/>
    </row>
    <row r="16" spans="1:35">
      <c r="A16" s="19">
        <v>8</v>
      </c>
      <c r="B16" s="20">
        <v>43221</v>
      </c>
      <c r="C16" s="58">
        <f t="shared" si="14"/>
        <v>57800</v>
      </c>
      <c r="D16" s="58">
        <f>IF(AND(C16=""),"",IF(AND($G$4=""),"",ROUND(C16*0.07,0)))</f>
        <v>4046</v>
      </c>
      <c r="E16" s="58">
        <f t="shared" si="3"/>
        <v>4624</v>
      </c>
      <c r="F16" s="21">
        <f>IF(AND(C16=""),"",IF(AND($G$4=""),"",Master!G$5))</f>
        <v>0</v>
      </c>
      <c r="G16" s="21">
        <f t="shared" si="4"/>
        <v>66470</v>
      </c>
      <c r="H16" s="58">
        <f t="shared" si="15"/>
        <v>21910</v>
      </c>
      <c r="I16" s="58">
        <f t="shared" si="25"/>
        <v>31112</v>
      </c>
      <c r="J16" s="58">
        <f t="shared" si="6"/>
        <v>2191</v>
      </c>
      <c r="K16" s="21">
        <f>IF(AND(C16=""),"",IF(AND($G$4=""),"",Master!C$5))</f>
        <v>0</v>
      </c>
      <c r="L16" s="21">
        <f t="shared" si="7"/>
        <v>55213</v>
      </c>
      <c r="M16" s="21">
        <f t="shared" si="8"/>
        <v>35890</v>
      </c>
      <c r="N16" s="21">
        <f t="shared" si="0"/>
        <v>-27066</v>
      </c>
      <c r="O16" s="21">
        <f t="shared" si="0"/>
        <v>2433</v>
      </c>
      <c r="P16" s="21">
        <f t="shared" si="0"/>
        <v>0</v>
      </c>
      <c r="Q16" s="21">
        <f t="shared" si="0"/>
        <v>11257</v>
      </c>
      <c r="R16" s="58">
        <f t="shared" si="16"/>
        <v>0</v>
      </c>
      <c r="S16" s="58">
        <f t="shared" si="17"/>
        <v>0</v>
      </c>
      <c r="T16" s="21">
        <f t="shared" si="18"/>
        <v>0</v>
      </c>
      <c r="U16" s="58">
        <f t="shared" si="19"/>
        <v>0</v>
      </c>
      <c r="V16" s="58">
        <f t="shared" si="20"/>
        <v>0</v>
      </c>
      <c r="W16" s="21">
        <f t="shared" si="21"/>
        <v>0</v>
      </c>
      <c r="X16" s="58">
        <f t="shared" si="22"/>
        <v>0</v>
      </c>
      <c r="Y16" s="58">
        <f t="shared" si="23"/>
        <v>0</v>
      </c>
      <c r="Z16" s="21">
        <f t="shared" si="24"/>
        <v>0</v>
      </c>
      <c r="AA16" s="58">
        <f t="shared" si="12"/>
        <v>1126</v>
      </c>
      <c r="AB16" s="21">
        <f t="shared" si="13"/>
        <v>1126</v>
      </c>
      <c r="AC16" s="21">
        <f t="shared" si="1"/>
        <v>10131</v>
      </c>
      <c r="AD16" s="61"/>
    </row>
    <row r="17" spans="1:30">
      <c r="A17" s="19">
        <v>9</v>
      </c>
      <c r="B17" s="20">
        <v>43252</v>
      </c>
      <c r="C17" s="58">
        <f t="shared" si="14"/>
        <v>57800</v>
      </c>
      <c r="D17" s="58">
        <f>IF(AND(C17=""),"",IF(AND($G$4=""),"",ROUND(C17*0.07,0)))</f>
        <v>4046</v>
      </c>
      <c r="E17" s="58">
        <f t="shared" si="3"/>
        <v>4624</v>
      </c>
      <c r="F17" s="21">
        <f>IF(AND(C17=""),"",IF(AND($G$4=""),"",Master!G$5))</f>
        <v>0</v>
      </c>
      <c r="G17" s="21">
        <f t="shared" si="4"/>
        <v>66470</v>
      </c>
      <c r="H17" s="58">
        <f t="shared" si="15"/>
        <v>21910</v>
      </c>
      <c r="I17" s="58">
        <f t="shared" si="25"/>
        <v>31112</v>
      </c>
      <c r="J17" s="58">
        <f t="shared" si="6"/>
        <v>2191</v>
      </c>
      <c r="K17" s="21">
        <f>IF(AND(C17=""),"",IF(AND($G$4=""),"",Master!C$5))</f>
        <v>0</v>
      </c>
      <c r="L17" s="21">
        <f t="shared" si="7"/>
        <v>55213</v>
      </c>
      <c r="M17" s="21">
        <f t="shared" si="8"/>
        <v>35890</v>
      </c>
      <c r="N17" s="21">
        <f t="shared" si="0"/>
        <v>-27066</v>
      </c>
      <c r="O17" s="21">
        <f t="shared" si="0"/>
        <v>2433</v>
      </c>
      <c r="P17" s="21">
        <f t="shared" si="0"/>
        <v>0</v>
      </c>
      <c r="Q17" s="21">
        <f t="shared" si="0"/>
        <v>11257</v>
      </c>
      <c r="R17" s="58">
        <f t="shared" si="16"/>
        <v>0</v>
      </c>
      <c r="S17" s="58">
        <f t="shared" si="17"/>
        <v>0</v>
      </c>
      <c r="T17" s="21">
        <f t="shared" si="18"/>
        <v>0</v>
      </c>
      <c r="U17" s="58">
        <f t="shared" si="19"/>
        <v>0</v>
      </c>
      <c r="V17" s="58">
        <f t="shared" si="20"/>
        <v>0</v>
      </c>
      <c r="W17" s="21">
        <f t="shared" si="21"/>
        <v>0</v>
      </c>
      <c r="X17" s="58">
        <f t="shared" si="22"/>
        <v>0</v>
      </c>
      <c r="Y17" s="58">
        <f t="shared" si="23"/>
        <v>0</v>
      </c>
      <c r="Z17" s="21">
        <f t="shared" si="24"/>
        <v>0</v>
      </c>
      <c r="AA17" s="58">
        <f t="shared" si="12"/>
        <v>1126</v>
      </c>
      <c r="AB17" s="21">
        <f t="shared" si="13"/>
        <v>1126</v>
      </c>
      <c r="AC17" s="21">
        <f t="shared" si="1"/>
        <v>10131</v>
      </c>
      <c r="AD17" s="61"/>
    </row>
    <row r="18" spans="1:30">
      <c r="A18" s="19">
        <v>10</v>
      </c>
      <c r="B18" s="22" t="s">
        <v>58</v>
      </c>
      <c r="C18" s="59"/>
      <c r="D18" s="58" t="str">
        <f t="shared" ref="D18" si="26">IF(AND(C18=""),"",IF(AND($G$4=""),"",ROUND(C18*0.05,0)))</f>
        <v/>
      </c>
      <c r="E18" s="58"/>
      <c r="F18" s="58"/>
      <c r="G18" s="21" t="str">
        <f t="shared" si="4"/>
        <v/>
      </c>
      <c r="H18" s="59"/>
      <c r="I18" s="58" t="str">
        <f t="shared" ref="I18" si="27">IF(AND(H18=""),"",IF(AND($G$4=""),"",ROUND(H18*1.39,0)))</f>
        <v/>
      </c>
      <c r="J18" s="21"/>
      <c r="K18" s="21"/>
      <c r="L18" s="21" t="str">
        <f t="shared" si="7"/>
        <v/>
      </c>
      <c r="M18" s="21" t="str">
        <f t="shared" si="8"/>
        <v/>
      </c>
      <c r="N18" s="21" t="str">
        <f t="shared" si="0"/>
        <v/>
      </c>
      <c r="O18" s="21" t="str">
        <f t="shared" si="0"/>
        <v/>
      </c>
      <c r="P18" s="21" t="str">
        <f t="shared" si="0"/>
        <v/>
      </c>
      <c r="Q18" s="21" t="str">
        <f t="shared" si="0"/>
        <v/>
      </c>
      <c r="R18" s="58"/>
      <c r="S18" s="58"/>
      <c r="T18" s="21" t="str">
        <f t="shared" si="9"/>
        <v/>
      </c>
      <c r="U18" s="58"/>
      <c r="V18" s="58"/>
      <c r="W18" s="21" t="str">
        <f t="shared" si="10"/>
        <v/>
      </c>
      <c r="X18" s="58"/>
      <c r="Y18" s="58"/>
      <c r="Z18" s="21" t="str">
        <f t="shared" si="11"/>
        <v/>
      </c>
      <c r="AA18" s="58" t="str">
        <f>IF(AND($G$4=""),"",IF(AND(Q18=""),"",ROUND(Q18*10%,0)))</f>
        <v/>
      </c>
      <c r="AB18" s="21" t="str">
        <f t="shared" si="13"/>
        <v/>
      </c>
      <c r="AC18" s="21" t="str">
        <f t="shared" si="1"/>
        <v/>
      </c>
      <c r="AD18" s="61"/>
    </row>
    <row r="19" spans="1:30">
      <c r="A19" s="19">
        <v>11</v>
      </c>
      <c r="B19" s="22"/>
      <c r="C19" s="21"/>
      <c r="D19" s="21"/>
      <c r="E19" s="21"/>
      <c r="F19" s="21"/>
      <c r="G19" s="21"/>
      <c r="H19" s="21"/>
      <c r="I19" s="21"/>
      <c r="J19" s="21"/>
      <c r="K19" s="23"/>
      <c r="L19" s="21"/>
      <c r="M19" s="21"/>
      <c r="N19" s="21"/>
      <c r="O19" s="21"/>
      <c r="P19" s="23"/>
      <c r="Q19" s="21"/>
      <c r="R19" s="60"/>
      <c r="S19" s="60"/>
      <c r="T19" s="23"/>
      <c r="U19" s="58"/>
      <c r="V19" s="58"/>
      <c r="W19" s="21"/>
      <c r="X19" s="58" t="str">
        <f>IF(AND(C19=""),"",IF(ISNA(VLOOKUP($G$4,Master!A$9:T$78,13,FALSE)),"",VLOOKUP($G$4,Master!A$9:AN$78,13,FALSE)))</f>
        <v/>
      </c>
      <c r="Y19" s="58" t="str">
        <f>IF(AND(C19=""),"",IF(ISNA(VLOOKUP($G$4,Master!A$9:T$78,12,FALSE)),"",VLOOKUP($G$4,Master!A$9:AN$78,12,FALSE)))</f>
        <v/>
      </c>
      <c r="Z19" s="21" t="str">
        <f t="shared" si="11"/>
        <v/>
      </c>
      <c r="AA19" s="58" t="str">
        <f t="shared" si="12"/>
        <v/>
      </c>
      <c r="AB19" s="21" t="str">
        <f t="shared" si="13"/>
        <v/>
      </c>
      <c r="AC19" s="21" t="str">
        <f t="shared" si="1"/>
        <v/>
      </c>
      <c r="AD19" s="61"/>
    </row>
    <row r="20" spans="1:30" ht="15.75">
      <c r="A20" s="78" t="s">
        <v>15</v>
      </c>
      <c r="B20" s="78"/>
      <c r="C20" s="21">
        <f t="shared" ref="C20:AC20" si="28">IF(AND($G$4=""),"",SUM(C9:C19))</f>
        <v>520200</v>
      </c>
      <c r="D20" s="21">
        <f t="shared" si="28"/>
        <v>32946</v>
      </c>
      <c r="E20" s="21">
        <f t="shared" si="28"/>
        <v>41616</v>
      </c>
      <c r="F20" s="21">
        <f t="shared" si="28"/>
        <v>0</v>
      </c>
      <c r="G20" s="21">
        <f t="shared" si="28"/>
        <v>594762</v>
      </c>
      <c r="H20" s="21">
        <f t="shared" si="28"/>
        <v>197190</v>
      </c>
      <c r="I20" s="21">
        <f t="shared" si="28"/>
        <v>278037</v>
      </c>
      <c r="J20" s="21">
        <f t="shared" si="28"/>
        <v>19719</v>
      </c>
      <c r="K20" s="21">
        <f t="shared" si="28"/>
        <v>0</v>
      </c>
      <c r="L20" s="21">
        <f t="shared" si="28"/>
        <v>494946</v>
      </c>
      <c r="M20" s="21">
        <f t="shared" si="28"/>
        <v>323010</v>
      </c>
      <c r="N20" s="21">
        <f t="shared" si="28"/>
        <v>-245091</v>
      </c>
      <c r="O20" s="21">
        <f t="shared" si="28"/>
        <v>21897</v>
      </c>
      <c r="P20" s="21">
        <f t="shared" si="28"/>
        <v>0</v>
      </c>
      <c r="Q20" s="21">
        <f t="shared" si="28"/>
        <v>99816</v>
      </c>
      <c r="R20" s="21">
        <f t="shared" si="28"/>
        <v>0</v>
      </c>
      <c r="S20" s="21">
        <f t="shared" si="28"/>
        <v>0</v>
      </c>
      <c r="T20" s="21">
        <f t="shared" si="28"/>
        <v>0</v>
      </c>
      <c r="U20" s="21">
        <f t="shared" si="28"/>
        <v>0</v>
      </c>
      <c r="V20" s="21">
        <f t="shared" si="28"/>
        <v>0</v>
      </c>
      <c r="W20" s="21">
        <f t="shared" si="28"/>
        <v>0</v>
      </c>
      <c r="X20" s="21">
        <f t="shared" si="28"/>
        <v>0</v>
      </c>
      <c r="Y20" s="21">
        <f t="shared" si="28"/>
        <v>0</v>
      </c>
      <c r="Z20" s="21">
        <f t="shared" si="28"/>
        <v>0</v>
      </c>
      <c r="AA20" s="21">
        <f t="shared" si="28"/>
        <v>9984</v>
      </c>
      <c r="AB20" s="21">
        <f t="shared" si="28"/>
        <v>9984</v>
      </c>
      <c r="AC20" s="24">
        <f t="shared" si="28"/>
        <v>89832</v>
      </c>
      <c r="AD20" s="25"/>
    </row>
    <row r="21" spans="1:30" ht="18.75">
      <c r="A21" s="63"/>
      <c r="B21" s="27"/>
      <c r="C21" s="28"/>
      <c r="D21" s="28"/>
      <c r="E21" s="28"/>
      <c r="F21" s="28"/>
      <c r="G21" s="28"/>
      <c r="H21" s="28"/>
      <c r="I21" s="97" t="s">
        <v>54</v>
      </c>
      <c r="J21" s="97"/>
      <c r="K21" s="97"/>
      <c r="L21" s="98"/>
      <c r="M21" s="98"/>
      <c r="N21" s="98"/>
      <c r="O21" s="98"/>
      <c r="P21" s="98"/>
      <c r="Q21" s="98"/>
      <c r="R21" s="98"/>
      <c r="S21" s="98"/>
      <c r="T21" s="98"/>
      <c r="U21" s="98"/>
      <c r="V21" s="98"/>
      <c r="W21" s="98"/>
      <c r="X21" s="98"/>
      <c r="Y21" s="98"/>
      <c r="Z21" s="98"/>
      <c r="AA21" s="98"/>
      <c r="AB21" s="98"/>
      <c r="AC21" s="28"/>
      <c r="AD21" s="28"/>
    </row>
    <row r="22" spans="1:30" ht="18.75">
      <c r="A22" s="63"/>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ht="18.75">
      <c r="A23" s="63"/>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30" ht="18.75">
      <c r="A24" s="63"/>
      <c r="B24" s="27"/>
      <c r="C24" s="28"/>
      <c r="D24" s="28"/>
      <c r="E24" s="96"/>
      <c r="F24" s="96"/>
      <c r="G24" s="96"/>
      <c r="H24" s="96"/>
      <c r="I24" s="96"/>
      <c r="J24" s="96"/>
      <c r="K24" s="96"/>
      <c r="L24" s="28"/>
      <c r="M24" s="28"/>
      <c r="N24" s="28"/>
      <c r="O24" s="28"/>
      <c r="P24" s="28"/>
      <c r="Q24" s="28"/>
      <c r="R24" s="28"/>
      <c r="S24" s="28"/>
      <c r="T24" s="96" t="s">
        <v>20</v>
      </c>
      <c r="U24" s="96"/>
      <c r="V24" s="96"/>
      <c r="W24" s="96"/>
      <c r="X24" s="96"/>
      <c r="Y24" s="96"/>
      <c r="Z24" s="96"/>
      <c r="AA24" s="96"/>
      <c r="AB24" s="96"/>
      <c r="AC24" s="96"/>
      <c r="AD24" s="96"/>
    </row>
    <row r="27" spans="1:30" ht="18.75">
      <c r="A27" s="1"/>
      <c r="B27" s="2" t="s">
        <v>48</v>
      </c>
      <c r="C27" s="99"/>
      <c r="D27" s="99"/>
      <c r="E27" s="99"/>
      <c r="F27" s="99"/>
      <c r="G27" s="99"/>
      <c r="H27" s="99"/>
      <c r="I27" s="3"/>
      <c r="J27" s="99" t="s">
        <v>49</v>
      </c>
      <c r="K27" s="99"/>
    </row>
    <row r="28" spans="1:30" ht="18.75">
      <c r="A28" s="1"/>
      <c r="B28" s="100" t="s">
        <v>50</v>
      </c>
      <c r="C28" s="100"/>
      <c r="D28" s="100"/>
      <c r="E28" s="100"/>
      <c r="F28" s="100"/>
      <c r="G28" s="100"/>
      <c r="H28" s="100"/>
      <c r="I28" s="100"/>
      <c r="J28" s="4"/>
      <c r="K28" s="4"/>
    </row>
    <row r="29" spans="1:30" ht="18.75">
      <c r="A29" s="64">
        <v>1</v>
      </c>
      <c r="B29" s="101" t="s">
        <v>51</v>
      </c>
      <c r="C29" s="101"/>
      <c r="D29" s="101"/>
      <c r="E29" s="101"/>
      <c r="F29" s="101"/>
      <c r="G29" s="101"/>
      <c r="H29" s="3"/>
      <c r="I29" s="3"/>
      <c r="J29" s="1"/>
      <c r="K29" s="1"/>
    </row>
    <row r="30" spans="1:30" ht="18.75">
      <c r="A30" s="6">
        <v>2</v>
      </c>
      <c r="B30" s="12" t="s">
        <v>52</v>
      </c>
      <c r="C30" s="12"/>
      <c r="D30" s="12"/>
      <c r="E30" s="12"/>
      <c r="F30" s="11"/>
      <c r="G30" s="94" t="str">
        <f>IF(AND(G4=""),"",CONCATENATE(L3,",","  ",T3))</f>
        <v>HEERA LAL JAT,  TEACHER</v>
      </c>
      <c r="H30" s="94"/>
      <c r="I30" s="94"/>
      <c r="J30" s="94"/>
      <c r="K30" s="94"/>
    </row>
    <row r="31" spans="1:30" ht="18.75">
      <c r="A31" s="7">
        <v>3</v>
      </c>
      <c r="B31" s="95" t="s">
        <v>53</v>
      </c>
      <c r="C31" s="95"/>
      <c r="D31" s="8"/>
      <c r="E31" s="8"/>
      <c r="F31" s="1"/>
      <c r="G31" s="1"/>
      <c r="H31" s="1"/>
      <c r="I31" s="9"/>
      <c r="J31" s="10"/>
      <c r="K31" s="10"/>
    </row>
    <row r="32" spans="1:30" ht="18.75">
      <c r="T32" s="96" t="s">
        <v>20</v>
      </c>
      <c r="U32" s="96"/>
      <c r="V32" s="96"/>
      <c r="W32" s="96"/>
      <c r="X32" s="96"/>
      <c r="Y32" s="96"/>
      <c r="Z32" s="96"/>
      <c r="AA32" s="96"/>
      <c r="AB32" s="96"/>
      <c r="AC32" s="96"/>
      <c r="AD32" s="96"/>
    </row>
  </sheetData>
  <mergeCells count="47">
    <mergeCell ref="G30:K30"/>
    <mergeCell ref="B31:C31"/>
    <mergeCell ref="T32:AD32"/>
    <mergeCell ref="E24:K24"/>
    <mergeCell ref="T24:AD24"/>
    <mergeCell ref="C27:H27"/>
    <mergeCell ref="J27:K27"/>
    <mergeCell ref="B28:I28"/>
    <mergeCell ref="B29:G29"/>
    <mergeCell ref="U6:W6"/>
    <mergeCell ref="X6:Z6"/>
    <mergeCell ref="AA6:AA7"/>
    <mergeCell ref="A20:B20"/>
    <mergeCell ref="I21:K21"/>
    <mergeCell ref="L21:AB21"/>
    <mergeCell ref="M6:M7"/>
    <mergeCell ref="N6:N7"/>
    <mergeCell ref="O6:O7"/>
    <mergeCell ref="P6:P7"/>
    <mergeCell ref="Q6:Q7"/>
    <mergeCell ref="R6:T6"/>
    <mergeCell ref="R5:AA5"/>
    <mergeCell ref="AB5:AB7"/>
    <mergeCell ref="AC5:AC7"/>
    <mergeCell ref="AD5:AD7"/>
    <mergeCell ref="C6:C7"/>
    <mergeCell ref="D6:D7"/>
    <mergeCell ref="E6:E7"/>
    <mergeCell ref="F6:F7"/>
    <mergeCell ref="G6:G7"/>
    <mergeCell ref="H6:H7"/>
    <mergeCell ref="E4:F4"/>
    <mergeCell ref="A5:A7"/>
    <mergeCell ref="B5:B7"/>
    <mergeCell ref="C5:G5"/>
    <mergeCell ref="H5:L5"/>
    <mergeCell ref="M5:Q5"/>
    <mergeCell ref="I6:I7"/>
    <mergeCell ref="J6:J7"/>
    <mergeCell ref="K6:K7"/>
    <mergeCell ref="L6:L7"/>
    <mergeCell ref="A1:AD1"/>
    <mergeCell ref="A2:AD2"/>
    <mergeCell ref="H3:K3"/>
    <mergeCell ref="L3:Q3"/>
    <mergeCell ref="R3:S3"/>
    <mergeCell ref="T3:W3"/>
  </mergeCells>
  <pageMargins left="0.45" right="0.2" top="0.25" bottom="0.25" header="0.3" footer="0.3"/>
  <pageSetup paperSize="9"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Arrear</vt:lpstr>
      <vt:lpstr>Unlock Arrear Sheet</vt:lpstr>
      <vt:lpstr>Arrear!Print_Area</vt:lpstr>
      <vt:lpstr>'Unlock Arrear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2018-06-27T04:49:06Z</cp:lastPrinted>
  <dcterms:created xsi:type="dcterms:W3CDTF">2017-11-28T05:50:55Z</dcterms:created>
  <dcterms:modified xsi:type="dcterms:W3CDTF">2018-06-27T04:50:26Z</dcterms:modified>
</cp:coreProperties>
</file>