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updateLinks="never" defaultThemeVersion="124226"/>
  <bookViews>
    <workbookView xWindow="240" yWindow="60" windowWidth="20055" windowHeight="7950"/>
  </bookViews>
  <sheets>
    <sheet name="Master" sheetId="7" r:id="rId1"/>
    <sheet name="PriPay Panager Sheet" sheetId="1" r:id="rId2"/>
    <sheet name="Unlock Sheet" sheetId="8" r:id="rId3"/>
  </sheets>
  <definedNames>
    <definedName name="_xlnm.Print_Area" localSheetId="1">'PriPay Panager Sheet'!$A$1:$S$30</definedName>
    <definedName name="_xlnm.Print_Area" localSheetId="2">'Unlock Sheet'!$A$1:$S$31</definedName>
  </definedNames>
  <calcPr calcId="124519"/>
</workbook>
</file>

<file path=xl/calcChain.xml><?xml version="1.0" encoding="utf-8"?>
<calcChain xmlns="http://schemas.openxmlformats.org/spreadsheetml/2006/main">
  <c r="Q3" i="8"/>
  <c r="E6"/>
  <c r="A23" i="1"/>
  <c r="A23" i="8" s="1"/>
  <c r="S10"/>
  <c r="S11"/>
  <c r="S12"/>
  <c r="S13"/>
  <c r="S14"/>
  <c r="S15"/>
  <c r="S16"/>
  <c r="S17"/>
  <c r="S9"/>
  <c r="Q28"/>
  <c r="B2"/>
  <c r="Q28" i="1"/>
  <c r="B2" l="1"/>
  <c r="Z5"/>
  <c r="AE6"/>
  <c r="AB4"/>
  <c r="Z4"/>
  <c r="AB6"/>
  <c r="Q25" l="1"/>
  <c r="Q25" i="8" s="1"/>
  <c r="K23" i="1"/>
  <c r="K23" i="8" s="1"/>
  <c r="AF6" i="1"/>
  <c r="D20"/>
  <c r="D20" i="8" s="1"/>
  <c r="O7" i="1"/>
  <c r="O7" i="8" s="1"/>
  <c r="N20" i="1"/>
  <c r="N20" i="8" s="1"/>
  <c r="AH6" i="1"/>
  <c r="AG6"/>
  <c r="AC6" l="1"/>
  <c r="AD6" s="1"/>
  <c r="F9" s="1"/>
  <c r="F9" i="8" s="1"/>
  <c r="Y6" i="1"/>
  <c r="Z6" s="1"/>
  <c r="AA6" s="1"/>
  <c r="C9" s="1"/>
  <c r="C9" i="8" s="1"/>
  <c r="F3" i="1"/>
  <c r="F3" i="8" s="1"/>
  <c r="K3" i="1"/>
  <c r="K3" i="8" s="1"/>
  <c r="G9" i="1" l="1"/>
  <c r="G9" i="8" s="1"/>
  <c r="D9" i="1"/>
  <c r="D9" i="8" s="1"/>
  <c r="I9" i="1"/>
  <c r="I9" i="8" s="1"/>
  <c r="AC7" i="1"/>
  <c r="AD7" s="1"/>
  <c r="F10" s="1"/>
  <c r="Z7"/>
  <c r="AA7" s="1"/>
  <c r="C10" s="1"/>
  <c r="C10" i="8" s="1"/>
  <c r="E9" i="1" l="1"/>
  <c r="E9" i="8" s="1"/>
  <c r="G10" i="1"/>
  <c r="F10" i="8"/>
  <c r="H9" i="1"/>
  <c r="H9" i="8" s="1"/>
  <c r="J9" i="1"/>
  <c r="D10"/>
  <c r="I10"/>
  <c r="I10" i="8" s="1"/>
  <c r="Z8" i="1"/>
  <c r="AA8" s="1"/>
  <c r="C11" s="1"/>
  <c r="C11" i="8" s="1"/>
  <c r="AC8" i="1"/>
  <c r="AD8" s="1"/>
  <c r="F11" s="1"/>
  <c r="G11" l="1"/>
  <c r="F11" i="8"/>
  <c r="H10" i="1"/>
  <c r="H10" i="8" s="1"/>
  <c r="G10"/>
  <c r="J10" i="1"/>
  <c r="J10" i="8" s="1"/>
  <c r="D10"/>
  <c r="K9" i="1"/>
  <c r="K9" i="8" s="1"/>
  <c r="J9"/>
  <c r="E10" i="1"/>
  <c r="E10" i="8" s="1"/>
  <c r="D11" i="1"/>
  <c r="I11"/>
  <c r="I11" i="8" s="1"/>
  <c r="E11" i="1"/>
  <c r="E11" i="8" s="1"/>
  <c r="AC9" i="1"/>
  <c r="AD9" s="1"/>
  <c r="F12" s="1"/>
  <c r="Z9"/>
  <c r="AA9" s="1"/>
  <c r="C12" s="1"/>
  <c r="C12" i="8" s="1"/>
  <c r="K10" i="1" l="1"/>
  <c r="K10" i="8" s="1"/>
  <c r="L9" i="1"/>
  <c r="L9" i="8" s="1"/>
  <c r="N9" i="1"/>
  <c r="N9" i="8" s="1"/>
  <c r="H11" i="1"/>
  <c r="H11" i="8" s="1"/>
  <c r="G11"/>
  <c r="G12" i="1"/>
  <c r="F12" i="8"/>
  <c r="J11" i="1"/>
  <c r="J11" i="8" s="1"/>
  <c r="D11"/>
  <c r="M9" i="1"/>
  <c r="L10"/>
  <c r="N10"/>
  <c r="N10" i="8" s="1"/>
  <c r="D12" i="1"/>
  <c r="I12"/>
  <c r="I12" i="8" s="1"/>
  <c r="Z10" i="1"/>
  <c r="AA10" s="1"/>
  <c r="C13" s="1"/>
  <c r="C13" i="8" s="1"/>
  <c r="AC10" i="1"/>
  <c r="AD10" s="1"/>
  <c r="F13" s="1"/>
  <c r="K11" l="1"/>
  <c r="N11" s="1"/>
  <c r="N11" i="8" s="1"/>
  <c r="J12" i="1"/>
  <c r="J12" i="8" s="1"/>
  <c r="D12"/>
  <c r="G13" i="1"/>
  <c r="F13" i="8"/>
  <c r="H12" i="1"/>
  <c r="H12" i="8" s="1"/>
  <c r="G12"/>
  <c r="K11"/>
  <c r="M10" i="1"/>
  <c r="M10" i="8" s="1"/>
  <c r="L10"/>
  <c r="P9" i="1"/>
  <c r="P9" i="8" s="1"/>
  <c r="M9"/>
  <c r="E12" i="1"/>
  <c r="E12" i="8" s="1"/>
  <c r="L11" i="1"/>
  <c r="D13"/>
  <c r="E13" s="1"/>
  <c r="E13" i="8" s="1"/>
  <c r="I13" i="1"/>
  <c r="I13" i="8" s="1"/>
  <c r="AC11" i="1"/>
  <c r="AD11" s="1"/>
  <c r="F14" s="1"/>
  <c r="Z11"/>
  <c r="O9" l="1"/>
  <c r="O9" i="8" s="1"/>
  <c r="P10" i="1"/>
  <c r="P10" i="8" s="1"/>
  <c r="K12" i="1"/>
  <c r="N12" s="1"/>
  <c r="N12" i="8" s="1"/>
  <c r="J13" i="1"/>
  <c r="J13" i="8" s="1"/>
  <c r="D13"/>
  <c r="G14" i="1"/>
  <c r="F14" i="8"/>
  <c r="H13" i="1"/>
  <c r="H13" i="8" s="1"/>
  <c r="G13"/>
  <c r="O10" i="1"/>
  <c r="O10" i="8" s="1"/>
  <c r="M11" i="1"/>
  <c r="L11" i="8"/>
  <c r="K13" i="1"/>
  <c r="K13" i="8" s="1"/>
  <c r="Z12" i="1"/>
  <c r="AA12" s="1"/>
  <c r="C15" s="1"/>
  <c r="C15" i="8" s="1"/>
  <c r="AA11" i="1"/>
  <c r="C14" s="1"/>
  <c r="C14" i="8" s="1"/>
  <c r="AC12" i="1"/>
  <c r="AD12" s="1"/>
  <c r="F15" s="1"/>
  <c r="F15" i="8" s="1"/>
  <c r="Q9" i="1" l="1"/>
  <c r="Q9" i="8" s="1"/>
  <c r="K12"/>
  <c r="L12" i="1"/>
  <c r="H14"/>
  <c r="H14" i="8" s="1"/>
  <c r="G14"/>
  <c r="Q10" i="1"/>
  <c r="Q10" i="8" s="1"/>
  <c r="P11" i="1"/>
  <c r="P11" i="8" s="1"/>
  <c r="M11"/>
  <c r="R9" i="1"/>
  <c r="R9" i="8" s="1"/>
  <c r="L13" i="1"/>
  <c r="L13" i="8" s="1"/>
  <c r="N13" i="1"/>
  <c r="N13" i="8" s="1"/>
  <c r="D15" i="1"/>
  <c r="D14"/>
  <c r="E14" s="1"/>
  <c r="E14" i="8" s="1"/>
  <c r="I14" i="1"/>
  <c r="I14" i="8" s="1"/>
  <c r="G15" i="1"/>
  <c r="I15"/>
  <c r="I15" i="8" s="1"/>
  <c r="AC13" i="1"/>
  <c r="AD13" s="1"/>
  <c r="F16" s="1"/>
  <c r="F16" i="8" s="1"/>
  <c r="Z13" i="1"/>
  <c r="AA13" s="1"/>
  <c r="C16" s="1"/>
  <c r="C16" i="8" s="1"/>
  <c r="R10" i="1" l="1"/>
  <c r="R10" i="8" s="1"/>
  <c r="O11" i="1"/>
  <c r="L12" i="8"/>
  <c r="M12" i="1"/>
  <c r="J15"/>
  <c r="J15" i="8" s="1"/>
  <c r="G15"/>
  <c r="E15" i="1"/>
  <c r="E15" i="8" s="1"/>
  <c r="D15"/>
  <c r="J14" i="1"/>
  <c r="J14" i="8" s="1"/>
  <c r="D14"/>
  <c r="M13" i="1"/>
  <c r="H15"/>
  <c r="H15" i="8" s="1"/>
  <c r="I16" i="1"/>
  <c r="I16" i="8" s="1"/>
  <c r="D16" i="1"/>
  <c r="D16" i="8" s="1"/>
  <c r="K15" i="1"/>
  <c r="K15" i="8" s="1"/>
  <c r="G16" i="1"/>
  <c r="AC14"/>
  <c r="Z14"/>
  <c r="Q11" l="1"/>
  <c r="O11" i="8"/>
  <c r="K14" i="1"/>
  <c r="K14" i="8" s="1"/>
  <c r="M12"/>
  <c r="P12" i="1"/>
  <c r="O12" s="1"/>
  <c r="O12" i="8" s="1"/>
  <c r="H16" i="1"/>
  <c r="H16" i="8" s="1"/>
  <c r="G16"/>
  <c r="P13" i="1"/>
  <c r="M13" i="8"/>
  <c r="L15" i="1"/>
  <c r="L15" i="8" s="1"/>
  <c r="N15" i="1"/>
  <c r="N15" i="8" s="1"/>
  <c r="J16" i="1"/>
  <c r="E16"/>
  <c r="E16" i="8" s="1"/>
  <c r="AA14" i="1"/>
  <c r="C17" s="1"/>
  <c r="AD14"/>
  <c r="F17" s="1"/>
  <c r="N14" l="1"/>
  <c r="N14" i="8" s="1"/>
  <c r="M15" i="1"/>
  <c r="M15" i="8" s="1"/>
  <c r="Q11"/>
  <c r="R11" i="1"/>
  <c r="R11" i="8" s="1"/>
  <c r="L14" i="1"/>
  <c r="P12" i="8"/>
  <c r="Q12" i="1"/>
  <c r="C18"/>
  <c r="C17" i="8"/>
  <c r="C18" s="1"/>
  <c r="F18" i="1"/>
  <c r="F17" i="8"/>
  <c r="F18" s="1"/>
  <c r="K16" i="1"/>
  <c r="K16" i="8" s="1"/>
  <c r="J16"/>
  <c r="O13" i="1"/>
  <c r="P13" i="8"/>
  <c r="P15" i="1"/>
  <c r="D17"/>
  <c r="I17"/>
  <c r="G17"/>
  <c r="G17" i="8" s="1"/>
  <c r="G18" s="1"/>
  <c r="L16" i="1" l="1"/>
  <c r="L14" i="8"/>
  <c r="M14" i="1"/>
  <c r="R12"/>
  <c r="R12" i="8" s="1"/>
  <c r="Q12"/>
  <c r="N16" i="1"/>
  <c r="N16" i="8" s="1"/>
  <c r="D18" i="1"/>
  <c r="D17" i="8"/>
  <c r="D18" s="1"/>
  <c r="M16" i="1"/>
  <c r="M16" i="8" s="1"/>
  <c r="L16"/>
  <c r="O15" i="1"/>
  <c r="P15" i="8"/>
  <c r="I18" i="1"/>
  <c r="I17" i="8"/>
  <c r="I18" s="1"/>
  <c r="O13"/>
  <c r="Q13" i="1"/>
  <c r="H17"/>
  <c r="G18"/>
  <c r="J17"/>
  <c r="E17"/>
  <c r="P16" l="1"/>
  <c r="P16" i="8" s="1"/>
  <c r="M14"/>
  <c r="P14" i="1"/>
  <c r="H18"/>
  <c r="H17" i="8"/>
  <c r="H18" s="1"/>
  <c r="E18" i="1"/>
  <c r="E17" i="8"/>
  <c r="E18" s="1"/>
  <c r="Q13"/>
  <c r="R13" i="1"/>
  <c r="R13" i="8" s="1"/>
  <c r="Q15" i="1"/>
  <c r="O15" i="8"/>
  <c r="J18" i="1"/>
  <c r="J17" i="8"/>
  <c r="J18" s="1"/>
  <c r="K17" i="1"/>
  <c r="O16" l="1"/>
  <c r="Q16" s="1"/>
  <c r="P14" i="8"/>
  <c r="O14" i="1"/>
  <c r="R15"/>
  <c r="R15" i="8" s="1"/>
  <c r="Q15"/>
  <c r="K18" i="1"/>
  <c r="K17" i="8"/>
  <c r="K18" s="1"/>
  <c r="L17" i="1"/>
  <c r="N17"/>
  <c r="O16" i="8" l="1"/>
  <c r="O14"/>
  <c r="Q14" i="1"/>
  <c r="N18"/>
  <c r="N17" i="8"/>
  <c r="N18" s="1"/>
  <c r="R16" i="1"/>
  <c r="R16" i="8" s="1"/>
  <c r="Q16"/>
  <c r="L18" i="1"/>
  <c r="L17" i="8"/>
  <c r="L18" s="1"/>
  <c r="M17" i="1"/>
  <c r="Q14" i="8" l="1"/>
  <c r="R14" i="1"/>
  <c r="R14" i="8" s="1"/>
  <c r="M18" i="1"/>
  <c r="O22" s="1"/>
  <c r="M17" i="8"/>
  <c r="M18" s="1"/>
  <c r="O22" s="1"/>
  <c r="P17" i="1"/>
  <c r="P18" l="1"/>
  <c r="O24" s="1"/>
  <c r="P17" i="8"/>
  <c r="P18" s="1"/>
  <c r="O24" s="1"/>
  <c r="O17" i="1"/>
  <c r="O18" l="1"/>
  <c r="O17" i="8"/>
  <c r="O18" s="1"/>
  <c r="Q17" i="1"/>
  <c r="Q18" l="1"/>
  <c r="Q17" i="8"/>
  <c r="Q18" s="1"/>
  <c r="R17" i="1"/>
  <c r="R18" l="1"/>
  <c r="L20" s="1"/>
  <c r="R17" i="8"/>
  <c r="R18" s="1"/>
  <c r="AG14" i="1" l="1"/>
  <c r="AG15" s="1"/>
  <c r="Q23" s="1"/>
  <c r="Q23" i="8" s="1"/>
  <c r="L20"/>
  <c r="O23" s="1"/>
  <c r="O23" i="1"/>
  <c r="O25" s="1"/>
  <c r="O25" i="8"/>
</calcChain>
</file>

<file path=xl/sharedStrings.xml><?xml version="1.0" encoding="utf-8"?>
<sst xmlns="http://schemas.openxmlformats.org/spreadsheetml/2006/main" count="128" uniqueCount="67">
  <si>
    <t>S.No.</t>
  </si>
  <si>
    <t>Month</t>
  </si>
  <si>
    <t>Due</t>
  </si>
  <si>
    <t>DRAWN</t>
  </si>
  <si>
    <t>DIFFERENCE</t>
  </si>
  <si>
    <t>INCOME TAX</t>
  </si>
  <si>
    <t>TOTAL DEDUCTION</t>
  </si>
  <si>
    <t>NET AMMOUNT</t>
  </si>
  <si>
    <t>TV NUMBER &amp; DATE</t>
  </si>
  <si>
    <t>BASIC</t>
  </si>
  <si>
    <t>DA</t>
  </si>
  <si>
    <t>TOTAL</t>
  </si>
  <si>
    <t>BASIC  30%</t>
  </si>
  <si>
    <t>DA       30%</t>
  </si>
  <si>
    <t>TOTAL    30%</t>
  </si>
  <si>
    <t>GOVT NPS</t>
  </si>
  <si>
    <t>GOVT SENIOR SECONDARY SCHOOL(PEEO)GOWATI</t>
  </si>
  <si>
    <t>EMPLOYEE DETAIL</t>
  </si>
  <si>
    <t>OFFICE NAME :-</t>
  </si>
  <si>
    <t>PEEO/DDO NAME :-</t>
  </si>
  <si>
    <r>
      <rPr>
        <b/>
        <sz val="14"/>
        <color rgb="FF002060"/>
        <rFont val="Kruti Dev 010"/>
      </rPr>
      <t>fgUnh otZu pkfg, rks uke fgUnh esa</t>
    </r>
    <r>
      <rPr>
        <b/>
        <sz val="14"/>
        <color rgb="FF002060"/>
        <rFont val="Calibri"/>
        <family val="2"/>
        <scheme val="minor"/>
      </rPr>
      <t xml:space="preserve"> :-</t>
    </r>
  </si>
  <si>
    <t>S.R. NO.</t>
  </si>
  <si>
    <t>EMPLOYEE NAME</t>
  </si>
  <si>
    <t>POST</t>
  </si>
  <si>
    <t>GPF / NPS</t>
  </si>
  <si>
    <t>Regular Pay / Fix Pay</t>
  </si>
  <si>
    <r>
      <t xml:space="preserve">1-1-17 </t>
    </r>
    <r>
      <rPr>
        <b/>
        <sz val="12"/>
        <color rgb="FFFF0000"/>
        <rFont val="Kruti Dev 010"/>
      </rPr>
      <t xml:space="preserve">ds ckn ;fn vkidh </t>
    </r>
    <r>
      <rPr>
        <b/>
        <sz val="12"/>
        <color rgb="FFFF0000"/>
        <rFont val="Calibri"/>
        <family val="2"/>
        <scheme val="minor"/>
      </rPr>
      <t>OPTION DATE</t>
    </r>
    <r>
      <rPr>
        <b/>
        <sz val="12"/>
        <color rgb="FFFF0000"/>
        <rFont val="Times New Roman"/>
        <family val="1"/>
      </rPr>
      <t xml:space="preserve"> </t>
    </r>
    <r>
      <rPr>
        <b/>
        <sz val="12"/>
        <color rgb="FFFF0000"/>
        <rFont val="Kruti Dev 010"/>
      </rPr>
      <t>gks rks vkIlu fnukad fy[ksa</t>
    </r>
  </si>
  <si>
    <t>Write  TDS %</t>
  </si>
  <si>
    <t>Six Pay Basic</t>
  </si>
  <si>
    <t>7th Pay Basic</t>
  </si>
  <si>
    <t>Sr. Teacher</t>
  </si>
  <si>
    <t>GPF</t>
  </si>
  <si>
    <t>Regular Pay</t>
  </si>
  <si>
    <t>TEACHER</t>
  </si>
  <si>
    <t>NPS</t>
  </si>
  <si>
    <t>POST :-</t>
  </si>
  <si>
    <t>PRINCIPAL</t>
  </si>
  <si>
    <t>in %&amp;</t>
  </si>
  <si>
    <t>iz/kkukpk;Z</t>
  </si>
  <si>
    <t>BHAGIRATH BAJROLIYA</t>
  </si>
  <si>
    <t>HkkxhjFk Ckktjksfy;k</t>
  </si>
  <si>
    <t>GOVERNMENT OF RAJASTHAN</t>
  </si>
  <si>
    <t>NAME OF EMPLOYEE</t>
  </si>
  <si>
    <t>Øekad %&amp;</t>
  </si>
  <si>
    <t>Second installment of Arrear on 01-07-2018 (30% Amount)</t>
  </si>
  <si>
    <t>First installment of Arrear on 01-04-2018 (30% Amount)</t>
  </si>
  <si>
    <t>Third installment of Arrear on 01-10-2018 (40% Amount)</t>
  </si>
  <si>
    <t>Fix Pay</t>
  </si>
  <si>
    <t>FIXETION AREEAR  01-01-17  to  30-09-17</t>
  </si>
  <si>
    <t xml:space="preserve">fnukad </t>
  </si>
  <si>
    <r>
      <t xml:space="preserve">ls </t>
    </r>
    <r>
      <rPr>
        <b/>
        <sz val="13"/>
        <color theme="1"/>
        <rFont val="Calibri"/>
        <family val="2"/>
        <scheme val="minor"/>
      </rPr>
      <t>30-09-2017</t>
    </r>
    <r>
      <rPr>
        <b/>
        <sz val="13"/>
        <color theme="1"/>
        <rFont val="Kruti Dev 010"/>
      </rPr>
      <t xml:space="preserve"> rd fQDls'ku ,fj;j dh </t>
    </r>
    <r>
      <rPr>
        <b/>
        <sz val="13"/>
        <color theme="1"/>
        <rFont val="Calibri"/>
        <family val="2"/>
        <scheme val="minor"/>
      </rPr>
      <t>30%</t>
    </r>
    <r>
      <rPr>
        <b/>
        <sz val="13"/>
        <color theme="1"/>
        <rFont val="Kruti Dev 010"/>
      </rPr>
      <t xml:space="preserve"> jkf'k </t>
    </r>
  </si>
  <si>
    <r>
      <rPr>
        <b/>
        <sz val="11"/>
        <color theme="1"/>
        <rFont val="Calibri"/>
        <family val="2"/>
        <scheme val="minor"/>
      </rPr>
      <t>(30 %</t>
    </r>
    <r>
      <rPr>
        <b/>
        <sz val="11"/>
        <color theme="1"/>
        <rFont val="Kruti Dev 010"/>
      </rPr>
      <t xml:space="preserve"> jkf'k </t>
    </r>
    <r>
      <rPr>
        <b/>
        <sz val="11"/>
        <color theme="1"/>
        <rFont val="Calibri"/>
        <family val="2"/>
        <scheme val="minor"/>
      </rPr>
      <t>)</t>
    </r>
  </si>
  <si>
    <t>v{kjs jkf'k</t>
  </si>
  <si>
    <r>
      <rPr>
        <b/>
        <sz val="11"/>
        <color theme="1"/>
        <rFont val="Calibri"/>
        <family val="2"/>
        <scheme val="minor"/>
      </rPr>
      <t>(T.D.S.%</t>
    </r>
    <r>
      <rPr>
        <b/>
        <sz val="11"/>
        <color theme="1"/>
        <rFont val="Kruti Dev 010"/>
      </rPr>
      <t xml:space="preserve"> dVkSfr </t>
    </r>
    <r>
      <rPr>
        <b/>
        <sz val="11"/>
        <color theme="1"/>
        <rFont val="Calibri"/>
        <family val="2"/>
        <scheme val="minor"/>
      </rPr>
      <t>)</t>
    </r>
  </si>
  <si>
    <r>
      <rPr>
        <b/>
        <sz val="11"/>
        <color theme="1"/>
        <rFont val="Calibri"/>
        <family val="2"/>
        <scheme val="minor"/>
      </rPr>
      <t>(</t>
    </r>
    <r>
      <rPr>
        <b/>
        <sz val="11"/>
        <color theme="1"/>
        <rFont val="Kruti Dev 010"/>
      </rPr>
      <t xml:space="preserve">'kq) Hkqxrku ;ksX; jkf'k </t>
    </r>
    <r>
      <rPr>
        <b/>
        <sz val="11"/>
        <color theme="1"/>
        <rFont val="Calibri"/>
        <family val="2"/>
        <scheme val="minor"/>
      </rPr>
      <t>)</t>
    </r>
  </si>
  <si>
    <t>Seal and Signature</t>
  </si>
  <si>
    <t>DDO</t>
  </si>
  <si>
    <t>HEERA LAL JAT</t>
  </si>
  <si>
    <t>Mahendra Patel</t>
  </si>
  <si>
    <t>Mandeep Singh Bhular</t>
  </si>
  <si>
    <t>Sawar Mal Yadav</t>
  </si>
  <si>
    <t>Chhelsingh Rathore</t>
  </si>
  <si>
    <t>FOR        Sr. No.</t>
  </si>
  <si>
    <t>ije~ iwT; xq:nso oklqnso th egkjkt dks ueu</t>
  </si>
  <si>
    <t>Prepared By</t>
  </si>
  <si>
    <t>V./P.-  Chandawal Nagar</t>
  </si>
  <si>
    <t>heeralaljatchandawal@gmail.com</t>
  </si>
</sst>
</file>

<file path=xl/styles.xml><?xml version="1.0" encoding="utf-8"?>
<styleSheet xmlns="http://schemas.openxmlformats.org/spreadsheetml/2006/main">
  <numFmts count="1">
    <numFmt numFmtId="164" formatCode="#,##0_-[$₹-44D]"/>
  </numFmts>
  <fonts count="53">
    <font>
      <sz val="11"/>
      <color theme="1"/>
      <name val="Calibri"/>
      <family val="2"/>
      <scheme val="minor"/>
    </font>
    <font>
      <sz val="10"/>
      <name val="Arial"/>
    </font>
    <font>
      <b/>
      <sz val="8"/>
      <name val="Arial"/>
      <family val="2"/>
    </font>
    <font>
      <b/>
      <sz val="9"/>
      <name val="Arial"/>
      <family val="2"/>
    </font>
    <font>
      <sz val="26"/>
      <name val="Algerian"/>
      <family val="5"/>
    </font>
    <font>
      <b/>
      <sz val="9"/>
      <color theme="1"/>
      <name val="Calibri"/>
      <family val="2"/>
      <scheme val="minor"/>
    </font>
    <font>
      <b/>
      <sz val="11"/>
      <color theme="1"/>
      <name val="Calibri"/>
      <family val="2"/>
      <scheme val="minor"/>
    </font>
    <font>
      <sz val="22"/>
      <name val="Algerian"/>
      <family val="5"/>
    </font>
    <font>
      <b/>
      <i/>
      <u/>
      <sz val="14"/>
      <color rgb="FF7030A0"/>
      <name val="Calibri"/>
      <family val="2"/>
      <scheme val="minor"/>
    </font>
    <font>
      <b/>
      <sz val="12"/>
      <color rgb="FF002060"/>
      <name val="Calibri"/>
      <family val="2"/>
      <scheme val="minor"/>
    </font>
    <font>
      <b/>
      <sz val="14"/>
      <color rgb="FF002060"/>
      <name val="Calibri"/>
      <family val="2"/>
      <scheme val="minor"/>
    </font>
    <font>
      <b/>
      <sz val="14"/>
      <color rgb="FF002060"/>
      <name val="Kruti Dev 010"/>
    </font>
    <font>
      <b/>
      <sz val="12"/>
      <color theme="5" tint="-0.249977111117893"/>
      <name val="Times New Roman"/>
      <family val="1"/>
    </font>
    <font>
      <b/>
      <sz val="12"/>
      <color rgb="FFFF0000"/>
      <name val="Times New Roman"/>
      <family val="1"/>
    </font>
    <font>
      <b/>
      <sz val="12"/>
      <color rgb="FFFF0000"/>
      <name val="Kruti Dev 010"/>
    </font>
    <font>
      <b/>
      <sz val="12"/>
      <color rgb="FFFF0000"/>
      <name val="Calibri"/>
      <family val="2"/>
      <scheme val="minor"/>
    </font>
    <font>
      <b/>
      <sz val="12"/>
      <color theme="1"/>
      <name val="Calibri"/>
      <family val="2"/>
      <scheme val="minor"/>
    </font>
    <font>
      <b/>
      <sz val="14"/>
      <color theme="1"/>
      <name val="Calibri"/>
      <family val="2"/>
      <scheme val="minor"/>
    </font>
    <font>
      <b/>
      <sz val="14"/>
      <name val="Calibri"/>
      <family val="2"/>
      <scheme val="minor"/>
    </font>
    <font>
      <b/>
      <sz val="10"/>
      <name val="Calibri"/>
      <family val="2"/>
      <scheme val="minor"/>
    </font>
    <font>
      <b/>
      <i/>
      <sz val="14"/>
      <name val="Calibri"/>
      <family val="2"/>
      <scheme val="minor"/>
    </font>
    <font>
      <b/>
      <sz val="12"/>
      <name val="Calibri"/>
      <family val="2"/>
      <scheme val="minor"/>
    </font>
    <font>
      <b/>
      <sz val="14"/>
      <name val="Kruti Dev 010"/>
    </font>
    <font>
      <b/>
      <sz val="14"/>
      <color theme="1"/>
      <name val="Kruti Dev 010"/>
    </font>
    <font>
      <b/>
      <sz val="12"/>
      <color theme="1"/>
      <name val="Kruti Dev 010"/>
    </font>
    <font>
      <b/>
      <sz val="16"/>
      <name val="Kruti Dev 010"/>
    </font>
    <font>
      <sz val="16"/>
      <name val="Kruti Dev 010"/>
    </font>
    <font>
      <b/>
      <i/>
      <sz val="10"/>
      <name val="Arial"/>
      <family val="2"/>
    </font>
    <font>
      <b/>
      <sz val="10"/>
      <name val="Times New Roman"/>
      <family val="1"/>
    </font>
    <font>
      <b/>
      <sz val="8"/>
      <name val="Times New Roman"/>
      <family val="1"/>
    </font>
    <font>
      <b/>
      <sz val="9"/>
      <name val="Times New Roman"/>
      <family val="1"/>
    </font>
    <font>
      <b/>
      <sz val="10"/>
      <color theme="1"/>
      <name val="Times New Roman"/>
      <family val="1"/>
    </font>
    <font>
      <b/>
      <sz val="8"/>
      <name val="Calibri"/>
      <family val="2"/>
      <scheme val="minor"/>
    </font>
    <font>
      <b/>
      <i/>
      <sz val="11"/>
      <name val="Arial"/>
      <family val="2"/>
    </font>
    <font>
      <b/>
      <i/>
      <sz val="12"/>
      <name val="Calibri"/>
      <family val="2"/>
      <scheme val="minor"/>
    </font>
    <font>
      <sz val="12"/>
      <name val="Calibri"/>
      <family val="2"/>
      <scheme val="minor"/>
    </font>
    <font>
      <sz val="14"/>
      <name val="Kruti Dev 010"/>
    </font>
    <font>
      <b/>
      <sz val="13"/>
      <color theme="1"/>
      <name val="Kruti Dev 010"/>
    </font>
    <font>
      <b/>
      <sz val="13"/>
      <color theme="1"/>
      <name val="Calibri"/>
      <family val="2"/>
      <scheme val="minor"/>
    </font>
    <font>
      <b/>
      <u/>
      <sz val="13"/>
      <color theme="1"/>
      <name val="Kruti Dev 010"/>
    </font>
    <font>
      <b/>
      <sz val="11"/>
      <color theme="1"/>
      <name val="Kruti Dev 010"/>
    </font>
    <font>
      <b/>
      <sz val="12"/>
      <color theme="5" tint="-0.249977111117893"/>
      <name val="Calibri"/>
      <family val="2"/>
      <scheme val="minor"/>
    </font>
    <font>
      <b/>
      <i/>
      <sz val="11"/>
      <name val="Kruti Dev 010"/>
    </font>
    <font>
      <sz val="14"/>
      <color theme="1"/>
      <name val="Kruti Dev 010"/>
    </font>
    <font>
      <b/>
      <i/>
      <sz val="12"/>
      <color theme="1"/>
      <name val="Calibri"/>
      <family val="2"/>
      <scheme val="minor"/>
    </font>
    <font>
      <b/>
      <i/>
      <sz val="11"/>
      <color theme="1"/>
      <name val="Calibri"/>
      <family val="2"/>
      <scheme val="minor"/>
    </font>
    <font>
      <b/>
      <i/>
      <sz val="13"/>
      <name val="Calibri"/>
      <family val="2"/>
      <scheme val="minor"/>
    </font>
    <font>
      <b/>
      <i/>
      <sz val="14"/>
      <color theme="5" tint="-0.499984740745262"/>
      <name val="Calibri"/>
      <family val="2"/>
      <scheme val="minor"/>
    </font>
    <font>
      <b/>
      <sz val="12"/>
      <color rgb="FF7030A0"/>
      <name val="Calibri"/>
      <family val="2"/>
      <scheme val="minor"/>
    </font>
    <font>
      <b/>
      <sz val="12"/>
      <color theme="9" tint="-0.499984740745262"/>
      <name val="Calibri"/>
      <family val="2"/>
      <scheme val="minor"/>
    </font>
    <font>
      <u/>
      <sz val="11"/>
      <color theme="10"/>
      <name val="Calibri"/>
      <family val="2"/>
    </font>
    <font>
      <b/>
      <u/>
      <sz val="14"/>
      <color theme="10"/>
      <name val="Calibri"/>
      <family val="2"/>
    </font>
    <font>
      <b/>
      <sz val="14"/>
      <color theme="3" tint="-0.49998474074526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5"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theme="9" tint="-0.499984740745262"/>
      </left>
      <right/>
      <top style="double">
        <color theme="9" tint="-0.499984740745262"/>
      </top>
      <bottom style="double">
        <color theme="9" tint="-0.499984740745262"/>
      </bottom>
      <diagonal/>
    </border>
    <border>
      <left/>
      <right/>
      <top style="double">
        <color theme="9" tint="-0.499984740745262"/>
      </top>
      <bottom style="double">
        <color theme="9" tint="-0.499984740745262"/>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double">
        <color theme="9" tint="-0.249977111117893"/>
      </left>
      <right/>
      <top style="double">
        <color theme="9" tint="-0.249977111117893"/>
      </top>
      <bottom style="double">
        <color theme="9" tint="-0.249977111117893"/>
      </bottom>
      <diagonal/>
    </border>
    <border>
      <left style="double">
        <color theme="9" tint="-0.499984740745262"/>
      </left>
      <right style="double">
        <color theme="9" tint="-0.499984740745262"/>
      </right>
      <top style="double">
        <color theme="9" tint="-0.499984740745262"/>
      </top>
      <bottom style="double">
        <color theme="9" tint="-0.499984740745262"/>
      </bottom>
      <diagonal/>
    </border>
    <border>
      <left style="double">
        <color theme="9" tint="-0.499984740745262"/>
      </left>
      <right style="double">
        <color theme="9" tint="-0.499984740745262"/>
      </right>
      <top style="double">
        <color theme="9" tint="-0.499984740745262"/>
      </top>
      <bottom/>
      <diagonal/>
    </border>
    <border>
      <left style="double">
        <color theme="9" tint="-0.499984740745262"/>
      </left>
      <right style="double">
        <color theme="9" tint="-0.499984740745262"/>
      </right>
      <top/>
      <bottom style="double">
        <color theme="9" tint="-0.499984740745262"/>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alignment vertical="top"/>
      <protection locked="0"/>
    </xf>
  </cellStyleXfs>
  <cellXfs count="129">
    <xf numFmtId="0" fontId="0" fillId="0" borderId="0" xfId="0"/>
    <xf numFmtId="0" fontId="0" fillId="3" borderId="0" xfId="0" applyFill="1" applyAlignment="1" applyProtection="1">
      <alignment horizontal="center" vertical="center"/>
      <protection hidden="1"/>
    </xf>
    <xf numFmtId="0" fontId="0" fillId="3" borderId="0" xfId="0" applyFill="1" applyProtection="1">
      <protection hidden="1"/>
    </xf>
    <xf numFmtId="0" fontId="9" fillId="3" borderId="0" xfId="0" applyFont="1" applyFill="1" applyAlignment="1" applyProtection="1">
      <alignment horizontal="center" vertical="center"/>
      <protection hidden="1"/>
    </xf>
    <xf numFmtId="0" fontId="9" fillId="3" borderId="0" xfId="0" applyFont="1" applyFill="1" applyProtection="1">
      <protection hidden="1"/>
    </xf>
    <xf numFmtId="0" fontId="6" fillId="0" borderId="10" xfId="0" applyFont="1" applyBorder="1" applyAlignment="1" applyProtection="1">
      <alignment horizontal="center" vertical="center"/>
      <protection locked="0"/>
    </xf>
    <xf numFmtId="0" fontId="6" fillId="0" borderId="10" xfId="0" applyFont="1" applyBorder="1" applyAlignment="1" applyProtection="1">
      <alignment vertical="center"/>
      <protection locked="0"/>
    </xf>
    <xf numFmtId="0" fontId="16" fillId="0" borderId="10" xfId="0" applyFont="1" applyBorder="1" applyAlignment="1" applyProtection="1">
      <alignment vertical="center"/>
      <protection locked="0"/>
    </xf>
    <xf numFmtId="14" fontId="6" fillId="0" borderId="10" xfId="0" applyNumberFormat="1"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1" xfId="0" applyFont="1" applyBorder="1" applyAlignment="1" applyProtection="1">
      <alignment vertical="center"/>
      <protection locked="0"/>
    </xf>
    <xf numFmtId="0" fontId="16" fillId="0" borderId="11" xfId="0" applyFont="1" applyBorder="1" applyAlignment="1" applyProtection="1">
      <alignment vertical="center"/>
      <protection locked="0"/>
    </xf>
    <xf numFmtId="14" fontId="6" fillId="0" borderId="11" xfId="0" applyNumberFormat="1" applyFont="1" applyBorder="1" applyAlignment="1" applyProtection="1">
      <alignment horizontal="center" vertical="center"/>
      <protection locked="0"/>
    </xf>
    <xf numFmtId="0" fontId="0" fillId="0" borderId="0" xfId="0" applyAlignment="1" applyProtection="1">
      <alignment horizontal="center" vertical="center"/>
      <protection hidden="1"/>
    </xf>
    <xf numFmtId="0" fontId="0" fillId="0" borderId="0" xfId="0" applyProtection="1">
      <protection hidden="1"/>
    </xf>
    <xf numFmtId="0" fontId="18" fillId="0" borderId="0" xfId="1" applyFont="1" applyFill="1" applyBorder="1" applyAlignment="1" applyProtection="1">
      <alignment horizontal="center" vertical="center"/>
      <protection hidden="1"/>
    </xf>
    <xf numFmtId="0" fontId="18" fillId="4" borderId="0" xfId="1" applyFont="1" applyFill="1" applyBorder="1" applyAlignment="1" applyProtection="1">
      <alignment horizontal="center" vertical="center"/>
      <protection locked="0"/>
    </xf>
    <xf numFmtId="0" fontId="23" fillId="0" borderId="0" xfId="0" applyFont="1" applyBorder="1" applyAlignment="1" applyProtection="1">
      <protection hidden="1"/>
    </xf>
    <xf numFmtId="0" fontId="26" fillId="0" borderId="0" xfId="0" applyFont="1" applyBorder="1" applyAlignment="1" applyProtection="1">
      <alignment horizontal="center"/>
      <protection hidden="1"/>
    </xf>
    <xf numFmtId="0" fontId="0" fillId="0" borderId="0" xfId="0" applyBorder="1" applyProtection="1">
      <protection hidden="1"/>
    </xf>
    <xf numFmtId="0" fontId="10" fillId="2" borderId="7"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wrapText="1"/>
      <protection hidden="1"/>
    </xf>
    <xf numFmtId="0" fontId="12" fillId="3" borderId="6" xfId="0" applyFont="1" applyFill="1" applyBorder="1" applyAlignment="1" applyProtection="1">
      <alignment horizontal="center" vertical="center" wrapText="1"/>
      <protection hidden="1"/>
    </xf>
    <xf numFmtId="0" fontId="12" fillId="3" borderId="7" xfId="0" applyFont="1" applyFill="1" applyBorder="1" applyAlignment="1" applyProtection="1">
      <alignment horizontal="center" vertical="center" wrapText="1"/>
      <protection hidden="1"/>
    </xf>
    <xf numFmtId="0" fontId="12" fillId="3" borderId="8" xfId="0" applyFont="1" applyFill="1" applyBorder="1" applyAlignment="1" applyProtection="1">
      <alignment horizontal="center" vertical="center" wrapText="1"/>
      <protection hidden="1"/>
    </xf>
    <xf numFmtId="0" fontId="12" fillId="3" borderId="9" xfId="0" applyFont="1" applyFill="1" applyBorder="1" applyAlignment="1" applyProtection="1">
      <alignment horizontal="center" vertical="center" wrapText="1"/>
      <protection hidden="1"/>
    </xf>
    <xf numFmtId="0" fontId="13" fillId="3" borderId="8" xfId="0" applyFont="1" applyFill="1" applyBorder="1" applyAlignment="1" applyProtection="1">
      <alignment horizontal="center" vertical="center" wrapText="1"/>
      <protection hidden="1"/>
    </xf>
    <xf numFmtId="0" fontId="13" fillId="3" borderId="9" xfId="0" applyFont="1" applyFill="1" applyBorder="1" applyAlignment="1" applyProtection="1">
      <alignment horizontal="center" vertical="center" wrapText="1"/>
      <protection hidden="1"/>
    </xf>
    <xf numFmtId="0" fontId="8" fillId="3" borderId="0" xfId="0" applyFont="1" applyFill="1" applyAlignment="1" applyProtection="1">
      <alignment horizontal="center"/>
      <protection hidden="1"/>
    </xf>
    <xf numFmtId="0" fontId="10" fillId="3" borderId="0" xfId="0" applyFont="1" applyFill="1" applyAlignment="1" applyProtection="1">
      <alignment horizontal="right" vertical="center"/>
      <protection hidden="1"/>
    </xf>
    <xf numFmtId="0" fontId="10" fillId="2" borderId="3"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0" fontId="20" fillId="0" borderId="0" xfId="1" applyFont="1" applyFill="1" applyBorder="1" applyAlignment="1" applyProtection="1">
      <alignment horizontal="center" vertical="center"/>
      <protection hidden="1"/>
    </xf>
    <xf numFmtId="0" fontId="24" fillId="0" borderId="0" xfId="0" applyFont="1" applyBorder="1" applyAlignment="1" applyProtection="1">
      <alignment horizontal="center"/>
      <protection hidden="1"/>
    </xf>
    <xf numFmtId="0" fontId="10" fillId="3" borderId="4" xfId="0" applyFont="1" applyFill="1" applyBorder="1" applyAlignment="1" applyProtection="1">
      <alignment vertical="center"/>
      <protection hidden="1"/>
    </xf>
    <xf numFmtId="0" fontId="11" fillId="3" borderId="4" xfId="0" applyFont="1" applyFill="1" applyBorder="1" applyAlignment="1" applyProtection="1">
      <alignment vertical="center"/>
      <protection hidden="1"/>
    </xf>
    <xf numFmtId="0" fontId="35" fillId="0" borderId="0" xfId="1" applyFont="1" applyFill="1" applyBorder="1" applyAlignment="1" applyProtection="1">
      <alignment horizontal="center" vertical="center"/>
      <protection hidden="1"/>
    </xf>
    <xf numFmtId="0" fontId="36" fillId="0" borderId="0" xfId="1" applyFont="1" applyFill="1" applyBorder="1" applyAlignment="1" applyProtection="1">
      <alignment horizontal="right" vertical="center"/>
      <protection hidden="1"/>
    </xf>
    <xf numFmtId="0" fontId="18" fillId="0" borderId="0" xfId="1" applyFont="1" applyFill="1" applyBorder="1" applyAlignment="1" applyProtection="1">
      <alignment horizontal="center" vertical="center"/>
      <protection hidden="1"/>
    </xf>
    <xf numFmtId="0" fontId="19" fillId="0" borderId="0" xfId="1" applyFont="1" applyFill="1" applyBorder="1" applyAlignment="1" applyProtection="1">
      <alignment vertical="center"/>
      <protection hidden="1"/>
    </xf>
    <xf numFmtId="0" fontId="18" fillId="4" borderId="0" xfId="0" applyFont="1" applyFill="1" applyBorder="1" applyAlignment="1" applyProtection="1">
      <alignment horizontal="center" vertical="center"/>
      <protection locked="0"/>
    </xf>
    <xf numFmtId="0" fontId="7" fillId="2" borderId="0" xfId="4" applyFont="1" applyFill="1" applyBorder="1" applyAlignment="1" applyProtection="1">
      <alignment vertical="center"/>
      <protection hidden="1"/>
    </xf>
    <xf numFmtId="0" fontId="4" fillId="2" borderId="0" xfId="4" applyFont="1" applyFill="1" applyBorder="1" applyAlignment="1" applyProtection="1">
      <alignment vertical="center"/>
      <protection hidden="1"/>
    </xf>
    <xf numFmtId="0" fontId="0" fillId="0" borderId="0" xfId="0" applyAlignment="1" applyProtection="1">
      <alignment horizontal="center"/>
      <protection hidden="1"/>
    </xf>
    <xf numFmtId="14" fontId="0" fillId="0" borderId="0" xfId="0" applyNumberFormat="1" applyProtection="1">
      <protection hidden="1"/>
    </xf>
    <xf numFmtId="0" fontId="3" fillId="2" borderId="12" xfId="5" applyFont="1" applyFill="1" applyBorder="1" applyAlignment="1" applyProtection="1">
      <alignment horizontal="center" vertical="center" textRotation="90"/>
      <protection hidden="1"/>
    </xf>
    <xf numFmtId="0" fontId="2" fillId="2" borderId="13" xfId="5" applyFont="1" applyFill="1" applyBorder="1" applyAlignment="1" applyProtection="1">
      <alignment horizontal="center" vertical="center"/>
      <protection hidden="1"/>
    </xf>
    <xf numFmtId="0" fontId="28" fillId="2" borderId="13" xfId="1" applyFont="1" applyFill="1" applyBorder="1" applyAlignment="1" applyProtection="1">
      <alignment horizontal="center" vertical="center" wrapText="1"/>
      <protection hidden="1"/>
    </xf>
    <xf numFmtId="0" fontId="30" fillId="2" borderId="13" xfId="1" applyFont="1" applyFill="1" applyBorder="1" applyAlignment="1" applyProtection="1">
      <alignment horizontal="center" vertical="center" wrapText="1"/>
      <protection hidden="1"/>
    </xf>
    <xf numFmtId="0" fontId="2" fillId="2" borderId="14" xfId="1" applyFont="1" applyFill="1" applyBorder="1" applyAlignment="1" applyProtection="1">
      <alignment horizontal="center" vertical="center" wrapText="1"/>
      <protection hidden="1"/>
    </xf>
    <xf numFmtId="0" fontId="3" fillId="2" borderId="15" xfId="5" applyFont="1" applyFill="1" applyBorder="1" applyAlignment="1" applyProtection="1">
      <alignment horizontal="center" vertical="center" textRotation="90"/>
      <protection hidden="1"/>
    </xf>
    <xf numFmtId="0" fontId="2" fillId="2" borderId="1" xfId="5" applyFont="1" applyFill="1" applyBorder="1" applyAlignment="1" applyProtection="1">
      <alignment horizontal="center" vertical="center"/>
      <protection hidden="1"/>
    </xf>
    <xf numFmtId="0" fontId="30" fillId="2" borderId="1" xfId="1" applyFont="1" applyFill="1" applyBorder="1" applyAlignment="1" applyProtection="1">
      <alignment horizontal="center" vertical="center" wrapText="1"/>
      <protection hidden="1"/>
    </xf>
    <xf numFmtId="0" fontId="29" fillId="2" borderId="1" xfId="1" applyFont="1" applyFill="1" applyBorder="1" applyAlignment="1" applyProtection="1">
      <alignment horizontal="center" vertical="center" wrapText="1"/>
      <protection hidden="1"/>
    </xf>
    <xf numFmtId="0" fontId="30" fillId="2" borderId="1" xfId="1" applyFont="1" applyFill="1" applyBorder="1" applyAlignment="1" applyProtection="1">
      <alignment horizontal="center" vertical="center" wrapText="1"/>
      <protection hidden="1"/>
    </xf>
    <xf numFmtId="0" fontId="2" fillId="2" borderId="16" xfId="1" applyFont="1" applyFill="1" applyBorder="1" applyAlignment="1" applyProtection="1">
      <alignment horizontal="center" vertical="center" wrapText="1"/>
      <protection hidden="1"/>
    </xf>
    <xf numFmtId="0" fontId="3" fillId="2" borderId="15" xfId="5" applyFont="1" applyFill="1" applyBorder="1" applyAlignment="1" applyProtection="1">
      <alignment horizontal="center" vertical="center"/>
      <protection hidden="1"/>
    </xf>
    <xf numFmtId="17" fontId="27" fillId="2" borderId="1" xfId="5" applyNumberFormat="1" applyFont="1" applyFill="1" applyBorder="1" applyAlignment="1" applyProtection="1">
      <alignment horizontal="left" vertical="center"/>
      <protection hidden="1"/>
    </xf>
    <xf numFmtId="0" fontId="28" fillId="2" borderId="1" xfId="2" applyFont="1" applyFill="1" applyBorder="1" applyAlignment="1" applyProtection="1">
      <alignment horizontal="center" vertical="center"/>
      <protection hidden="1"/>
    </xf>
    <xf numFmtId="0" fontId="3" fillId="2" borderId="1" xfId="3" applyFont="1" applyFill="1" applyBorder="1" applyAlignment="1" applyProtection="1">
      <alignment horizontal="center" vertical="center"/>
      <protection hidden="1"/>
    </xf>
    <xf numFmtId="0" fontId="0" fillId="0" borderId="0" xfId="0" applyFill="1" applyBorder="1" applyAlignment="1" applyProtection="1">
      <alignment horizontal="center"/>
      <protection hidden="1"/>
    </xf>
    <xf numFmtId="0" fontId="33" fillId="2" borderId="15" xfId="5" applyFont="1" applyFill="1" applyBorder="1" applyAlignment="1" applyProtection="1">
      <alignment horizontal="center" vertical="center"/>
      <protection hidden="1"/>
    </xf>
    <xf numFmtId="0" fontId="33" fillId="2" borderId="1" xfId="5" applyFont="1" applyFill="1" applyBorder="1" applyAlignment="1" applyProtection="1">
      <alignment horizontal="center" vertical="center"/>
      <protection hidden="1"/>
    </xf>
    <xf numFmtId="0" fontId="34" fillId="2" borderId="1" xfId="3" applyFont="1" applyFill="1" applyBorder="1" applyAlignment="1" applyProtection="1">
      <alignment horizontal="center" vertical="center"/>
      <protection hidden="1"/>
    </xf>
    <xf numFmtId="0" fontId="6" fillId="0" borderId="18" xfId="0" applyFont="1" applyBorder="1" applyAlignment="1" applyProtection="1">
      <alignment horizontal="center"/>
      <protection hidden="1"/>
    </xf>
    <xf numFmtId="0" fontId="6" fillId="0" borderId="2" xfId="0" applyFont="1" applyBorder="1" applyAlignment="1" applyProtection="1">
      <alignment horizontal="center"/>
      <protection hidden="1"/>
    </xf>
    <xf numFmtId="0" fontId="0" fillId="0" borderId="19" xfId="0" applyBorder="1" applyProtection="1">
      <protection hidden="1"/>
    </xf>
    <xf numFmtId="0" fontId="0" fillId="0" borderId="20" xfId="0" applyBorder="1" applyProtection="1">
      <protection hidden="1"/>
    </xf>
    <xf numFmtId="0" fontId="37" fillId="0" borderId="0" xfId="0" applyFont="1" applyBorder="1" applyAlignment="1" applyProtection="1">
      <alignment horizontal="right" vertical="center"/>
      <protection hidden="1"/>
    </xf>
    <xf numFmtId="14" fontId="38" fillId="0" borderId="0" xfId="0" applyNumberFormat="1" applyFont="1" applyBorder="1" applyAlignment="1" applyProtection="1">
      <alignment horizontal="center" vertical="center"/>
      <protection hidden="1"/>
    </xf>
    <xf numFmtId="0" fontId="37" fillId="0" borderId="0" xfId="0" applyFont="1" applyBorder="1" applyAlignment="1" applyProtection="1">
      <alignment horizontal="center" vertical="center"/>
      <protection hidden="1"/>
    </xf>
    <xf numFmtId="164" fontId="38" fillId="0" borderId="0" xfId="0" applyNumberFormat="1" applyFont="1" applyBorder="1" applyAlignment="1" applyProtection="1">
      <alignment horizontal="center" vertical="center"/>
      <protection hidden="1"/>
    </xf>
    <xf numFmtId="164" fontId="37" fillId="0" borderId="0" xfId="0" applyNumberFormat="1" applyFont="1" applyBorder="1" applyAlignment="1" applyProtection="1">
      <alignment horizontal="left" vertical="center"/>
      <protection hidden="1"/>
    </xf>
    <xf numFmtId="0" fontId="39" fillId="0" borderId="0" xfId="0" applyFont="1" applyBorder="1" applyAlignment="1" applyProtection="1">
      <alignment horizontal="center" vertical="top"/>
      <protection hidden="1"/>
    </xf>
    <xf numFmtId="0" fontId="40" fillId="0" borderId="0" xfId="0" applyFont="1" applyBorder="1" applyAlignment="1" applyProtection="1">
      <alignment horizontal="center"/>
      <protection hidden="1"/>
    </xf>
    <xf numFmtId="0" fontId="22" fillId="0" borderId="0" xfId="0" applyFont="1" applyBorder="1" applyAlignment="1" applyProtection="1">
      <alignment horizontal="center" vertical="center" wrapText="1"/>
      <protection hidden="1"/>
    </xf>
    <xf numFmtId="0" fontId="22" fillId="0" borderId="19" xfId="0" applyFont="1" applyBorder="1" applyAlignment="1" applyProtection="1">
      <alignment horizontal="center" vertical="center" wrapText="1"/>
      <protection hidden="1"/>
    </xf>
    <xf numFmtId="0" fontId="16" fillId="0" borderId="20" xfId="0" applyFont="1" applyBorder="1" applyAlignment="1" applyProtection="1">
      <alignment horizontal="right" vertical="center"/>
      <protection hidden="1"/>
    </xf>
    <xf numFmtId="0" fontId="16" fillId="0" borderId="0" xfId="0" applyFont="1" applyBorder="1" applyAlignment="1" applyProtection="1">
      <alignment horizontal="right" vertical="center"/>
      <protection hidden="1"/>
    </xf>
    <xf numFmtId="0" fontId="19" fillId="0" borderId="0" xfId="0" applyFont="1" applyBorder="1" applyAlignment="1" applyProtection="1">
      <alignment horizontal="center" vertical="center" wrapText="1"/>
      <protection hidden="1"/>
    </xf>
    <xf numFmtId="0" fontId="19" fillId="0" borderId="19" xfId="0" applyFont="1" applyBorder="1" applyAlignment="1" applyProtection="1">
      <alignment horizontal="center" vertical="center" wrapText="1"/>
      <protection hidden="1"/>
    </xf>
    <xf numFmtId="0" fontId="16" fillId="0" borderId="20" xfId="0" applyFont="1" applyBorder="1" applyAlignment="1" applyProtection="1">
      <alignment horizontal="right" vertical="center"/>
      <protection hidden="1"/>
    </xf>
    <xf numFmtId="0" fontId="16" fillId="0" borderId="0" xfId="0" applyFont="1" applyBorder="1" applyAlignment="1" applyProtection="1">
      <alignment horizontal="right" vertical="center"/>
      <protection hidden="1"/>
    </xf>
    <xf numFmtId="0" fontId="16" fillId="0" borderId="0" xfId="0" applyFont="1" applyBorder="1" applyAlignment="1" applyProtection="1">
      <alignment horizontal="left"/>
      <protection hidden="1"/>
    </xf>
    <xf numFmtId="0" fontId="24" fillId="0" borderId="0" xfId="0" applyFont="1" applyBorder="1" applyAlignment="1" applyProtection="1">
      <alignment vertical="center"/>
      <protection hidden="1"/>
    </xf>
    <xf numFmtId="0" fontId="6" fillId="0" borderId="0" xfId="0" applyFont="1" applyBorder="1" applyAlignment="1" applyProtection="1">
      <alignment horizontal="left" vertical="center"/>
      <protection hidden="1"/>
    </xf>
    <xf numFmtId="0" fontId="43" fillId="0" borderId="0" xfId="0" applyFont="1" applyBorder="1" applyAlignment="1" applyProtection="1">
      <alignment vertical="center" wrapText="1"/>
      <protection hidden="1"/>
    </xf>
    <xf numFmtId="0" fontId="16" fillId="0" borderId="0" xfId="0" applyFont="1" applyBorder="1" applyAlignment="1" applyProtection="1">
      <alignment horizontal="left"/>
      <protection hidden="1"/>
    </xf>
    <xf numFmtId="0" fontId="44" fillId="0" borderId="0" xfId="0" applyFont="1" applyBorder="1" applyAlignment="1" applyProtection="1">
      <alignment horizontal="center"/>
      <protection hidden="1"/>
    </xf>
    <xf numFmtId="1" fontId="28" fillId="2" borderId="1" xfId="2" applyNumberFormat="1" applyFont="1" applyFill="1" applyBorder="1" applyAlignment="1" applyProtection="1">
      <alignment horizontal="center" vertical="center"/>
      <protection hidden="1"/>
    </xf>
    <xf numFmtId="1" fontId="34" fillId="2" borderId="1" xfId="3" applyNumberFormat="1" applyFont="1" applyFill="1" applyBorder="1" applyAlignment="1" applyProtection="1">
      <alignment horizontal="center" vertical="center"/>
      <protection hidden="1"/>
    </xf>
    <xf numFmtId="1" fontId="21" fillId="0" borderId="0" xfId="0" applyNumberFormat="1" applyFont="1" applyBorder="1" applyAlignment="1" applyProtection="1">
      <alignment horizontal="center" vertical="center"/>
      <protection hidden="1"/>
    </xf>
    <xf numFmtId="1" fontId="0" fillId="0" borderId="0" xfId="0" applyNumberFormat="1" applyProtection="1">
      <protection hidden="1"/>
    </xf>
    <xf numFmtId="0" fontId="46" fillId="0" borderId="0" xfId="1" applyFont="1" applyFill="1" applyBorder="1" applyAlignment="1" applyProtection="1">
      <alignment horizontal="left" vertical="center" wrapText="1"/>
      <protection hidden="1"/>
    </xf>
    <xf numFmtId="0" fontId="25" fillId="0" borderId="0" xfId="0" applyFont="1" applyBorder="1" applyAlignment="1" applyProtection="1">
      <alignment horizontal="center"/>
      <protection hidden="1"/>
    </xf>
    <xf numFmtId="0" fontId="29" fillId="2" borderId="1" xfId="1" applyFont="1" applyFill="1" applyBorder="1" applyAlignment="1" applyProtection="1">
      <alignment horizontal="center" vertical="center" wrapText="1"/>
      <protection hidden="1"/>
    </xf>
    <xf numFmtId="0" fontId="32" fillId="2" borderId="1" xfId="1" applyFont="1" applyFill="1" applyBorder="1" applyAlignment="1" applyProtection="1">
      <alignment horizontal="center" vertical="center" wrapText="1"/>
      <protection hidden="1"/>
    </xf>
    <xf numFmtId="0" fontId="29" fillId="2" borderId="13" xfId="1" applyFont="1" applyFill="1" applyBorder="1" applyAlignment="1" applyProtection="1">
      <alignment horizontal="center" vertical="center" wrapText="1"/>
      <protection hidden="1"/>
    </xf>
    <xf numFmtId="0" fontId="32" fillId="2" borderId="13" xfId="1" applyFont="1" applyFill="1" applyBorder="1" applyAlignment="1" applyProtection="1">
      <alignment horizontal="center" vertical="center" wrapText="1"/>
      <protection hidden="1"/>
    </xf>
    <xf numFmtId="0" fontId="16" fillId="0" borderId="21" xfId="0" applyFont="1" applyBorder="1" applyAlignment="1" applyProtection="1">
      <alignment horizontal="right" vertical="center"/>
      <protection hidden="1"/>
    </xf>
    <xf numFmtId="0" fontId="16" fillId="0" borderId="22" xfId="0" applyFont="1" applyBorder="1" applyAlignment="1" applyProtection="1">
      <alignment horizontal="right" vertical="center"/>
      <protection hidden="1"/>
    </xf>
    <xf numFmtId="0" fontId="16" fillId="0" borderId="22" xfId="0" applyFont="1" applyBorder="1" applyAlignment="1" applyProtection="1">
      <alignment horizontal="left"/>
      <protection hidden="1"/>
    </xf>
    <xf numFmtId="0" fontId="24" fillId="0" borderId="22" xfId="0" applyFont="1" applyBorder="1" applyAlignment="1" applyProtection="1">
      <alignment vertical="center"/>
      <protection hidden="1"/>
    </xf>
    <xf numFmtId="0" fontId="40" fillId="0" borderId="22" xfId="0" applyFont="1" applyBorder="1" applyAlignment="1" applyProtection="1">
      <alignment horizontal="center"/>
      <protection hidden="1"/>
    </xf>
    <xf numFmtId="0" fontId="41" fillId="0" borderId="22" xfId="0" applyFont="1" applyBorder="1" applyAlignment="1" applyProtection="1">
      <alignment horizontal="center" vertical="center"/>
      <protection hidden="1"/>
    </xf>
    <xf numFmtId="0" fontId="42" fillId="0" borderId="22" xfId="0" applyFont="1" applyBorder="1" applyAlignment="1" applyProtection="1">
      <alignment horizontal="center" vertical="center"/>
      <protection hidden="1"/>
    </xf>
    <xf numFmtId="0" fontId="42" fillId="0" borderId="23" xfId="0" applyFont="1" applyBorder="1" applyAlignment="1" applyProtection="1">
      <alignment horizontal="center" vertical="center"/>
      <protection hidden="1"/>
    </xf>
    <xf numFmtId="0" fontId="28" fillId="0" borderId="1" xfId="2" applyFont="1" applyFill="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45" fillId="0" borderId="0" xfId="0" applyFont="1" applyBorder="1" applyAlignment="1" applyProtection="1">
      <alignment horizontal="center" vertical="center" wrapText="1"/>
      <protection locked="0" hidden="1"/>
    </xf>
    <xf numFmtId="0" fontId="20" fillId="0" borderId="0" xfId="1" applyFont="1" applyFill="1" applyBorder="1" applyAlignment="1" applyProtection="1">
      <alignment horizontal="center" vertical="center"/>
      <protection locked="0" hidden="1"/>
    </xf>
    <xf numFmtId="0" fontId="31" fillId="0" borderId="1" xfId="0" applyFont="1" applyBorder="1" applyAlignment="1" applyProtection="1">
      <alignment horizontal="center" vertical="center"/>
      <protection hidden="1"/>
    </xf>
    <xf numFmtId="1" fontId="31" fillId="0" borderId="1" xfId="0" applyNumberFormat="1" applyFont="1" applyBorder="1" applyAlignment="1" applyProtection="1">
      <alignment horizontal="center" vertical="center"/>
      <protection hidden="1"/>
    </xf>
    <xf numFmtId="0" fontId="0" fillId="0" borderId="1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8" fillId="0" borderId="16" xfId="2" applyFont="1" applyFill="1" applyBorder="1" applyAlignment="1" applyProtection="1">
      <alignment horizontal="center" vertical="center"/>
      <protection locked="0"/>
    </xf>
    <xf numFmtId="0" fontId="0" fillId="0" borderId="0" xfId="0" applyAlignment="1" applyProtection="1">
      <alignment horizontal="center" wrapText="1"/>
      <protection hidden="1"/>
    </xf>
    <xf numFmtId="0" fontId="23" fillId="3" borderId="0" xfId="0" applyFont="1" applyFill="1" applyBorder="1" applyAlignment="1" applyProtection="1">
      <alignment horizontal="center" vertical="center" wrapText="1"/>
      <protection hidden="1"/>
    </xf>
    <xf numFmtId="0" fontId="0" fillId="3" borderId="0" xfId="0" applyFill="1" applyAlignment="1" applyProtection="1">
      <alignment vertical="center"/>
      <protection hidden="1"/>
    </xf>
    <xf numFmtId="0" fontId="47" fillId="3" borderId="0" xfId="0" applyFont="1" applyFill="1" applyAlignment="1" applyProtection="1">
      <alignment horizontal="center" vertical="center"/>
      <protection hidden="1"/>
    </xf>
    <xf numFmtId="0" fontId="48" fillId="3" borderId="0" xfId="0" applyFont="1" applyFill="1" applyAlignment="1" applyProtection="1">
      <alignment horizontal="center" vertical="center"/>
      <protection hidden="1"/>
    </xf>
    <xf numFmtId="0" fontId="16" fillId="3" borderId="0" xfId="0" applyFont="1" applyFill="1" applyProtection="1">
      <protection hidden="1"/>
    </xf>
    <xf numFmtId="0" fontId="49" fillId="3" borderId="0" xfId="0" applyFont="1" applyFill="1" applyAlignment="1" applyProtection="1">
      <alignment horizontal="center"/>
      <protection hidden="1"/>
    </xf>
    <xf numFmtId="0" fontId="51" fillId="3" borderId="0" xfId="6" applyFont="1" applyFill="1" applyAlignment="1" applyProtection="1">
      <alignment horizontal="center"/>
      <protection hidden="1"/>
    </xf>
    <xf numFmtId="0" fontId="52" fillId="3" borderId="0" xfId="0" applyFont="1" applyFill="1" applyAlignment="1" applyProtection="1">
      <alignment horizontal="center"/>
      <protection hidden="1"/>
    </xf>
    <xf numFmtId="0" fontId="17" fillId="0" borderId="7" xfId="0" applyFont="1" applyBorder="1" applyAlignment="1" applyProtection="1">
      <alignment horizontal="left" vertical="center"/>
      <protection locked="0"/>
    </xf>
  </cellXfs>
  <cellStyles count="7">
    <cellStyle name="Hyperlink" xfId="6" builtinId="8"/>
    <cellStyle name="Normal" xfId="0" builtinId="0"/>
    <cellStyle name="Normal 2" xfId="1"/>
    <cellStyle name="Normal 3" xfId="2"/>
    <cellStyle name="Normal 4" xfId="3"/>
    <cellStyle name="Normal 5" xfId="4"/>
    <cellStyle name="Normal 7"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171450</xdr:colOff>
      <xdr:row>4</xdr:row>
      <xdr:rowOff>190500</xdr:rowOff>
    </xdr:from>
    <xdr:to>
      <xdr:col>16</xdr:col>
      <xdr:colOff>400049</xdr:colOff>
      <xdr:row>14</xdr:row>
      <xdr:rowOff>47625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1468100" y="1152525"/>
          <a:ext cx="1447799" cy="19621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295276</xdr:colOff>
      <xdr:row>3</xdr:row>
      <xdr:rowOff>104775</xdr:rowOff>
    </xdr:from>
    <xdr:to>
      <xdr:col>20</xdr:col>
      <xdr:colOff>457200</xdr:colOff>
      <xdr:row>4</xdr:row>
      <xdr:rowOff>209550</xdr:rowOff>
    </xdr:to>
    <xdr:sp macro="" textlink="">
      <xdr:nvSpPr>
        <xdr:cNvPr id="2" name="Up Arrow 1"/>
        <xdr:cNvSpPr/>
      </xdr:nvSpPr>
      <xdr:spPr>
        <a:xfrm>
          <a:off x="11753851" y="904875"/>
          <a:ext cx="161924" cy="371475"/>
        </a:xfrm>
        <a:prstGeom prst="upArrow">
          <a:avLst/>
        </a:prstGeom>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eralaljatchandawa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Y34"/>
  <sheetViews>
    <sheetView tabSelected="1" workbookViewId="0">
      <selection activeCell="E23" sqref="E23"/>
    </sheetView>
  </sheetViews>
  <sheetFormatPr defaultRowHeight="15"/>
  <cols>
    <col min="1" max="1" width="9.140625" style="13"/>
    <col min="2" max="2" width="28.5703125" style="14" customWidth="1"/>
    <col min="3" max="3" width="13.42578125" style="14" customWidth="1"/>
    <col min="4" max="4" width="8.5703125" style="14" customWidth="1"/>
    <col min="5" max="5" width="12" style="14" customWidth="1"/>
    <col min="6" max="6" width="18.42578125" style="14" customWidth="1"/>
    <col min="7" max="7" width="10.28515625" style="14" customWidth="1"/>
    <col min="8" max="8" width="11.42578125" style="14" customWidth="1"/>
    <col min="9" max="9" width="11.85546875" style="14" customWidth="1"/>
    <col min="10" max="23" width="9.140625" style="14"/>
    <col min="24" max="26" width="0" style="14" hidden="1" customWidth="1"/>
    <col min="27" max="16384" width="9.140625" style="14"/>
  </cols>
  <sheetData>
    <row r="1" spans="1:25" ht="18.75">
      <c r="A1" s="1"/>
      <c r="B1" s="2"/>
      <c r="C1" s="29" t="s">
        <v>17</v>
      </c>
      <c r="D1" s="29"/>
      <c r="E1" s="29"/>
      <c r="F1" s="29"/>
      <c r="G1" s="29"/>
      <c r="H1" s="29"/>
      <c r="I1" s="29"/>
      <c r="J1" s="2"/>
      <c r="K1" s="2"/>
      <c r="L1" s="2"/>
      <c r="M1" s="2"/>
      <c r="N1" s="2"/>
      <c r="O1" s="2"/>
      <c r="P1" s="2"/>
      <c r="Q1" s="2"/>
      <c r="R1" s="2"/>
      <c r="S1" s="2"/>
      <c r="T1" s="2"/>
      <c r="X1" s="14" t="s">
        <v>34</v>
      </c>
      <c r="Y1" s="14" t="s">
        <v>32</v>
      </c>
    </row>
    <row r="2" spans="1:25" ht="16.5" thickBot="1">
      <c r="A2" s="3"/>
      <c r="B2" s="4"/>
      <c r="C2" s="4"/>
      <c r="D2" s="4"/>
      <c r="E2" s="4"/>
      <c r="F2" s="4"/>
      <c r="G2" s="4"/>
      <c r="H2" s="4"/>
      <c r="I2" s="4"/>
      <c r="J2" s="2"/>
      <c r="K2" s="2"/>
      <c r="L2" s="2"/>
      <c r="M2" s="2"/>
      <c r="N2" s="2"/>
      <c r="O2" s="2"/>
      <c r="P2" s="2"/>
      <c r="Q2" s="2"/>
      <c r="R2" s="2"/>
      <c r="S2" s="2"/>
      <c r="T2" s="2"/>
      <c r="X2" s="14" t="s">
        <v>31</v>
      </c>
      <c r="Y2" s="14" t="s">
        <v>47</v>
      </c>
    </row>
    <row r="3" spans="1:25" ht="20.25" thickTop="1" thickBot="1">
      <c r="A3" s="30" t="s">
        <v>18</v>
      </c>
      <c r="B3" s="30"/>
      <c r="C3" s="128" t="s">
        <v>16</v>
      </c>
      <c r="D3" s="128"/>
      <c r="E3" s="128"/>
      <c r="F3" s="128"/>
      <c r="G3" s="128"/>
      <c r="H3" s="128"/>
      <c r="I3" s="128"/>
      <c r="J3" s="128"/>
      <c r="K3" s="2"/>
      <c r="L3" s="2"/>
      <c r="M3" s="2"/>
      <c r="N3" s="2"/>
      <c r="O3" s="2"/>
      <c r="P3" s="2"/>
      <c r="Q3" s="2"/>
      <c r="R3" s="2"/>
      <c r="S3" s="2"/>
      <c r="T3" s="2"/>
    </row>
    <row r="4" spans="1:25" ht="20.25" thickTop="1" thickBot="1">
      <c r="A4" s="30" t="s">
        <v>19</v>
      </c>
      <c r="B4" s="30"/>
      <c r="C4" s="31" t="s">
        <v>39</v>
      </c>
      <c r="D4" s="32"/>
      <c r="E4" s="32"/>
      <c r="F4" s="32"/>
      <c r="G4" s="37" t="s">
        <v>35</v>
      </c>
      <c r="H4" s="20" t="s">
        <v>36</v>
      </c>
      <c r="I4" s="20"/>
      <c r="J4" s="20"/>
      <c r="K4" s="2"/>
      <c r="L4" s="2"/>
      <c r="M4" s="2"/>
      <c r="N4" s="2"/>
      <c r="O4" s="2"/>
      <c r="P4" s="2"/>
      <c r="Q4" s="2"/>
      <c r="R4" s="2"/>
      <c r="S4" s="2"/>
      <c r="T4" s="2"/>
    </row>
    <row r="5" spans="1:25" ht="20.25" thickTop="1" thickBot="1">
      <c r="A5" s="30" t="s">
        <v>20</v>
      </c>
      <c r="B5" s="30"/>
      <c r="C5" s="33" t="s">
        <v>40</v>
      </c>
      <c r="D5" s="34"/>
      <c r="E5" s="34"/>
      <c r="F5" s="34"/>
      <c r="G5" s="38" t="s">
        <v>37</v>
      </c>
      <c r="H5" s="21" t="s">
        <v>38</v>
      </c>
      <c r="I5" s="21"/>
      <c r="J5" s="21"/>
      <c r="K5" s="2"/>
      <c r="L5" s="2"/>
      <c r="M5" s="2"/>
      <c r="N5" s="2"/>
      <c r="O5" s="2"/>
      <c r="P5" s="2"/>
      <c r="Q5" s="2"/>
      <c r="R5" s="2"/>
      <c r="S5" s="2"/>
      <c r="T5" s="2"/>
    </row>
    <row r="6" spans="1:25" ht="17.25" thickTop="1" thickBot="1">
      <c r="A6" s="3"/>
      <c r="B6" s="4"/>
      <c r="C6" s="4"/>
      <c r="D6" s="4"/>
      <c r="E6" s="4"/>
      <c r="F6" s="4"/>
      <c r="G6" s="4"/>
      <c r="H6" s="4"/>
      <c r="I6" s="4"/>
      <c r="J6" s="2"/>
      <c r="K6" s="2"/>
      <c r="L6" s="2"/>
      <c r="M6" s="2"/>
      <c r="N6" s="2"/>
      <c r="O6" s="2"/>
      <c r="P6" s="2"/>
      <c r="Q6" s="2"/>
      <c r="R6" s="2"/>
      <c r="S6" s="2"/>
      <c r="T6" s="2"/>
    </row>
    <row r="7" spans="1:25" ht="16.5" thickTop="1" thickBot="1">
      <c r="A7" s="22" t="s">
        <v>21</v>
      </c>
      <c r="B7" s="23" t="s">
        <v>22</v>
      </c>
      <c r="C7" s="24" t="s">
        <v>23</v>
      </c>
      <c r="D7" s="25" t="s">
        <v>24</v>
      </c>
      <c r="E7" s="25" t="s">
        <v>25</v>
      </c>
      <c r="F7" s="27" t="s">
        <v>26</v>
      </c>
      <c r="G7" s="25" t="s">
        <v>27</v>
      </c>
      <c r="H7" s="24" t="s">
        <v>28</v>
      </c>
      <c r="I7" s="24" t="s">
        <v>29</v>
      </c>
      <c r="J7" s="2"/>
      <c r="K7" s="2"/>
      <c r="L7" s="2"/>
      <c r="M7" s="2"/>
      <c r="N7" s="2"/>
      <c r="O7" s="2"/>
      <c r="P7" s="2"/>
      <c r="Q7" s="2"/>
      <c r="R7" s="2"/>
      <c r="S7" s="2"/>
      <c r="T7" s="2"/>
    </row>
    <row r="8" spans="1:25" ht="16.5" thickTop="1" thickBot="1">
      <c r="A8" s="22"/>
      <c r="B8" s="23"/>
      <c r="C8" s="24"/>
      <c r="D8" s="26"/>
      <c r="E8" s="26"/>
      <c r="F8" s="28"/>
      <c r="G8" s="26"/>
      <c r="H8" s="24"/>
      <c r="I8" s="24"/>
      <c r="J8" s="2"/>
      <c r="K8" s="2"/>
      <c r="L8" s="2"/>
      <c r="M8" s="2"/>
      <c r="N8" s="2"/>
      <c r="O8" s="2"/>
      <c r="P8" s="2"/>
      <c r="Q8" s="2"/>
      <c r="R8" s="2"/>
      <c r="S8" s="2"/>
      <c r="T8" s="2"/>
    </row>
    <row r="9" spans="1:25" ht="16.5" thickTop="1">
      <c r="A9" s="5">
        <v>1</v>
      </c>
      <c r="B9" s="6" t="s">
        <v>57</v>
      </c>
      <c r="C9" s="6" t="s">
        <v>30</v>
      </c>
      <c r="D9" s="7" t="s">
        <v>31</v>
      </c>
      <c r="E9" s="6" t="s">
        <v>32</v>
      </c>
      <c r="F9" s="8">
        <v>42826</v>
      </c>
      <c r="G9" s="5">
        <v>10</v>
      </c>
      <c r="H9" s="5">
        <v>23800</v>
      </c>
      <c r="I9" s="5">
        <v>61500</v>
      </c>
      <c r="J9" s="2"/>
      <c r="K9" s="2"/>
      <c r="L9" s="2"/>
      <c r="M9" s="2"/>
      <c r="N9" s="2"/>
      <c r="O9" s="2"/>
      <c r="P9" s="2"/>
      <c r="Q9" s="2"/>
      <c r="R9" s="2"/>
      <c r="S9" s="2"/>
      <c r="T9" s="2"/>
    </row>
    <row r="10" spans="1:25" ht="15.75">
      <c r="A10" s="9">
        <v>2</v>
      </c>
      <c r="B10" s="10" t="s">
        <v>58</v>
      </c>
      <c r="C10" s="10" t="s">
        <v>33</v>
      </c>
      <c r="D10" s="11" t="s">
        <v>31</v>
      </c>
      <c r="E10" s="10" t="s">
        <v>32</v>
      </c>
      <c r="F10" s="12">
        <v>42370</v>
      </c>
      <c r="G10" s="9">
        <v>10</v>
      </c>
      <c r="H10" s="9">
        <v>21270</v>
      </c>
      <c r="I10" s="9">
        <v>56100</v>
      </c>
      <c r="J10" s="2"/>
      <c r="K10" s="2"/>
      <c r="L10" s="2"/>
      <c r="M10" s="2"/>
      <c r="N10" s="2"/>
      <c r="O10" s="2"/>
      <c r="P10" s="2"/>
      <c r="Q10" s="2"/>
      <c r="R10" s="2"/>
      <c r="S10" s="2"/>
      <c r="T10" s="2"/>
    </row>
    <row r="11" spans="1:25" ht="15.75">
      <c r="A11" s="9">
        <v>3</v>
      </c>
      <c r="B11" s="6" t="s">
        <v>59</v>
      </c>
      <c r="C11" s="6" t="s">
        <v>33</v>
      </c>
      <c r="D11" s="7" t="s">
        <v>34</v>
      </c>
      <c r="E11" s="6" t="s">
        <v>32</v>
      </c>
      <c r="F11" s="8">
        <v>42370</v>
      </c>
      <c r="G11" s="5">
        <v>10</v>
      </c>
      <c r="H11" s="5">
        <v>13690</v>
      </c>
      <c r="I11" s="5">
        <v>35800</v>
      </c>
      <c r="J11" s="2"/>
      <c r="K11" s="2"/>
      <c r="L11" s="2"/>
      <c r="M11" s="2"/>
      <c r="N11" s="2"/>
      <c r="O11" s="2"/>
      <c r="P11" s="2"/>
      <c r="Q11" s="2"/>
      <c r="R11" s="2"/>
      <c r="S11" s="2"/>
      <c r="T11" s="2"/>
    </row>
    <row r="12" spans="1:25" ht="15.75">
      <c r="A12" s="9">
        <v>4</v>
      </c>
      <c r="B12" s="10" t="s">
        <v>60</v>
      </c>
      <c r="C12" s="10" t="s">
        <v>33</v>
      </c>
      <c r="D12" s="7" t="s">
        <v>34</v>
      </c>
      <c r="E12" s="6" t="s">
        <v>32</v>
      </c>
      <c r="F12" s="8">
        <v>42370</v>
      </c>
      <c r="G12" s="5">
        <v>10</v>
      </c>
      <c r="H12" s="5">
        <v>13290</v>
      </c>
      <c r="I12" s="5">
        <v>34800</v>
      </c>
      <c r="J12" s="2"/>
      <c r="K12" s="2"/>
      <c r="L12" s="2"/>
      <c r="M12" s="2"/>
      <c r="N12" s="2"/>
      <c r="O12" s="2"/>
      <c r="P12" s="2"/>
      <c r="Q12" s="2"/>
      <c r="R12" s="2"/>
      <c r="S12" s="2"/>
      <c r="T12" s="2"/>
    </row>
    <row r="13" spans="1:25" ht="15.75">
      <c r="A13" s="9">
        <v>5</v>
      </c>
      <c r="B13" s="6" t="s">
        <v>61</v>
      </c>
      <c r="C13" s="6" t="s">
        <v>33</v>
      </c>
      <c r="D13" s="7" t="s">
        <v>34</v>
      </c>
      <c r="E13" s="6" t="s">
        <v>32</v>
      </c>
      <c r="F13" s="8">
        <v>42370</v>
      </c>
      <c r="G13" s="5">
        <v>10</v>
      </c>
      <c r="H13" s="9">
        <v>13690</v>
      </c>
      <c r="I13" s="9">
        <v>35800</v>
      </c>
      <c r="J13" s="2"/>
      <c r="K13" s="2"/>
      <c r="L13" s="2"/>
      <c r="M13" s="2"/>
      <c r="N13" s="2"/>
      <c r="O13" s="2"/>
      <c r="P13" s="2"/>
      <c r="Q13" s="2"/>
      <c r="R13" s="2"/>
      <c r="S13" s="2"/>
      <c r="T13" s="2"/>
    </row>
    <row r="14" spans="1:25" ht="15.75">
      <c r="A14" s="9">
        <v>6</v>
      </c>
      <c r="B14" s="10"/>
      <c r="C14" s="10"/>
      <c r="D14" s="11"/>
      <c r="E14" s="10"/>
      <c r="F14" s="12"/>
      <c r="G14" s="9"/>
      <c r="H14" s="9"/>
      <c r="I14" s="9"/>
      <c r="J14" s="2"/>
      <c r="K14" s="2"/>
      <c r="L14" s="2"/>
      <c r="M14" s="2"/>
      <c r="N14" s="2"/>
      <c r="O14" s="2"/>
      <c r="P14" s="2"/>
      <c r="Q14" s="2"/>
      <c r="R14" s="2"/>
      <c r="S14" s="2"/>
      <c r="T14" s="2"/>
    </row>
    <row r="15" spans="1:25" ht="15.75">
      <c r="A15" s="9">
        <v>7</v>
      </c>
      <c r="B15" s="10"/>
      <c r="C15" s="10"/>
      <c r="D15" s="11"/>
      <c r="E15" s="10"/>
      <c r="F15" s="12"/>
      <c r="G15" s="9"/>
      <c r="H15" s="9"/>
      <c r="I15" s="9"/>
      <c r="J15" s="2"/>
      <c r="K15" s="2"/>
      <c r="L15" s="2"/>
      <c r="M15" s="2"/>
      <c r="N15" s="2"/>
      <c r="O15" s="120" t="s">
        <v>63</v>
      </c>
      <c r="P15" s="120"/>
      <c r="Q15" s="120"/>
      <c r="R15" s="2"/>
      <c r="S15" s="2"/>
      <c r="T15" s="2"/>
    </row>
    <row r="16" spans="1:25" ht="15.75">
      <c r="A16" s="9">
        <v>8</v>
      </c>
      <c r="B16" s="10"/>
      <c r="C16" s="10"/>
      <c r="D16" s="11"/>
      <c r="E16" s="10"/>
      <c r="F16" s="12"/>
      <c r="G16" s="9"/>
      <c r="H16" s="9"/>
      <c r="I16" s="9"/>
      <c r="J16" s="2"/>
      <c r="K16" s="2"/>
      <c r="L16" s="2"/>
      <c r="M16" s="2"/>
      <c r="N16" s="2"/>
      <c r="O16" s="120"/>
      <c r="P16" s="120"/>
      <c r="Q16" s="120"/>
      <c r="R16" s="2"/>
      <c r="S16" s="2"/>
      <c r="T16" s="2"/>
    </row>
    <row r="17" spans="1:20" ht="15.75">
      <c r="A17" s="9">
        <v>9</v>
      </c>
      <c r="B17" s="10"/>
      <c r="C17" s="10"/>
      <c r="D17" s="11"/>
      <c r="E17" s="10"/>
      <c r="F17" s="12"/>
      <c r="G17" s="9"/>
      <c r="H17" s="9"/>
      <c r="I17" s="9"/>
      <c r="J17" s="2"/>
      <c r="K17" s="2"/>
      <c r="L17" s="2"/>
      <c r="M17" s="2"/>
      <c r="N17" s="2"/>
      <c r="O17" s="120"/>
      <c r="P17" s="120"/>
      <c r="Q17" s="120"/>
      <c r="R17" s="2"/>
      <c r="S17" s="2"/>
      <c r="T17" s="2"/>
    </row>
    <row r="18" spans="1:20" ht="15.75">
      <c r="A18" s="9">
        <v>10</v>
      </c>
      <c r="B18" s="10"/>
      <c r="C18" s="10"/>
      <c r="D18" s="11"/>
      <c r="E18" s="10"/>
      <c r="F18" s="12"/>
      <c r="G18" s="9"/>
      <c r="H18" s="9"/>
      <c r="I18" s="9"/>
      <c r="J18" s="2"/>
      <c r="K18" s="2"/>
      <c r="L18" s="2"/>
      <c r="M18" s="2"/>
      <c r="N18" s="2"/>
      <c r="O18" s="2"/>
      <c r="P18" s="2"/>
      <c r="Q18" s="2"/>
      <c r="R18" s="2"/>
      <c r="S18" s="2"/>
      <c r="T18" s="2"/>
    </row>
    <row r="19" spans="1:20" ht="15.75">
      <c r="A19" s="9">
        <v>11</v>
      </c>
      <c r="B19" s="10"/>
      <c r="C19" s="10"/>
      <c r="D19" s="11"/>
      <c r="E19" s="10"/>
      <c r="F19" s="12"/>
      <c r="G19" s="9"/>
      <c r="H19" s="9"/>
      <c r="I19" s="9"/>
      <c r="J19" s="2"/>
      <c r="K19" s="2"/>
      <c r="L19" s="2"/>
      <c r="M19" s="2"/>
      <c r="N19" s="2"/>
      <c r="O19" s="2"/>
      <c r="P19" s="2"/>
      <c r="Q19" s="2"/>
      <c r="R19" s="2"/>
      <c r="S19" s="2"/>
      <c r="T19" s="2"/>
    </row>
    <row r="20" spans="1:20" ht="15.75">
      <c r="A20" s="9">
        <v>12</v>
      </c>
      <c r="B20" s="10"/>
      <c r="C20" s="10"/>
      <c r="D20" s="11"/>
      <c r="E20" s="10"/>
      <c r="F20" s="12"/>
      <c r="G20" s="9"/>
      <c r="H20" s="9"/>
      <c r="I20" s="9"/>
      <c r="J20" s="2"/>
      <c r="K20" s="2"/>
      <c r="L20" s="2"/>
      <c r="M20" s="2"/>
      <c r="N20" s="2"/>
      <c r="O20" s="2"/>
      <c r="P20" s="2"/>
      <c r="Q20" s="2"/>
      <c r="R20" s="2"/>
      <c r="S20" s="2"/>
      <c r="T20" s="2"/>
    </row>
    <row r="21" spans="1:20" ht="15.75">
      <c r="A21" s="9">
        <v>13</v>
      </c>
      <c r="B21" s="10"/>
      <c r="C21" s="10"/>
      <c r="D21" s="11"/>
      <c r="E21" s="10"/>
      <c r="F21" s="9"/>
      <c r="G21" s="9"/>
      <c r="H21" s="9"/>
      <c r="I21" s="9"/>
      <c r="J21" s="2"/>
      <c r="K21" s="2"/>
      <c r="L21" s="2"/>
      <c r="M21" s="2"/>
      <c r="N21" s="2"/>
      <c r="O21" s="2"/>
      <c r="P21" s="2"/>
      <c r="Q21" s="2"/>
      <c r="R21" s="2"/>
      <c r="S21" s="2"/>
      <c r="T21" s="2"/>
    </row>
    <row r="22" spans="1:20" ht="15.75">
      <c r="A22" s="9">
        <v>14</v>
      </c>
      <c r="B22" s="10"/>
      <c r="C22" s="10"/>
      <c r="D22" s="11"/>
      <c r="E22" s="10"/>
      <c r="F22" s="9"/>
      <c r="G22" s="9"/>
      <c r="H22" s="9"/>
      <c r="I22" s="9"/>
      <c r="J22" s="2"/>
      <c r="K22" s="2"/>
      <c r="L22" s="2"/>
      <c r="M22" s="2"/>
      <c r="N22" s="2"/>
      <c r="O22" s="2"/>
      <c r="P22" s="2"/>
      <c r="Q22" s="2"/>
      <c r="R22" s="2"/>
      <c r="S22" s="2"/>
      <c r="T22" s="2"/>
    </row>
    <row r="23" spans="1:20" ht="18.75">
      <c r="A23" s="9">
        <v>15</v>
      </c>
      <c r="B23" s="10"/>
      <c r="C23" s="10"/>
      <c r="D23" s="11"/>
      <c r="E23" s="10"/>
      <c r="F23" s="9"/>
      <c r="G23" s="9"/>
      <c r="H23" s="9"/>
      <c r="I23" s="9"/>
      <c r="J23" s="2"/>
      <c r="K23" s="2"/>
      <c r="L23" s="2"/>
      <c r="M23" s="2"/>
      <c r="N23" s="2"/>
      <c r="O23" s="121"/>
      <c r="P23" s="122" t="s">
        <v>64</v>
      </c>
      <c r="Q23" s="122"/>
      <c r="R23" s="122"/>
      <c r="S23" s="121"/>
      <c r="T23" s="2"/>
    </row>
    <row r="24" spans="1:20">
      <c r="A24" s="1"/>
      <c r="B24" s="2"/>
      <c r="C24" s="2"/>
      <c r="D24" s="2"/>
      <c r="E24" s="2"/>
      <c r="F24" s="2"/>
      <c r="G24" s="2"/>
      <c r="H24" s="2"/>
      <c r="I24" s="2"/>
      <c r="J24" s="2"/>
      <c r="K24" s="2"/>
      <c r="L24" s="2"/>
      <c r="M24" s="2"/>
      <c r="N24" s="2"/>
      <c r="O24" s="121"/>
      <c r="P24" s="121"/>
      <c r="Q24" s="121"/>
      <c r="R24" s="121"/>
      <c r="S24" s="121"/>
      <c r="T24" s="2"/>
    </row>
    <row r="25" spans="1:20" ht="15.75">
      <c r="A25" s="1"/>
      <c r="B25" s="2"/>
      <c r="C25" s="2"/>
      <c r="D25" s="2"/>
      <c r="E25" s="2"/>
      <c r="F25" s="2"/>
      <c r="G25" s="2"/>
      <c r="H25" s="2"/>
      <c r="I25" s="2"/>
      <c r="J25" s="2"/>
      <c r="K25" s="2"/>
      <c r="L25" s="2"/>
      <c r="M25" s="2"/>
      <c r="N25" s="2"/>
      <c r="O25" s="121"/>
      <c r="P25" s="123" t="s">
        <v>57</v>
      </c>
      <c r="Q25" s="123"/>
      <c r="R25" s="123"/>
      <c r="S25" s="121"/>
      <c r="T25" s="2"/>
    </row>
    <row r="26" spans="1:20" ht="15.75">
      <c r="A26" s="1"/>
      <c r="B26" s="2"/>
      <c r="C26" s="2"/>
      <c r="D26" s="2"/>
      <c r="E26" s="2"/>
      <c r="F26" s="2"/>
      <c r="G26" s="2"/>
      <c r="H26" s="2"/>
      <c r="I26" s="2"/>
      <c r="J26" s="2"/>
      <c r="K26" s="2"/>
      <c r="L26" s="2"/>
      <c r="M26" s="2"/>
      <c r="N26" s="2"/>
      <c r="O26" s="2"/>
      <c r="P26" s="124"/>
      <c r="Q26" s="124" t="s">
        <v>33</v>
      </c>
      <c r="R26" s="124"/>
      <c r="S26" s="2"/>
      <c r="T26" s="2"/>
    </row>
    <row r="27" spans="1:20" ht="15.75">
      <c r="A27" s="1"/>
      <c r="B27" s="2"/>
      <c r="C27" s="2"/>
      <c r="D27" s="2"/>
      <c r="E27" s="2"/>
      <c r="F27" s="2"/>
      <c r="G27" s="2"/>
      <c r="H27" s="2"/>
      <c r="I27" s="2"/>
      <c r="J27" s="2"/>
      <c r="K27" s="2"/>
      <c r="L27" s="2"/>
      <c r="M27" s="2"/>
      <c r="N27" s="2"/>
      <c r="O27" s="2"/>
      <c r="P27" s="125" t="s">
        <v>65</v>
      </c>
      <c r="Q27" s="125"/>
      <c r="R27" s="125"/>
      <c r="S27" s="2"/>
      <c r="T27" s="2"/>
    </row>
    <row r="28" spans="1:20" ht="18.75">
      <c r="A28" s="1"/>
      <c r="B28" s="2"/>
      <c r="C28" s="2"/>
      <c r="D28" s="2"/>
      <c r="E28" s="2"/>
      <c r="F28" s="2"/>
      <c r="G28" s="2"/>
      <c r="H28" s="2"/>
      <c r="I28" s="2"/>
      <c r="J28" s="2"/>
      <c r="K28" s="2"/>
      <c r="L28" s="2"/>
      <c r="M28" s="2"/>
      <c r="N28" s="2"/>
      <c r="O28" s="126" t="s">
        <v>66</v>
      </c>
      <c r="P28" s="127"/>
      <c r="Q28" s="127"/>
      <c r="R28" s="127"/>
      <c r="S28" s="127"/>
      <c r="T28" s="2"/>
    </row>
    <row r="29" spans="1:20">
      <c r="A29" s="1"/>
      <c r="B29" s="2"/>
      <c r="C29" s="2"/>
      <c r="D29" s="2"/>
      <c r="E29" s="2"/>
      <c r="F29" s="2"/>
      <c r="G29" s="2"/>
      <c r="H29" s="2"/>
      <c r="I29" s="2"/>
      <c r="J29" s="2"/>
      <c r="K29" s="2"/>
      <c r="L29" s="2"/>
      <c r="M29" s="2"/>
      <c r="N29" s="2"/>
      <c r="O29" s="2"/>
      <c r="P29" s="2"/>
      <c r="Q29" s="2"/>
      <c r="R29" s="2"/>
      <c r="S29" s="2"/>
      <c r="T29" s="2"/>
    </row>
    <row r="30" spans="1:20">
      <c r="A30" s="1"/>
      <c r="B30" s="2"/>
      <c r="C30" s="2"/>
      <c r="D30" s="2"/>
      <c r="E30" s="2"/>
      <c r="F30" s="2"/>
      <c r="G30" s="2"/>
      <c r="H30" s="2"/>
      <c r="I30" s="2"/>
      <c r="J30" s="2"/>
      <c r="K30" s="2"/>
      <c r="L30" s="2"/>
      <c r="M30" s="2"/>
      <c r="N30" s="2"/>
      <c r="O30" s="2"/>
      <c r="P30" s="2"/>
      <c r="Q30" s="2"/>
      <c r="R30" s="2"/>
      <c r="S30" s="2"/>
      <c r="T30" s="2"/>
    </row>
    <row r="31" spans="1:20">
      <c r="A31" s="1"/>
      <c r="B31" s="2"/>
      <c r="C31" s="2"/>
      <c r="D31" s="2"/>
      <c r="E31" s="2"/>
      <c r="F31" s="2"/>
      <c r="G31" s="2"/>
      <c r="H31" s="2"/>
      <c r="I31" s="2"/>
      <c r="J31" s="2"/>
      <c r="K31" s="2"/>
      <c r="L31" s="2"/>
      <c r="M31" s="2"/>
      <c r="N31" s="2"/>
      <c r="O31" s="2"/>
      <c r="P31" s="2"/>
      <c r="Q31" s="2"/>
      <c r="R31" s="2"/>
      <c r="S31" s="2"/>
      <c r="T31" s="2"/>
    </row>
    <row r="32" spans="1:20">
      <c r="A32" s="1"/>
      <c r="B32" s="2"/>
      <c r="C32" s="2"/>
      <c r="D32" s="2"/>
      <c r="E32" s="2"/>
      <c r="F32" s="2"/>
      <c r="G32" s="2"/>
      <c r="H32" s="2"/>
      <c r="I32" s="2"/>
      <c r="J32" s="2"/>
      <c r="K32" s="2"/>
      <c r="L32" s="2"/>
      <c r="M32" s="2"/>
      <c r="N32" s="2"/>
      <c r="O32" s="2"/>
      <c r="P32" s="2"/>
      <c r="Q32" s="2"/>
      <c r="R32" s="2"/>
      <c r="S32" s="2"/>
      <c r="T32" s="2"/>
    </row>
    <row r="33" spans="1:20">
      <c r="A33" s="1"/>
      <c r="B33" s="2"/>
      <c r="C33" s="2"/>
      <c r="D33" s="2"/>
      <c r="E33" s="2"/>
      <c r="F33" s="2"/>
      <c r="G33" s="2"/>
      <c r="H33" s="2"/>
      <c r="I33" s="2"/>
      <c r="J33" s="2"/>
      <c r="K33" s="2"/>
      <c r="L33" s="2"/>
      <c r="M33" s="2"/>
      <c r="N33" s="2"/>
      <c r="O33" s="2"/>
      <c r="P33" s="2"/>
      <c r="Q33" s="2"/>
      <c r="R33" s="2"/>
      <c r="S33" s="2"/>
      <c r="T33" s="2"/>
    </row>
    <row r="34" spans="1:20">
      <c r="A34" s="1"/>
      <c r="B34" s="2"/>
      <c r="C34" s="2"/>
      <c r="D34" s="2"/>
      <c r="E34" s="2"/>
      <c r="F34" s="2"/>
      <c r="G34" s="2"/>
      <c r="H34" s="2"/>
      <c r="I34" s="2"/>
      <c r="J34" s="2"/>
      <c r="K34" s="2"/>
      <c r="L34" s="2"/>
      <c r="M34" s="2"/>
      <c r="N34" s="2"/>
      <c r="O34" s="2"/>
      <c r="P34" s="2"/>
      <c r="Q34" s="2"/>
      <c r="R34" s="2"/>
      <c r="S34" s="2"/>
      <c r="T34" s="2"/>
    </row>
  </sheetData>
  <sheetProtection password="C1FB" sheet="1" objects="1" scenarios="1" formatCells="0" formatColumns="0" formatRows="0" selectLockedCells="1"/>
  <mergeCells count="23">
    <mergeCell ref="O15:Q17"/>
    <mergeCell ref="P23:R23"/>
    <mergeCell ref="P25:R25"/>
    <mergeCell ref="P27:R27"/>
    <mergeCell ref="O28:S28"/>
    <mergeCell ref="F7:F8"/>
    <mergeCell ref="G7:G8"/>
    <mergeCell ref="C1:I1"/>
    <mergeCell ref="A3:B3"/>
    <mergeCell ref="A4:B4"/>
    <mergeCell ref="C4:F4"/>
    <mergeCell ref="A5:B5"/>
    <mergeCell ref="C5:F5"/>
    <mergeCell ref="C3:J3"/>
    <mergeCell ref="H4:J4"/>
    <mergeCell ref="H5:J5"/>
    <mergeCell ref="A7:A8"/>
    <mergeCell ref="B7:B8"/>
    <mergeCell ref="C7:C8"/>
    <mergeCell ref="D7:D8"/>
    <mergeCell ref="E7:E8"/>
    <mergeCell ref="H7:H8"/>
    <mergeCell ref="I7:I8"/>
  </mergeCells>
  <dataValidations count="3">
    <dataValidation type="list" allowBlank="1" showInputMessage="1" showErrorMessage="1" sqref="G23">
      <formula1>$AC$1:$AC$3</formula1>
    </dataValidation>
    <dataValidation type="list" allowBlank="1" showInputMessage="1" showErrorMessage="1" sqref="D9:D23">
      <formula1>$X$1:$X$3</formula1>
    </dataValidation>
    <dataValidation type="list" allowBlank="1" showInputMessage="1" showErrorMessage="1" sqref="E9:E23">
      <formula1>$Y$1:$Y$3</formula1>
    </dataValidation>
  </dataValidations>
  <hyperlinks>
    <hyperlink ref="O28" r:id="rId1"/>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dimension ref="A1:AM30"/>
  <sheetViews>
    <sheetView workbookViewId="0">
      <selection activeCell="U10" sqref="U10"/>
    </sheetView>
  </sheetViews>
  <sheetFormatPr defaultRowHeight="15"/>
  <cols>
    <col min="1" max="1" width="6.140625" style="14" customWidth="1"/>
    <col min="2" max="3" width="9.140625" style="14"/>
    <col min="4" max="4" width="8.140625" style="14" customWidth="1"/>
    <col min="5" max="5" width="8.42578125" style="14" customWidth="1"/>
    <col min="6" max="10" width="9.140625" style="14"/>
    <col min="11" max="11" width="6.85546875" style="14" customWidth="1"/>
    <col min="12" max="12" width="6.28515625" style="14" customWidth="1"/>
    <col min="13" max="13" width="8" style="14" customWidth="1"/>
    <col min="14" max="14" width="7.140625" style="14" customWidth="1"/>
    <col min="15" max="15" width="7.85546875" style="14" customWidth="1"/>
    <col min="16" max="16" width="8.28515625" style="14" customWidth="1"/>
    <col min="17" max="17" width="9.7109375" style="14" customWidth="1"/>
    <col min="18" max="18" width="9.5703125" style="14" customWidth="1"/>
    <col min="19" max="19" width="12.28515625" style="14" customWidth="1"/>
    <col min="20" max="22" width="9.140625" style="14"/>
    <col min="23" max="23" width="0" style="14" hidden="1" customWidth="1"/>
    <col min="24" max="39" width="9.140625" style="14" hidden="1" customWidth="1"/>
    <col min="40" max="41" width="0" style="14" hidden="1" customWidth="1"/>
    <col min="42" max="16384" width="9.140625" style="14"/>
  </cols>
  <sheetData>
    <row r="1" spans="1:34" ht="21" customHeight="1">
      <c r="A1" s="19"/>
      <c r="B1" s="41" t="s">
        <v>41</v>
      </c>
      <c r="C1" s="41"/>
      <c r="D1" s="41"/>
      <c r="E1" s="41"/>
      <c r="F1" s="41"/>
      <c r="G1" s="41"/>
      <c r="H1" s="41"/>
      <c r="I1" s="41"/>
      <c r="J1" s="41"/>
      <c r="K1" s="41"/>
      <c r="L1" s="41"/>
      <c r="M1" s="41"/>
      <c r="N1" s="41"/>
      <c r="O1" s="41"/>
      <c r="P1" s="41"/>
      <c r="Q1" s="41"/>
      <c r="R1" s="42"/>
      <c r="S1" s="44"/>
      <c r="X1" s="14" t="s">
        <v>45</v>
      </c>
    </row>
    <row r="2" spans="1:34" ht="21" customHeight="1">
      <c r="A2" s="19"/>
      <c r="B2" s="113" t="str">
        <f>CONCATENATE("OFFICE OF ",Master!H4," , ",Master!C3)</f>
        <v>OFFICE OF PRINCIPAL , GOVT SENIOR SECONDARY SCHOOL(PEEO)GOWATI</v>
      </c>
      <c r="C2" s="113"/>
      <c r="D2" s="113"/>
      <c r="E2" s="113"/>
      <c r="F2" s="113"/>
      <c r="G2" s="113"/>
      <c r="H2" s="113"/>
      <c r="I2" s="113"/>
      <c r="J2" s="113"/>
      <c r="K2" s="113"/>
      <c r="L2" s="113"/>
      <c r="M2" s="113"/>
      <c r="N2" s="113"/>
      <c r="O2" s="113"/>
      <c r="P2" s="113"/>
      <c r="Q2" s="113"/>
      <c r="R2" s="42"/>
      <c r="S2" s="45"/>
      <c r="X2" s="14" t="s">
        <v>44</v>
      </c>
      <c r="AD2" s="14" t="s">
        <v>34</v>
      </c>
      <c r="AF2" s="14" t="s">
        <v>47</v>
      </c>
    </row>
    <row r="3" spans="1:34" ht="21" customHeight="1">
      <c r="A3" s="19"/>
      <c r="B3" s="15"/>
      <c r="C3" s="39" t="s">
        <v>42</v>
      </c>
      <c r="D3" s="39"/>
      <c r="E3" s="39"/>
      <c r="F3" s="96" t="str">
        <f>IF(ISNA(VLOOKUP(Q3,Master!A$9:AL$78,2,FALSE)),"",VLOOKUP(Q3,Master!A$9:AL$78,2,FALSE))</f>
        <v>Mandeep Singh Bhular</v>
      </c>
      <c r="G3" s="96"/>
      <c r="H3" s="96"/>
      <c r="I3" s="39" t="s">
        <v>23</v>
      </c>
      <c r="J3" s="39"/>
      <c r="K3" s="96" t="str">
        <f>IF(ISNA(VLOOKUP(Q3,Master!A$9:AL$78,3,FALSE)),"",VLOOKUP(Q3,Master!A$9:AL$78,3,FALSE))</f>
        <v>TEACHER</v>
      </c>
      <c r="L3" s="96"/>
      <c r="M3" s="96"/>
      <c r="N3" s="96"/>
      <c r="O3" s="40" t="s">
        <v>43</v>
      </c>
      <c r="P3" s="40"/>
      <c r="Q3" s="16">
        <v>3</v>
      </c>
      <c r="R3" s="42"/>
      <c r="S3" s="45"/>
      <c r="X3" s="14" t="s">
        <v>46</v>
      </c>
      <c r="AD3" s="14" t="s">
        <v>31</v>
      </c>
    </row>
    <row r="4" spans="1:34" ht="21" customHeight="1">
      <c r="A4" s="19"/>
      <c r="B4" s="35" t="s">
        <v>48</v>
      </c>
      <c r="C4" s="35"/>
      <c r="D4" s="35"/>
      <c r="E4" s="35"/>
      <c r="F4" s="35"/>
      <c r="G4" s="35"/>
      <c r="H4" s="35"/>
      <c r="I4" s="35"/>
      <c r="J4" s="35"/>
      <c r="K4" s="35"/>
      <c r="L4" s="35"/>
      <c r="M4" s="35"/>
      <c r="N4" s="35"/>
      <c r="O4" s="35"/>
      <c r="P4" s="35"/>
      <c r="Q4" s="35"/>
      <c r="R4" s="42"/>
      <c r="S4" s="45"/>
      <c r="Z4" s="14" t="str">
        <f>IF(ISNA(VLOOKUP(Q3,Master!A$9:AL$78,4,FALSE)),"",VLOOKUP(Q3,Master!A$9:AL$78,4,FALSE))</f>
        <v>NPS</v>
      </c>
      <c r="AB4" s="14" t="str">
        <f>IF(ISNA(VLOOKUP(Q3,Master!A$9:AL$78,5,FALSE)),"",VLOOKUP(Q3,Master!A$9:AL$78,5,FALSE))</f>
        <v>Regular Pay</v>
      </c>
    </row>
    <row r="5" spans="1:34" ht="21" customHeight="1">
      <c r="A5" s="19"/>
      <c r="B5" s="17"/>
      <c r="C5" s="36"/>
      <c r="D5" s="36"/>
      <c r="E5" s="36"/>
      <c r="F5" s="36"/>
      <c r="G5" s="36"/>
      <c r="H5" s="36"/>
      <c r="I5" s="36"/>
      <c r="J5" s="36"/>
      <c r="K5" s="36"/>
      <c r="L5" s="36"/>
      <c r="M5" s="36"/>
      <c r="N5" s="36"/>
      <c r="O5" s="36"/>
      <c r="P5" s="36"/>
      <c r="Q5" s="17"/>
      <c r="R5" s="19"/>
      <c r="S5" s="45"/>
      <c r="Z5" s="14">
        <f>IF(ISNA(VLOOKUP(Q3,Master!A$9:AL$78,7,FALSE)),"",VLOOKUP(Q3,Master!A$9:AL$78,7,FALSE))</f>
        <v>10</v>
      </c>
    </row>
    <row r="6" spans="1:34" ht="21" customHeight="1" thickBot="1">
      <c r="A6" s="97"/>
      <c r="B6" s="18"/>
      <c r="C6" s="18"/>
      <c r="D6" s="18"/>
      <c r="E6" s="43" t="s">
        <v>44</v>
      </c>
      <c r="F6" s="43"/>
      <c r="G6" s="43"/>
      <c r="H6" s="43"/>
      <c r="I6" s="43"/>
      <c r="J6" s="43"/>
      <c r="K6" s="43"/>
      <c r="L6" s="43"/>
      <c r="M6" s="43"/>
      <c r="N6" s="18"/>
      <c r="O6" s="18"/>
      <c r="P6" s="18"/>
      <c r="Q6" s="19"/>
      <c r="R6" s="19"/>
      <c r="S6" s="45"/>
      <c r="T6" s="19"/>
      <c r="U6" s="119" t="s">
        <v>62</v>
      </c>
      <c r="Y6" s="14">
        <f>IF(ISNA(VLOOKUP(Q3,Master!A$9:AL$78,9,FALSE)),"",VLOOKUP(Q3,Master!A$9:AL$78,9,FALSE))</f>
        <v>35800</v>
      </c>
      <c r="Z6" s="46">
        <f>Y6</f>
        <v>35800</v>
      </c>
      <c r="AA6" s="46">
        <f>IF(AND(AG$6&gt;1),"",IF(AND(AH6&gt;2017),Z6,IF(AND(AB$4=AF$2),Y$6,Z6)))</f>
        <v>35800</v>
      </c>
      <c r="AB6" s="14">
        <f>IF(ISNA(VLOOKUP(Q3,Master!A$9:AL$78,8,FALSE)),"",VLOOKUP(Q3,Master!A$9:AL$78,8,FALSE))</f>
        <v>13690</v>
      </c>
      <c r="AC6" s="14">
        <f>AB6</f>
        <v>13690</v>
      </c>
      <c r="AD6" s="46">
        <f>IF(AND(AG$6&gt;1),"",IF(AND(AB$4=AF$2),AB$6,AC6))</f>
        <v>13690</v>
      </c>
      <c r="AE6" s="47">
        <f>IF(ISNA(VLOOKUP(Q3,Master!A$9:AL$78,6,FALSE)),"",VLOOKUP(Q3,Master!A$9:AL$78,6,FALSE))</f>
        <v>42370</v>
      </c>
      <c r="AF6" s="14">
        <f>DAY(AE6)</f>
        <v>1</v>
      </c>
      <c r="AG6" s="14">
        <f>MONTH(AE6)</f>
        <v>1</v>
      </c>
      <c r="AH6" s="14">
        <f>YEAR(AE6)</f>
        <v>2016</v>
      </c>
    </row>
    <row r="7" spans="1:34" ht="15" customHeight="1">
      <c r="A7" s="48" t="s">
        <v>0</v>
      </c>
      <c r="B7" s="49" t="s">
        <v>1</v>
      </c>
      <c r="C7" s="50" t="s">
        <v>2</v>
      </c>
      <c r="D7" s="50"/>
      <c r="E7" s="50"/>
      <c r="F7" s="50" t="s">
        <v>3</v>
      </c>
      <c r="G7" s="50"/>
      <c r="H7" s="50"/>
      <c r="I7" s="50" t="s">
        <v>4</v>
      </c>
      <c r="J7" s="50"/>
      <c r="K7" s="50"/>
      <c r="L7" s="100" t="s">
        <v>15</v>
      </c>
      <c r="M7" s="100" t="s">
        <v>11</v>
      </c>
      <c r="N7" s="100" t="s">
        <v>15</v>
      </c>
      <c r="O7" s="51" t="str">
        <f>IF(AND($Z$4=AD$3),"GPF","NPS  30%")</f>
        <v>NPS  30%</v>
      </c>
      <c r="P7" s="100" t="s">
        <v>5</v>
      </c>
      <c r="Q7" s="101" t="s">
        <v>6</v>
      </c>
      <c r="R7" s="101" t="s">
        <v>7</v>
      </c>
      <c r="S7" s="52" t="s">
        <v>8</v>
      </c>
      <c r="U7" s="119"/>
      <c r="Z7" s="46">
        <f>Z6</f>
        <v>35800</v>
      </c>
      <c r="AA7" s="46">
        <f>IF(AND(AG$6&gt;2),"",IF(AND(AB$4=AF$2),Y$6,Z7))</f>
        <v>35800</v>
      </c>
      <c r="AC7" s="14">
        <f>AC6</f>
        <v>13690</v>
      </c>
      <c r="AD7" s="46">
        <f>IF(AND(AG$6&gt;2),"",IF(AND(AB$4=AF$2),AB$6,AC7))</f>
        <v>13690</v>
      </c>
    </row>
    <row r="8" spans="1:34" ht="21.95" customHeight="1">
      <c r="A8" s="53"/>
      <c r="B8" s="54"/>
      <c r="C8" s="55" t="s">
        <v>9</v>
      </c>
      <c r="D8" s="56" t="s">
        <v>10</v>
      </c>
      <c r="E8" s="56" t="s">
        <v>11</v>
      </c>
      <c r="F8" s="56" t="s">
        <v>9</v>
      </c>
      <c r="G8" s="56" t="s">
        <v>10</v>
      </c>
      <c r="H8" s="56" t="s">
        <v>11</v>
      </c>
      <c r="I8" s="56" t="s">
        <v>12</v>
      </c>
      <c r="J8" s="56" t="s">
        <v>13</v>
      </c>
      <c r="K8" s="56" t="s">
        <v>14</v>
      </c>
      <c r="L8" s="98"/>
      <c r="M8" s="98"/>
      <c r="N8" s="98"/>
      <c r="O8" s="57"/>
      <c r="P8" s="98"/>
      <c r="Q8" s="99"/>
      <c r="R8" s="99"/>
      <c r="S8" s="58"/>
      <c r="Z8" s="46">
        <f t="shared" ref="Z8:Z11" si="0">Z7</f>
        <v>35800</v>
      </c>
      <c r="AA8" s="46">
        <f>IF(AND(AG$6&gt;3),"",IF(AND(AB$4=AF$2),Y$6,Z8))</f>
        <v>35800</v>
      </c>
      <c r="AC8" s="14">
        <f t="shared" ref="AC8:AC11" si="1">AC7</f>
        <v>13690</v>
      </c>
      <c r="AD8" s="46">
        <f>IF(AND(AG$6&gt;3),"",IF(AND(AB$4=AF$2),AB$6,AC8))</f>
        <v>13690</v>
      </c>
    </row>
    <row r="9" spans="1:34" ht="21" customHeight="1">
      <c r="A9" s="59">
        <v>1</v>
      </c>
      <c r="B9" s="60">
        <v>42742</v>
      </c>
      <c r="C9" s="110">
        <f>IF(AND(Q$3=""),"",IF(AND(AH$6&lt;2017),Z6,AA6))</f>
        <v>35800</v>
      </c>
      <c r="D9" s="61">
        <f>IF(AND(C9=""),"",ROUND(C9*4/100,0))</f>
        <v>1432</v>
      </c>
      <c r="E9" s="61">
        <f>IF(AND(C9="",D9=""),"",SUM(C9:D9))</f>
        <v>37232</v>
      </c>
      <c r="F9" s="110">
        <f>IF(AND(Q$3=""),"",IF(AND(AH$6&lt;2017),AC6,AD6))</f>
        <v>13690</v>
      </c>
      <c r="G9" s="61">
        <f>IF(AND(F9=""),"",ROUND(F9*136/100,0))</f>
        <v>18618</v>
      </c>
      <c r="H9" s="61">
        <f>IF(AND(F9="",G9=""),"",SUM(F9:G9))</f>
        <v>32308</v>
      </c>
      <c r="I9" s="61">
        <f>IF(AND(C9="",F9=""),"",IF(AND(E$6=X$3),C9*40%-F9*40%,C9*30%-F9*30%))</f>
        <v>6633</v>
      </c>
      <c r="J9" s="92">
        <f>IF(AND(D9="",G9=""),"",IF(AND(E$6=X$3),D9*40%-G9*40%,ROUND((D9*30%-G9*30%),0)))</f>
        <v>-5156</v>
      </c>
      <c r="K9" s="92">
        <f>IF(AND(I9="",J9=""),"",SUM(I9:J9))</f>
        <v>1477</v>
      </c>
      <c r="L9" s="114">
        <f>IF(AND(K9=""),"",IF(AND(Z$4=AD$3),"",ROUND(K9*10/100,0)))</f>
        <v>148</v>
      </c>
      <c r="M9" s="115">
        <f>IF(AND(I9="",J9="",K9=""),"",SUM(K9:L9))</f>
        <v>1625</v>
      </c>
      <c r="N9" s="114">
        <f>IF(AND($Z$4=AD$3),"",ROUND(((K9)*10%),0))</f>
        <v>148</v>
      </c>
      <c r="O9" s="115">
        <f>IF(AND(K9=""),"",IF(AND($Z$4=AD$3),M9-P9,ROUND(((K9)*10%),0)))</f>
        <v>148</v>
      </c>
      <c r="P9" s="114">
        <f>IF(AND(M9=""),"",ROUND(K9*Z$5/100,0))</f>
        <v>148</v>
      </c>
      <c r="Q9" s="115">
        <f>IF(AND(M9=""),"",SUM(N9:P9))</f>
        <v>444</v>
      </c>
      <c r="R9" s="114">
        <f>IF(AND(M9="",Q9=""),"",ROUND(M9-Q9,0))</f>
        <v>1181</v>
      </c>
      <c r="S9" s="116"/>
      <c r="Z9" s="46">
        <f t="shared" si="0"/>
        <v>35800</v>
      </c>
      <c r="AA9" s="46">
        <f>IF(AND(AG$6&gt;4),"",IF(AND(AB$4=AF$2),Y$6,Z9))</f>
        <v>35800</v>
      </c>
      <c r="AC9" s="14">
        <f t="shared" si="1"/>
        <v>13690</v>
      </c>
      <c r="AD9" s="46">
        <f>IF(AND(AG$6&gt;4),"",IF(AND(AB$4=AF$2),AB$6,AC9))</f>
        <v>13690</v>
      </c>
    </row>
    <row r="10" spans="1:34" ht="21" customHeight="1">
      <c r="A10" s="59">
        <v>2</v>
      </c>
      <c r="B10" s="60">
        <v>42773</v>
      </c>
      <c r="C10" s="110">
        <f t="shared" ref="C10:C16" si="2">IF(AND(Q$3=""),"",IF(AND(AH$6&lt;2017),Z7,AA7))</f>
        <v>35800</v>
      </c>
      <c r="D10" s="61">
        <f t="shared" ref="D10:D14" si="3">IF(AND(C10=""),"",ROUND(C10*4/100,0))</f>
        <v>1432</v>
      </c>
      <c r="E10" s="61">
        <f t="shared" ref="E10:E17" si="4">IF(AND(C10="",D10=""),"",SUM(C10:D10))</f>
        <v>37232</v>
      </c>
      <c r="F10" s="110">
        <f t="shared" ref="F10:F17" si="5">IF(AND(Q$3=""),"",IF(AND(AH$6&lt;2017),AC7,AD7))</f>
        <v>13690</v>
      </c>
      <c r="G10" s="61">
        <f t="shared" ref="G10:G14" si="6">IF(AND(F10=""),"",ROUND(F10*136/100,0))</f>
        <v>18618</v>
      </c>
      <c r="H10" s="61">
        <f t="shared" ref="H10:H17" si="7">IF(AND(F10="",G10=""),"",SUM(F10:G10))</f>
        <v>32308</v>
      </c>
      <c r="I10" s="61">
        <f>IF(AND(C10="",F10=""),"",IF(AND(E$6=X$3),C10*40%-F10*40%,C10*30%-F10*30%))</f>
        <v>6633</v>
      </c>
      <c r="J10" s="92">
        <f>IF(AND(D10="",G10=""),"",IF(AND(E$6=X$3),D10*40%-G10*40%,ROUND((D10*30%-G10*30%),0)))</f>
        <v>-5156</v>
      </c>
      <c r="K10" s="92">
        <f t="shared" ref="K10:K17" si="8">IF(AND(I10="",J10=""),"",SUM(I10:J10))</f>
        <v>1477</v>
      </c>
      <c r="L10" s="114">
        <f t="shared" ref="L10:L17" si="9">IF(AND(K10=""),"",IF(AND(Z$4=AD$3),"",ROUND(K10*10/100,0)))</f>
        <v>148</v>
      </c>
      <c r="M10" s="115">
        <f t="shared" ref="M10:M17" si="10">IF(AND(I10="",J10="",K10=""),"",SUM(K10:L10))</f>
        <v>1625</v>
      </c>
      <c r="N10" s="114">
        <f t="shared" ref="N10:N17" si="11">IF(AND($Z$4=AD$3),"",ROUND(((K10)*10%),0))</f>
        <v>148</v>
      </c>
      <c r="O10" s="115">
        <f t="shared" ref="O10:O17" si="12">IF(AND(K10=""),"",IF(AND($Z$4=AD$3),M10-P10,ROUND(((K10)*10%),0)))</f>
        <v>148</v>
      </c>
      <c r="P10" s="114">
        <f t="shared" ref="P10:P17" si="13">IF(AND(M10=""),"",ROUND(K10*Z$5/100,0))</f>
        <v>148</v>
      </c>
      <c r="Q10" s="115">
        <f t="shared" ref="Q10:Q17" si="14">IF(AND(M10=""),"",SUM(N10:P10))</f>
        <v>444</v>
      </c>
      <c r="R10" s="114">
        <f t="shared" ref="R10:R17" si="15">IF(AND(M10="",Q10=""),"",ROUND(M10-Q10,0))</f>
        <v>1181</v>
      </c>
      <c r="S10" s="117"/>
      <c r="Z10" s="46">
        <f t="shared" si="0"/>
        <v>35800</v>
      </c>
      <c r="AA10" s="46">
        <f>IF(AND(AG$6&gt;5),"",IF(AND(AB$4=AF$2),Y$6,Z10))</f>
        <v>35800</v>
      </c>
      <c r="AC10" s="14">
        <f t="shared" si="1"/>
        <v>13690</v>
      </c>
      <c r="AD10" s="46">
        <f>IF(AND(AG$6&gt;5),"",IF(AND(AB$4=AF$2),AB$6,AC10))</f>
        <v>13690</v>
      </c>
    </row>
    <row r="11" spans="1:34" ht="21" customHeight="1">
      <c r="A11" s="59">
        <v>3</v>
      </c>
      <c r="B11" s="60">
        <v>42801</v>
      </c>
      <c r="C11" s="110">
        <f t="shared" si="2"/>
        <v>35800</v>
      </c>
      <c r="D11" s="61">
        <f t="shared" si="3"/>
        <v>1432</v>
      </c>
      <c r="E11" s="61">
        <f t="shared" si="4"/>
        <v>37232</v>
      </c>
      <c r="F11" s="110">
        <f t="shared" si="5"/>
        <v>13690</v>
      </c>
      <c r="G11" s="61">
        <f t="shared" si="6"/>
        <v>18618</v>
      </c>
      <c r="H11" s="61">
        <f t="shared" si="7"/>
        <v>32308</v>
      </c>
      <c r="I11" s="61">
        <f>IF(AND(C11="",F11=""),"",IF(AND(E$6=X$3),C11*40%-F11*40%,C11*30%-F11*30%))</f>
        <v>6633</v>
      </c>
      <c r="J11" s="92">
        <f>IF(AND(D11="",G11=""),"",IF(AND(E$6=X$3),D11*40%-G11*40%,ROUND((D11*30%-G11*30%),0)))</f>
        <v>-5156</v>
      </c>
      <c r="K11" s="92">
        <f t="shared" si="8"/>
        <v>1477</v>
      </c>
      <c r="L11" s="114">
        <f t="shared" si="9"/>
        <v>148</v>
      </c>
      <c r="M11" s="115">
        <f t="shared" si="10"/>
        <v>1625</v>
      </c>
      <c r="N11" s="114">
        <f t="shared" si="11"/>
        <v>148</v>
      </c>
      <c r="O11" s="115">
        <f t="shared" si="12"/>
        <v>148</v>
      </c>
      <c r="P11" s="114">
        <f t="shared" si="13"/>
        <v>148</v>
      </c>
      <c r="Q11" s="115">
        <f t="shared" si="14"/>
        <v>444</v>
      </c>
      <c r="R11" s="114">
        <f t="shared" si="15"/>
        <v>1181</v>
      </c>
      <c r="S11" s="117"/>
      <c r="Z11" s="46">
        <f t="shared" si="0"/>
        <v>35800</v>
      </c>
      <c r="AA11" s="46">
        <f>IF(AND(AG$6&gt;6),"",IF(AND(AB$4=AF$2),Y$6,Z11))</f>
        <v>35800</v>
      </c>
      <c r="AC11" s="14">
        <f t="shared" si="1"/>
        <v>13690</v>
      </c>
      <c r="AD11" s="46">
        <f>IF(AND(AG$6&gt;6),"",IF(AND(AB$4=AF$2),AB$6,AC11))</f>
        <v>13690</v>
      </c>
    </row>
    <row r="12" spans="1:34" ht="21" customHeight="1">
      <c r="A12" s="59">
        <v>4</v>
      </c>
      <c r="B12" s="60">
        <v>42832</v>
      </c>
      <c r="C12" s="110">
        <f t="shared" si="2"/>
        <v>35800</v>
      </c>
      <c r="D12" s="61">
        <f t="shared" si="3"/>
        <v>1432</v>
      </c>
      <c r="E12" s="61">
        <f t="shared" si="4"/>
        <v>37232</v>
      </c>
      <c r="F12" s="110">
        <f t="shared" si="5"/>
        <v>13690</v>
      </c>
      <c r="G12" s="61">
        <f t="shared" si="6"/>
        <v>18618</v>
      </c>
      <c r="H12" s="61">
        <f t="shared" si="7"/>
        <v>32308</v>
      </c>
      <c r="I12" s="61">
        <f>IF(AND(C12="",F12=""),"",IF(AND(E$6=X$3),C12*40%-F12*40%,C12*30%-F12*30%))</f>
        <v>6633</v>
      </c>
      <c r="J12" s="92">
        <f>IF(AND(D12="",G12=""),"",IF(AND(E$6=X$3),D12*40%-G12*40%,ROUND((D12*30%-G12*30%),0)))</f>
        <v>-5156</v>
      </c>
      <c r="K12" s="92">
        <f t="shared" si="8"/>
        <v>1477</v>
      </c>
      <c r="L12" s="114">
        <f t="shared" si="9"/>
        <v>148</v>
      </c>
      <c r="M12" s="115">
        <f t="shared" si="10"/>
        <v>1625</v>
      </c>
      <c r="N12" s="114">
        <f t="shared" si="11"/>
        <v>148</v>
      </c>
      <c r="O12" s="115">
        <f t="shared" si="12"/>
        <v>148</v>
      </c>
      <c r="P12" s="114">
        <f t="shared" si="13"/>
        <v>148</v>
      </c>
      <c r="Q12" s="115">
        <f t="shared" si="14"/>
        <v>444</v>
      </c>
      <c r="R12" s="114">
        <f t="shared" si="15"/>
        <v>1181</v>
      </c>
      <c r="S12" s="117"/>
      <c r="Z12" s="62">
        <f>IF(AND(AG6&gt;=8),"",IF(AND(AB4=AF2),Y6,MROUND(Z11*1.03,100)))</f>
        <v>36900</v>
      </c>
      <c r="AA12" s="46">
        <f>IF(AND(AG$6&gt;7),"",IF(AND(AB$4=AF$2),Y$6,Z12))</f>
        <v>36900</v>
      </c>
      <c r="AC12" s="14">
        <f>IF(AND(AG6&gt;=8),"",IF(AND(AB4=AF2),AB6,ROUNDUP(ROUND(AC11*1.03,),-1)))</f>
        <v>14110</v>
      </c>
      <c r="AD12" s="46">
        <f>IF(AND(AG$6&gt;7),"",IF(AND(AB$4=AF$2),AB$6,AC12))</f>
        <v>14110</v>
      </c>
    </row>
    <row r="13" spans="1:34" ht="21" customHeight="1">
      <c r="A13" s="59">
        <v>5</v>
      </c>
      <c r="B13" s="60">
        <v>42862</v>
      </c>
      <c r="C13" s="110">
        <f t="shared" si="2"/>
        <v>35800</v>
      </c>
      <c r="D13" s="61">
        <f t="shared" si="3"/>
        <v>1432</v>
      </c>
      <c r="E13" s="61">
        <f t="shared" si="4"/>
        <v>37232</v>
      </c>
      <c r="F13" s="110">
        <f t="shared" si="5"/>
        <v>13690</v>
      </c>
      <c r="G13" s="61">
        <f t="shared" si="6"/>
        <v>18618</v>
      </c>
      <c r="H13" s="61">
        <f t="shared" si="7"/>
        <v>32308</v>
      </c>
      <c r="I13" s="61">
        <f>IF(AND(C13="",F13=""),"",IF(AND(E$6=X$3),C13*40%-F13*40%,C13*30%-F13*30%))</f>
        <v>6633</v>
      </c>
      <c r="J13" s="92">
        <f>IF(AND(D13="",G13=""),"",IF(AND(E$6=X$3),D13*40%-G13*40%,ROUND((D13*30%-G13*30%),0)))</f>
        <v>-5156</v>
      </c>
      <c r="K13" s="92">
        <f t="shared" si="8"/>
        <v>1477</v>
      </c>
      <c r="L13" s="114">
        <f t="shared" si="9"/>
        <v>148</v>
      </c>
      <c r="M13" s="115">
        <f t="shared" si="10"/>
        <v>1625</v>
      </c>
      <c r="N13" s="114">
        <f t="shared" si="11"/>
        <v>148</v>
      </c>
      <c r="O13" s="115">
        <f t="shared" si="12"/>
        <v>148</v>
      </c>
      <c r="P13" s="114">
        <f t="shared" si="13"/>
        <v>148</v>
      </c>
      <c r="Q13" s="115">
        <f t="shared" si="14"/>
        <v>444</v>
      </c>
      <c r="R13" s="114">
        <f t="shared" si="15"/>
        <v>1181</v>
      </c>
      <c r="S13" s="117"/>
      <c r="Z13" s="63">
        <f>Z12</f>
        <v>36900</v>
      </c>
      <c r="AA13" s="46">
        <f>IF(AND(AG$6&gt;8),"",IF(AND(AB$4=AF$2),Y$6,Z13))</f>
        <v>36900</v>
      </c>
      <c r="AC13" s="14">
        <f>AC12</f>
        <v>14110</v>
      </c>
      <c r="AD13" s="46">
        <f>IF(AND(AG$6&gt;8),"",IF(AND(AB$4=AF$2),AB$6,AC13))</f>
        <v>14110</v>
      </c>
    </row>
    <row r="14" spans="1:34" ht="21" customHeight="1">
      <c r="A14" s="59">
        <v>6</v>
      </c>
      <c r="B14" s="60">
        <v>42893</v>
      </c>
      <c r="C14" s="110">
        <f t="shared" si="2"/>
        <v>35800</v>
      </c>
      <c r="D14" s="61">
        <f t="shared" si="3"/>
        <v>1432</v>
      </c>
      <c r="E14" s="61">
        <f t="shared" si="4"/>
        <v>37232</v>
      </c>
      <c r="F14" s="110">
        <f t="shared" si="5"/>
        <v>13690</v>
      </c>
      <c r="G14" s="61">
        <f t="shared" si="6"/>
        <v>18618</v>
      </c>
      <c r="H14" s="61">
        <f t="shared" si="7"/>
        <v>32308</v>
      </c>
      <c r="I14" s="61">
        <f>IF(AND(C14="",F14=""),"",IF(AND(E$6=X$3),C14*40%-F14*40%,C14*30%-F14*30%))</f>
        <v>6633</v>
      </c>
      <c r="J14" s="92">
        <f>IF(AND(D14="",G14=""),"",IF(AND(E$6=X$3),D14*40%-G14*40%,ROUND((D14*30%-G14*30%),0)))</f>
        <v>-5156</v>
      </c>
      <c r="K14" s="92">
        <f t="shared" si="8"/>
        <v>1477</v>
      </c>
      <c r="L14" s="114">
        <f t="shared" si="9"/>
        <v>148</v>
      </c>
      <c r="M14" s="115">
        <f t="shared" si="10"/>
        <v>1625</v>
      </c>
      <c r="N14" s="114">
        <f t="shared" si="11"/>
        <v>148</v>
      </c>
      <c r="O14" s="115">
        <f t="shared" si="12"/>
        <v>148</v>
      </c>
      <c r="P14" s="114">
        <f t="shared" si="13"/>
        <v>148</v>
      </c>
      <c r="Q14" s="115">
        <f t="shared" si="14"/>
        <v>444</v>
      </c>
      <c r="R14" s="114">
        <f t="shared" si="15"/>
        <v>1181</v>
      </c>
      <c r="S14" s="117"/>
      <c r="Z14" s="63">
        <f>Z13</f>
        <v>36900</v>
      </c>
      <c r="AA14" s="46">
        <f>IF(AND(AG$6&gt;9),"",IF(AND(AB$4=AF$2),Y$6,Z14))</f>
        <v>36900</v>
      </c>
      <c r="AC14" s="14">
        <f>AC13</f>
        <v>14110</v>
      </c>
      <c r="AD14" s="46">
        <f>IF(AND(AG$6&gt;9),"",IF(AND(AB$4=AF$2),AB$6,AC14))</f>
        <v>14110</v>
      </c>
      <c r="AG14" s="95">
        <f>IF(AND(Q3=""),"",ROUND((L20),0))</f>
        <v>10701</v>
      </c>
    </row>
    <row r="15" spans="1:34" ht="21" customHeight="1">
      <c r="A15" s="59">
        <v>7</v>
      </c>
      <c r="B15" s="60">
        <v>42923</v>
      </c>
      <c r="C15" s="110">
        <f t="shared" si="2"/>
        <v>36900</v>
      </c>
      <c r="D15" s="61">
        <f>IF(AND(C15=""),"",ROUND(C15*5/100,0))</f>
        <v>1845</v>
      </c>
      <c r="E15" s="61">
        <f t="shared" si="4"/>
        <v>38745</v>
      </c>
      <c r="F15" s="110">
        <f t="shared" si="5"/>
        <v>14110</v>
      </c>
      <c r="G15" s="61">
        <f>IF(AND(F15=""),"",ROUND(F15*139/100,0))</f>
        <v>19613</v>
      </c>
      <c r="H15" s="61">
        <f t="shared" si="7"/>
        <v>33723</v>
      </c>
      <c r="I15" s="61">
        <f>IF(AND(C15="",F15=""),"",IF(AND(E$6=X$3),C15*40%-F15*40%,C15*30%-F15*30%))</f>
        <v>6837</v>
      </c>
      <c r="J15" s="92">
        <f>IF(AND(D15="",G15=""),"",IF(AND(E$6=X$3),D15*40%-G15*40%,ROUND((D15*30%-G15*30%),0)))</f>
        <v>-5330</v>
      </c>
      <c r="K15" s="92">
        <f t="shared" si="8"/>
        <v>1507</v>
      </c>
      <c r="L15" s="114">
        <f t="shared" si="9"/>
        <v>151</v>
      </c>
      <c r="M15" s="115">
        <f t="shared" si="10"/>
        <v>1658</v>
      </c>
      <c r="N15" s="114">
        <f t="shared" si="11"/>
        <v>151</v>
      </c>
      <c r="O15" s="115">
        <f t="shared" si="12"/>
        <v>151</v>
      </c>
      <c r="P15" s="114">
        <f t="shared" si="13"/>
        <v>151</v>
      </c>
      <c r="Q15" s="115">
        <f t="shared" si="14"/>
        <v>453</v>
      </c>
      <c r="R15" s="114">
        <f t="shared" si="15"/>
        <v>1205</v>
      </c>
      <c r="S15" s="117"/>
      <c r="AG15" s="14" t="str">
        <f>"( Rs. "&amp;LOOKUP(IF(INT(RIGHT(AG14,7)/100000)&gt;19,INT(RIGHT(AG14,7)/1000000),IF(INT(RIGHT(AG14,7)/100000)&gt;=10,INT(RIGHT(AG14,7)/100000),0)),{0,1,2,3,4,5,6,7,8,9,10,11,12,13,14,15,16,17,18,19},{""," TEN "," TWENTY "," THIRTY "," FOURTY "," FIFTY "," SIXTY "," SEVENTY "," EIGHTY "," NINETY "," TEN "," ELEVEN "," TWELVE "," THIRTEEN "," FOURTEEN "," FIFTEEN "," SIXTEEN"," SEVENTEEN"," EIGHTEEN "," NINETEEN "})&amp;IF((IF(INT(RIGHT(AG14,7)/100000)&gt;19,INT(RIGHT(AG14,7)/1000000),IF(INT(RIGHT(AG14,7)/100000)&gt;=10,INT(RIGHT(AG14,7)/100000),0))+IF(INT(RIGHT(AG14,7)/100000)&gt;19,INT(RIGHT(AG14,6)/100000),IF(INT(RIGHT(AG14,7)/100000)&gt;10,0,INT(RIGHT(AG14,6)/100000))))&gt;0,LOOKUP(IF(INT(RIGHT(AG14,7)/100000)&gt;19,INT(RIGHT(AG14,6)/100000),IF(INT(RIGHT(AG14,7)/100000)&gt;10,0,INT(RIGHT(AG14,6)/100000))),{0,1,2,3,4,5,6,7,8,9,10,11,12,13,14,15,16,17,18,19},{""," ONE "," TWO "," THREE "," FOUR "," FIVE "," SIX "," SEVEN "," EIGHT "," NINE "," TEN "," ELEVEN "," TWELVE "," THIRTEEN "," FOURTEEN "," FIFTEEN "," SIXTEEN"," SEVENTEEN"," EIGHTEEN "," NINETEEN "})&amp;" Lac. "," ")&amp;LOOKUP(IF(INT(RIGHT(AG14,5)/1000)&gt;19,INT(RIGHT(AG14,5)/10000),IF(INT(RIGHT(AG14,5)/1000)&gt;=10,INT(RIGHT(AG14,5)/1000),0)),{0,1,2,3,4,5,6,7,8,9,10,11,12,13,14,15,16,17,18,19},{""," TEN "," TWENTY "," THIRTY "," FOURTY "," FIFTY "," SIXTY "," SEVENTY "," EIGHTY "," NINETY "," TEN "," ELEVEN "," TWELVE "," THIRTEEN "," FOURTEEN "," FIFTEEN "," SIXTEEN"," SEVENTEEN"," EIGHTEEN "," NINETEEN "})&amp;IF((IF(INT(RIGHT(AG14,5)/1000)&gt;19,INT(RIGHT(AG14,4)/1000),IF(INT(RIGHT(AG14,5)/1000)&gt;10,0,INT(RIGHT(AG14,4)/1000)))+IF(INT(RIGHT(AG14,5)/1000)&gt;19,INT(RIGHT(AG14,5)/10000),IF(INT(RIGHT(AG14,5)/1000)&gt;=10,INT(RIGHT(AG14,5)/1000),0)))&gt;0,LOOKUP(IF(INT(RIGHT(AG14,5)/1000)&gt;19,INT(RIGHT(AG14,4)/1000),IF(INT(RIGHT(AG14,5)/1000)&gt;10,0,INT(RIGHT(AG14,4)/1000))),{0,1,2,3,4,5,6,7,8,9,10,11,12,13,14,15,16,17,18,19},{""," ONE "," TWO "," THREE "," FOUR "," FIVE "," SIX "," SEVEN "," EIGHT "," NINE "," TEN "," ELEVEN "," TWELVE "," THIRTEEN "," FOURTEEN "," FIFTEEN "," SIXTEEN"," SEVENTEEN"," EIGHTEEN "," NINETEEN "})&amp;" THOUSAND "," ")&amp;IF((INT((RIGHT(AG14,3))/100))&gt;0,LOOKUP(INT((RIGHT(AG14,3))/100),{0,1,2,3,4,5,6,7,8,9,10,11,12,13,14,15,16,17,18,19},{""," ONE "," TWO "," THREE "," FOUR "," FIVE "," SIX "," SEVEN "," EIGHT "," NINE "," TEN "," ELEVEN "," TWELVE "," THIRTEEN "," FOURTEEN "," FIFTEEN "," SIXTEEN"," SEVENTEEN"," EIGHTEEN "," NINETEEN "})&amp;" HUNDRED "," ")&amp;LOOKUP(IF(INT(RIGHT(AG14,2))&gt;19,INT(RIGHT(AG14,2)/10),IF(INT(RIGHT(AG14,2))&gt;=10,INT(RIGHT(AG14,2)),0)),{0,1,2,3,4,5,6,7,8,9,10,11,12,13,14,15,16,17,18,19},{""," TEN "," TWENTY "," THIRTY "," FOURTY "," FIFTY "," SIXTY "," SEVENTY "," EIGHTY "," NINETY "," TEN "," ELEVEN "," TWELVE "," THIRTEEN "," FOURTEEN "," FIFTEEN "," SIXTEEN"," SEVENTEEN"," EIGHTEEN "," NINETEEN "})&amp;LOOKUP(IF(INT(RIGHT(AG14,2))&lt;10,INT(RIGHT(AG14,1)),IF(INT(RIGHT(AG14,2))&lt;20,0,INT(RIGHT(AG14,1)))),{0,1,2,3,4,5,6,7,8,9,10,11,12,13,14,15,16,17,18,19},{""," ONE "," TWO "," THREE "," FOUR "," FIVE "," SIX "," SEVEN "," EIGHT "," NINE "," TEN "," ELEVEN "," TWELVE "," THIRTEEN "," FOURTEEN "," FIFTEEN "," SIXTEEN"," SEVENTEEN"," EIGHTEEN "," NINETEEN "})&amp;" Only)"</f>
        <v>( Rs.   TEN  THOUSAND  SEVEN  HUNDRED  ONE  Only)</v>
      </c>
    </row>
    <row r="16" spans="1:34" ht="21" customHeight="1">
      <c r="A16" s="59">
        <v>8</v>
      </c>
      <c r="B16" s="60">
        <v>42954</v>
      </c>
      <c r="C16" s="110">
        <f t="shared" si="2"/>
        <v>36900</v>
      </c>
      <c r="D16" s="61">
        <f t="shared" ref="D16:D17" si="16">IF(AND(C16=""),"",ROUND(C16*5/100,0))</f>
        <v>1845</v>
      </c>
      <c r="E16" s="61">
        <f t="shared" si="4"/>
        <v>38745</v>
      </c>
      <c r="F16" s="110">
        <f t="shared" si="5"/>
        <v>14110</v>
      </c>
      <c r="G16" s="61">
        <f t="shared" ref="G16:G17" si="17">IF(AND(F16=""),"",ROUND(F16*139/100,0))</f>
        <v>19613</v>
      </c>
      <c r="H16" s="61">
        <f t="shared" si="7"/>
        <v>33723</v>
      </c>
      <c r="I16" s="61">
        <f>IF(AND(C16="",F16=""),"",IF(AND(E$6=X$3),C16*40%-F16*40%,C16*30%-F16*30%))</f>
        <v>6837</v>
      </c>
      <c r="J16" s="92">
        <f>IF(AND(D16="",G16=""),"",IF(AND(E$6=X$3),D16*40%-G16*40%,ROUND((D16*30%-G16*30%),0)))</f>
        <v>-5330</v>
      </c>
      <c r="K16" s="92">
        <f t="shared" si="8"/>
        <v>1507</v>
      </c>
      <c r="L16" s="114">
        <f t="shared" si="9"/>
        <v>151</v>
      </c>
      <c r="M16" s="115">
        <f t="shared" si="10"/>
        <v>1658</v>
      </c>
      <c r="N16" s="114">
        <f t="shared" si="11"/>
        <v>151</v>
      </c>
      <c r="O16" s="115">
        <f t="shared" si="12"/>
        <v>151</v>
      </c>
      <c r="P16" s="114">
        <f t="shared" si="13"/>
        <v>151</v>
      </c>
      <c r="Q16" s="115">
        <f t="shared" si="14"/>
        <v>453</v>
      </c>
      <c r="R16" s="114">
        <f t="shared" si="15"/>
        <v>1205</v>
      </c>
      <c r="S16" s="117"/>
    </row>
    <row r="17" spans="1:19" ht="21" customHeight="1">
      <c r="A17" s="59">
        <v>9</v>
      </c>
      <c r="B17" s="60">
        <v>42985</v>
      </c>
      <c r="C17" s="110">
        <f>IF(AND(Q$3=""),"",IF(AND(AH$6&lt;2017),Z14,AA14))</f>
        <v>36900</v>
      </c>
      <c r="D17" s="61">
        <f t="shared" si="16"/>
        <v>1845</v>
      </c>
      <c r="E17" s="61">
        <f t="shared" si="4"/>
        <v>38745</v>
      </c>
      <c r="F17" s="110">
        <f t="shared" si="5"/>
        <v>14110</v>
      </c>
      <c r="G17" s="61">
        <f t="shared" si="17"/>
        <v>19613</v>
      </c>
      <c r="H17" s="61">
        <f t="shared" si="7"/>
        <v>33723</v>
      </c>
      <c r="I17" s="61">
        <f>IF(AND(C17="",F17=""),"",IF(AND(E$6=X$3),C17*40%-F17*40%,C17*30%-F17*30%))</f>
        <v>6837</v>
      </c>
      <c r="J17" s="92">
        <f>IF(AND(D17="",G17=""),"",IF(AND(E$6=X$3),D17*40%-G17*40%,ROUND((D17*30%-G17*30%),0)))</f>
        <v>-5330</v>
      </c>
      <c r="K17" s="92">
        <f t="shared" si="8"/>
        <v>1507</v>
      </c>
      <c r="L17" s="114">
        <f t="shared" si="9"/>
        <v>151</v>
      </c>
      <c r="M17" s="115">
        <f t="shared" si="10"/>
        <v>1658</v>
      </c>
      <c r="N17" s="114">
        <f t="shared" si="11"/>
        <v>151</v>
      </c>
      <c r="O17" s="115">
        <f t="shared" si="12"/>
        <v>151</v>
      </c>
      <c r="P17" s="114">
        <f t="shared" si="13"/>
        <v>151</v>
      </c>
      <c r="Q17" s="115">
        <f t="shared" si="14"/>
        <v>453</v>
      </c>
      <c r="R17" s="114">
        <f t="shared" si="15"/>
        <v>1205</v>
      </c>
      <c r="S17" s="117"/>
    </row>
    <row r="18" spans="1:19" ht="43.5" customHeight="1">
      <c r="A18" s="64" t="s">
        <v>11</v>
      </c>
      <c r="B18" s="65"/>
      <c r="C18" s="66">
        <f>IF(AND($Q$3=""),"",SUM(C9:C17))</f>
        <v>325500</v>
      </c>
      <c r="D18" s="66">
        <f t="shared" ref="D18:R18" si="18">IF(AND($Q$3=""),"",SUM(D9:D17))</f>
        <v>14127</v>
      </c>
      <c r="E18" s="66">
        <f t="shared" si="18"/>
        <v>339627</v>
      </c>
      <c r="F18" s="66">
        <f t="shared" si="18"/>
        <v>124470</v>
      </c>
      <c r="G18" s="66">
        <f t="shared" si="18"/>
        <v>170547</v>
      </c>
      <c r="H18" s="66">
        <f t="shared" si="18"/>
        <v>295017</v>
      </c>
      <c r="I18" s="66">
        <f t="shared" si="18"/>
        <v>60309</v>
      </c>
      <c r="J18" s="66">
        <f t="shared" si="18"/>
        <v>-46926</v>
      </c>
      <c r="K18" s="66">
        <f t="shared" si="18"/>
        <v>13383</v>
      </c>
      <c r="L18" s="66">
        <f t="shared" si="18"/>
        <v>1341</v>
      </c>
      <c r="M18" s="66">
        <f t="shared" si="18"/>
        <v>14724</v>
      </c>
      <c r="N18" s="66">
        <f t="shared" si="18"/>
        <v>1341</v>
      </c>
      <c r="O18" s="66">
        <f t="shared" si="18"/>
        <v>1341</v>
      </c>
      <c r="P18" s="66">
        <f t="shared" si="18"/>
        <v>1341</v>
      </c>
      <c r="Q18" s="93">
        <f t="shared" si="18"/>
        <v>4023</v>
      </c>
      <c r="R18" s="66">
        <f t="shared" si="18"/>
        <v>10701</v>
      </c>
      <c r="S18" s="111"/>
    </row>
    <row r="19" spans="1:19">
      <c r="A19" s="67"/>
      <c r="B19" s="68"/>
      <c r="C19" s="68"/>
      <c r="D19" s="68"/>
      <c r="E19" s="19"/>
      <c r="F19" s="19"/>
      <c r="G19" s="19"/>
      <c r="H19" s="19"/>
      <c r="I19" s="19"/>
      <c r="J19" s="19"/>
      <c r="K19" s="19"/>
      <c r="L19" s="19"/>
      <c r="M19" s="19"/>
      <c r="N19" s="19"/>
      <c r="O19" s="19"/>
      <c r="P19" s="19"/>
      <c r="Q19" s="19"/>
      <c r="R19" s="19"/>
      <c r="S19" s="69"/>
    </row>
    <row r="20" spans="1:19" ht="17.25">
      <c r="A20" s="70"/>
      <c r="B20" s="19"/>
      <c r="C20" s="71" t="s">
        <v>49</v>
      </c>
      <c r="D20" s="72">
        <f>IF(AND(Q3=""),"",IF(AND(AE6=""),"",AE6))</f>
        <v>42370</v>
      </c>
      <c r="E20" s="72"/>
      <c r="F20" s="73" t="s">
        <v>50</v>
      </c>
      <c r="G20" s="73"/>
      <c r="H20" s="73"/>
      <c r="I20" s="73"/>
      <c r="J20" s="73"/>
      <c r="K20" s="73"/>
      <c r="L20" s="74">
        <f>IF(AND(Q3=""),"",IF(AND(Z4=AD2),R18,O18))</f>
        <v>10701</v>
      </c>
      <c r="M20" s="74"/>
      <c r="N20" s="75" t="str">
        <f>IF(AND(Q3=""),"",IF(AND(Z4=AD2),"dk udn Hkqxrku fd;k x;k A","jkf'k thih,Q esa tek A"))</f>
        <v>dk udn Hkqxrku fd;k x;k A</v>
      </c>
      <c r="O20" s="75"/>
      <c r="P20" s="75"/>
      <c r="Q20" s="75"/>
      <c r="R20" s="19"/>
      <c r="S20" s="69"/>
    </row>
    <row r="21" spans="1:19">
      <c r="A21" s="70"/>
      <c r="B21" s="19"/>
      <c r="C21" s="19"/>
      <c r="D21" s="19"/>
      <c r="E21" s="19"/>
      <c r="F21" s="19"/>
      <c r="G21" s="19"/>
      <c r="H21" s="19"/>
      <c r="I21" s="19"/>
      <c r="J21" s="19"/>
      <c r="K21" s="19"/>
      <c r="L21" s="19"/>
      <c r="M21" s="19"/>
      <c r="N21" s="19"/>
      <c r="O21" s="19"/>
      <c r="P21" s="19"/>
      <c r="Q21" s="19"/>
      <c r="R21" s="19"/>
      <c r="S21" s="69"/>
    </row>
    <row r="22" spans="1:19" ht="18.75">
      <c r="A22" s="70"/>
      <c r="B22" s="19"/>
      <c r="C22" s="19"/>
      <c r="D22" s="76"/>
      <c r="E22" s="76"/>
      <c r="F22" s="76"/>
      <c r="G22" s="76"/>
      <c r="H22" s="76"/>
      <c r="I22" s="19"/>
      <c r="J22" s="19"/>
      <c r="K22" s="77" t="s">
        <v>51</v>
      </c>
      <c r="L22" s="77"/>
      <c r="M22" s="77"/>
      <c r="N22" s="77"/>
      <c r="O22" s="94">
        <f>IF(AND(Q3=""),"",M18)</f>
        <v>14724</v>
      </c>
      <c r="P22" s="94"/>
      <c r="Q22" s="78" t="s">
        <v>52</v>
      </c>
      <c r="R22" s="78"/>
      <c r="S22" s="79"/>
    </row>
    <row r="23" spans="1:19" ht="15.75">
      <c r="A23" s="80" t="str">
        <f>IF(AND($S$4=""),"",IF(AND(G3=""),"",IF(AND(E6=""),"",E6)))</f>
        <v/>
      </c>
      <c r="B23" s="81"/>
      <c r="C23" s="81"/>
      <c r="D23" s="81"/>
      <c r="E23" s="81"/>
      <c r="F23" s="81"/>
      <c r="G23" s="81"/>
      <c r="H23" s="81"/>
      <c r="I23" s="81"/>
      <c r="J23" s="81"/>
      <c r="K23" s="77" t="str">
        <f>IF(AND(Q3=""),"",IF(AND(Z4=AD2),",u-ih-,l- dVkSrh","jkf'k thih,Q esa tek A"))</f>
        <v>,u-ih-,l- dVkSrh</v>
      </c>
      <c r="L23" s="77"/>
      <c r="M23" s="77"/>
      <c r="N23" s="77"/>
      <c r="O23" s="94">
        <f>IF(AND(Q3=""),"",L20)</f>
        <v>10701</v>
      </c>
      <c r="P23" s="94"/>
      <c r="Q23" s="82" t="str">
        <f>IF(AND(Q3=""),"",AG15)</f>
        <v>( Rs.   TEN  THOUSAND  SEVEN  HUNDRED  ONE  Only)</v>
      </c>
      <c r="R23" s="82"/>
      <c r="S23" s="83"/>
    </row>
    <row r="24" spans="1:19" ht="15.75">
      <c r="A24" s="84"/>
      <c r="B24" s="85"/>
      <c r="C24" s="86"/>
      <c r="D24" s="86"/>
      <c r="E24" s="86"/>
      <c r="F24" s="86"/>
      <c r="G24" s="86"/>
      <c r="H24" s="86"/>
      <c r="I24" s="87"/>
      <c r="J24" s="87"/>
      <c r="K24" s="77" t="s">
        <v>53</v>
      </c>
      <c r="L24" s="77"/>
      <c r="M24" s="77"/>
      <c r="N24" s="77"/>
      <c r="O24" s="94">
        <f>IF(AND(Q3=""),"",P18)</f>
        <v>1341</v>
      </c>
      <c r="P24" s="94"/>
      <c r="Q24" s="82"/>
      <c r="R24" s="82"/>
      <c r="S24" s="83"/>
    </row>
    <row r="25" spans="1:19" ht="16.5" thickBot="1">
      <c r="A25" s="102"/>
      <c r="B25" s="103"/>
      <c r="C25" s="104"/>
      <c r="D25" s="104"/>
      <c r="E25" s="104"/>
      <c r="F25" s="104"/>
      <c r="G25" s="104"/>
      <c r="H25" s="104"/>
      <c r="I25" s="105"/>
      <c r="J25" s="105"/>
      <c r="K25" s="106" t="s">
        <v>54</v>
      </c>
      <c r="L25" s="106"/>
      <c r="M25" s="106"/>
      <c r="N25" s="106"/>
      <c r="O25" s="107">
        <f>IF(AND(Z4=AD2),SUM(O22-O23-O24),0)</f>
        <v>2682</v>
      </c>
      <c r="P25" s="107"/>
      <c r="Q25" s="108" t="str">
        <f>IF(AND(Q3=""),"",IF(AND(Z4=AD2),"dk udn Hkqxrku fd;k x;k","jkf'k thih,Q esa tek"))</f>
        <v>dk udn Hkqxrku fd;k x;k</v>
      </c>
      <c r="R25" s="108"/>
      <c r="S25" s="109"/>
    </row>
    <row r="26" spans="1:19" ht="18.75">
      <c r="A26" s="85"/>
      <c r="B26" s="85"/>
      <c r="C26" s="86"/>
      <c r="D26" s="86"/>
      <c r="E26" s="86"/>
      <c r="F26" s="86"/>
      <c r="G26" s="86"/>
      <c r="H26" s="86"/>
      <c r="I26" s="87"/>
      <c r="J26" s="87"/>
      <c r="K26" s="87"/>
      <c r="L26" s="88"/>
      <c r="M26" s="88"/>
      <c r="N26" s="19"/>
      <c r="O26" s="19"/>
      <c r="P26" s="89"/>
      <c r="Q26" s="89"/>
      <c r="R26" s="89"/>
      <c r="S26" s="89"/>
    </row>
    <row r="27" spans="1:19" ht="18.75">
      <c r="A27" s="85"/>
      <c r="B27" s="85"/>
      <c r="C27" s="90"/>
      <c r="D27" s="90"/>
      <c r="E27" s="90"/>
      <c r="F27" s="90"/>
      <c r="G27" s="90"/>
      <c r="H27" s="90"/>
      <c r="I27" s="87"/>
      <c r="J27" s="87"/>
      <c r="K27" s="87"/>
      <c r="L27" s="88"/>
      <c r="M27" s="88"/>
      <c r="N27" s="19"/>
      <c r="O27" s="19"/>
      <c r="P27" s="89"/>
      <c r="Q27" s="89"/>
      <c r="R27" s="89"/>
      <c r="S27" s="89"/>
    </row>
    <row r="28" spans="1:19" ht="18.75">
      <c r="A28" s="85"/>
      <c r="B28" s="85"/>
      <c r="C28" s="90"/>
      <c r="D28" s="90"/>
      <c r="E28" s="90"/>
      <c r="F28" s="90"/>
      <c r="G28" s="90"/>
      <c r="H28" s="90"/>
      <c r="I28" s="87"/>
      <c r="J28" s="87"/>
      <c r="K28" s="87"/>
      <c r="L28" s="88"/>
      <c r="M28" s="88"/>
      <c r="N28" s="19"/>
      <c r="O28" s="19"/>
      <c r="P28" s="89"/>
      <c r="Q28" s="112" t="str">
        <f>CONCATENATE("(  ",Master!C4," )")</f>
        <v>(  BHAGIRATH BAJROLIYA )</v>
      </c>
      <c r="R28" s="112"/>
      <c r="S28" s="112"/>
    </row>
    <row r="29" spans="1:19" ht="15.75">
      <c r="A29" s="19"/>
      <c r="B29" s="19"/>
      <c r="C29" s="19"/>
      <c r="D29" s="19"/>
      <c r="E29" s="19"/>
      <c r="F29" s="19"/>
      <c r="G29" s="19"/>
      <c r="H29" s="19"/>
      <c r="I29" s="19"/>
      <c r="J29" s="19"/>
      <c r="K29" s="19"/>
      <c r="L29" s="19"/>
      <c r="M29" s="19"/>
      <c r="N29" s="19"/>
      <c r="O29" s="19"/>
      <c r="P29" s="19"/>
      <c r="Q29" s="91" t="s">
        <v>55</v>
      </c>
      <c r="R29" s="91"/>
      <c r="S29" s="91"/>
    </row>
    <row r="30" spans="1:19" ht="15.75">
      <c r="A30" s="19"/>
      <c r="B30" s="19"/>
      <c r="C30" s="19"/>
      <c r="D30" s="19"/>
      <c r="E30" s="19"/>
      <c r="F30" s="19"/>
      <c r="G30" s="19"/>
      <c r="H30" s="19"/>
      <c r="I30" s="19"/>
      <c r="J30" s="19"/>
      <c r="K30" s="19"/>
      <c r="L30" s="19"/>
      <c r="M30" s="19"/>
      <c r="N30" s="19"/>
      <c r="O30" s="19"/>
      <c r="P30" s="19"/>
      <c r="Q30" s="91" t="s">
        <v>56</v>
      </c>
      <c r="R30" s="91"/>
      <c r="S30" s="91"/>
    </row>
  </sheetData>
  <sheetProtection password="C1FB" sheet="1" objects="1" scenarios="1" formatCells="0" formatColumns="0" formatRows="0"/>
  <mergeCells count="49">
    <mergeCell ref="Q28:S28"/>
    <mergeCell ref="Q29:S29"/>
    <mergeCell ref="Q30:S30"/>
    <mergeCell ref="U6:U7"/>
    <mergeCell ref="C25:H25"/>
    <mergeCell ref="K25:N25"/>
    <mergeCell ref="O25:P25"/>
    <mergeCell ref="Q25:S25"/>
    <mergeCell ref="C26:H26"/>
    <mergeCell ref="D22:H22"/>
    <mergeCell ref="K22:N22"/>
    <mergeCell ref="O22:P22"/>
    <mergeCell ref="Q22:S22"/>
    <mergeCell ref="A23:J23"/>
    <mergeCell ref="K23:N23"/>
    <mergeCell ref="O23:P23"/>
    <mergeCell ref="Q23:S24"/>
    <mergeCell ref="C24:H24"/>
    <mergeCell ref="K24:N24"/>
    <mergeCell ref="O24:P24"/>
    <mergeCell ref="F20:K20"/>
    <mergeCell ref="D20:E20"/>
    <mergeCell ref="N20:Q20"/>
    <mergeCell ref="L20:M20"/>
    <mergeCell ref="B1:Q1"/>
    <mergeCell ref="B2:Q2"/>
    <mergeCell ref="C3:E3"/>
    <mergeCell ref="S7:S8"/>
    <mergeCell ref="M7:M8"/>
    <mergeCell ref="N7:N8"/>
    <mergeCell ref="O7:O8"/>
    <mergeCell ref="P7:P8"/>
    <mergeCell ref="Q7:Q8"/>
    <mergeCell ref="R7:R8"/>
    <mergeCell ref="C5:P5"/>
    <mergeCell ref="E6:M6"/>
    <mergeCell ref="F3:H3"/>
    <mergeCell ref="I3:J3"/>
    <mergeCell ref="K3:N3"/>
    <mergeCell ref="O3:P3"/>
    <mergeCell ref="B4:Q4"/>
    <mergeCell ref="A19:D19"/>
    <mergeCell ref="A18:B18"/>
    <mergeCell ref="A7:A8"/>
    <mergeCell ref="B7:B8"/>
    <mergeCell ref="L7:L8"/>
    <mergeCell ref="C7:E7"/>
    <mergeCell ref="F7:H7"/>
    <mergeCell ref="I7:K7"/>
  </mergeCells>
  <dataValidations count="1">
    <dataValidation type="list" allowBlank="1" showInputMessage="1" showErrorMessage="1" sqref="E6:M6">
      <formula1>$X$1:$X$4</formula1>
    </dataValidation>
  </dataValidations>
  <pageMargins left="0.9" right="0.7" top="0.75" bottom="0.75" header="0.3" footer="0.3"/>
  <pageSetup paperSize="9" scale="80" orientation="landscape" verticalDpi="300" r:id="rId1"/>
  <drawing r:id="rId2"/>
  <legacyDrawing r:id="rId3"/>
</worksheet>
</file>

<file path=xl/worksheets/sheet3.xml><?xml version="1.0" encoding="utf-8"?>
<worksheet xmlns="http://schemas.openxmlformats.org/spreadsheetml/2006/main" xmlns:r="http://schemas.openxmlformats.org/officeDocument/2006/relationships">
  <dimension ref="A1:T30"/>
  <sheetViews>
    <sheetView workbookViewId="0">
      <selection activeCell="U13" sqref="U13"/>
    </sheetView>
  </sheetViews>
  <sheetFormatPr defaultRowHeight="15"/>
  <cols>
    <col min="1" max="1" width="4.7109375" style="14" customWidth="1"/>
    <col min="2" max="2" width="9.140625" style="14"/>
    <col min="3" max="3" width="8.7109375" style="14" customWidth="1"/>
    <col min="4" max="4" width="7.7109375" style="14" customWidth="1"/>
    <col min="5" max="6" width="8.42578125" style="14" customWidth="1"/>
    <col min="7" max="7" width="8.28515625" style="14" customWidth="1"/>
    <col min="8" max="8" width="9.140625" style="14"/>
    <col min="9" max="9" width="8.42578125" style="14" customWidth="1"/>
    <col min="10" max="10" width="9.140625" style="14"/>
    <col min="11" max="11" width="6.85546875" style="14" customWidth="1"/>
    <col min="12" max="12" width="6.28515625" style="14" customWidth="1"/>
    <col min="13" max="13" width="8" style="14" customWidth="1"/>
    <col min="14" max="14" width="7.140625" style="14" customWidth="1"/>
    <col min="15" max="15" width="7.85546875" style="14" customWidth="1"/>
    <col min="16" max="16" width="8.28515625" style="14" customWidth="1"/>
    <col min="17" max="17" width="9.7109375" style="14" customWidth="1"/>
    <col min="18" max="18" width="9.5703125" style="14" customWidth="1"/>
    <col min="19" max="19" width="12.28515625" style="14" customWidth="1"/>
    <col min="20" max="20" width="9.140625" style="14"/>
  </cols>
  <sheetData>
    <row r="1" spans="1:20" ht="21" customHeight="1">
      <c r="A1" s="19"/>
      <c r="B1" s="41" t="s">
        <v>41</v>
      </c>
      <c r="C1" s="41"/>
      <c r="D1" s="41"/>
      <c r="E1" s="41"/>
      <c r="F1" s="41"/>
      <c r="G1" s="41"/>
      <c r="H1" s="41"/>
      <c r="I1" s="41"/>
      <c r="J1" s="41"/>
      <c r="K1" s="41"/>
      <c r="L1" s="41"/>
      <c r="M1" s="41"/>
      <c r="N1" s="41"/>
      <c r="O1" s="41"/>
      <c r="P1" s="41"/>
      <c r="Q1" s="41"/>
      <c r="R1" s="42"/>
      <c r="S1" s="44"/>
    </row>
    <row r="2" spans="1:20" ht="21" customHeight="1">
      <c r="A2" s="19"/>
      <c r="B2" s="113" t="str">
        <f>CONCATENATE("OFFICE OF ",Master!H4," , ",Master!C3)</f>
        <v>OFFICE OF PRINCIPAL , GOVT SENIOR SECONDARY SCHOOL(PEEO)GOWATI</v>
      </c>
      <c r="C2" s="113"/>
      <c r="D2" s="113"/>
      <c r="E2" s="113"/>
      <c r="F2" s="113"/>
      <c r="G2" s="113"/>
      <c r="H2" s="113"/>
      <c r="I2" s="113"/>
      <c r="J2" s="113"/>
      <c r="K2" s="113"/>
      <c r="L2" s="113"/>
      <c r="M2" s="113"/>
      <c r="N2" s="113"/>
      <c r="O2" s="113"/>
      <c r="P2" s="113"/>
      <c r="Q2" s="113"/>
      <c r="R2" s="42"/>
      <c r="S2" s="45"/>
    </row>
    <row r="3" spans="1:20" ht="21" customHeight="1">
      <c r="A3" s="19"/>
      <c r="B3" s="15"/>
      <c r="C3" s="39" t="s">
        <v>42</v>
      </c>
      <c r="D3" s="39"/>
      <c r="E3" s="39"/>
      <c r="F3" s="96" t="str">
        <f>IF(AND('PriPay Panager Sheet'!F3=""),"",'PriPay Panager Sheet'!F3)</f>
        <v>Mandeep Singh Bhular</v>
      </c>
      <c r="G3" s="96"/>
      <c r="H3" s="96"/>
      <c r="I3" s="39" t="s">
        <v>23</v>
      </c>
      <c r="J3" s="39"/>
      <c r="K3" s="96" t="str">
        <f>IF(AND('PriPay Panager Sheet'!K3=""),"",'PriPay Panager Sheet'!K3)</f>
        <v>TEACHER</v>
      </c>
      <c r="L3" s="96"/>
      <c r="M3" s="96"/>
      <c r="N3" s="96"/>
      <c r="O3" s="40" t="s">
        <v>43</v>
      </c>
      <c r="P3" s="40"/>
      <c r="Q3" s="16">
        <f>IF(AND('PriPay Panager Sheet'!Q3=""),"",'PriPay Panager Sheet'!Q3)</f>
        <v>3</v>
      </c>
      <c r="R3" s="42"/>
      <c r="S3" s="45"/>
    </row>
    <row r="4" spans="1:20" ht="21" customHeight="1">
      <c r="A4" s="19"/>
      <c r="B4" s="35" t="s">
        <v>48</v>
      </c>
      <c r="C4" s="35"/>
      <c r="D4" s="35"/>
      <c r="E4" s="35"/>
      <c r="F4" s="35"/>
      <c r="G4" s="35"/>
      <c r="H4" s="35"/>
      <c r="I4" s="35"/>
      <c r="J4" s="35"/>
      <c r="K4" s="35"/>
      <c r="L4" s="35"/>
      <c r="M4" s="35"/>
      <c r="N4" s="35"/>
      <c r="O4" s="35"/>
      <c r="P4" s="35"/>
      <c r="Q4" s="35"/>
      <c r="R4" s="42"/>
      <c r="S4" s="45"/>
    </row>
    <row r="5" spans="1:20" ht="12" customHeight="1">
      <c r="A5" s="19"/>
      <c r="B5" s="17"/>
      <c r="C5" s="36"/>
      <c r="D5" s="36"/>
      <c r="E5" s="36"/>
      <c r="F5" s="36"/>
      <c r="G5" s="36"/>
      <c r="H5" s="36"/>
      <c r="I5" s="36"/>
      <c r="J5" s="36"/>
      <c r="K5" s="36"/>
      <c r="L5" s="36"/>
      <c r="M5" s="36"/>
      <c r="N5" s="36"/>
      <c r="O5" s="36"/>
      <c r="P5" s="36"/>
      <c r="Q5" s="17"/>
      <c r="R5" s="19"/>
      <c r="S5" s="45"/>
    </row>
    <row r="6" spans="1:20" ht="21" customHeight="1" thickBot="1">
      <c r="A6" s="97"/>
      <c r="B6" s="18"/>
      <c r="C6" s="18"/>
      <c r="D6" s="18"/>
      <c r="E6" s="43" t="str">
        <f>IF(AND('PriPay Panager Sheet'!E6=""),"",'PriPay Panager Sheet'!E6)</f>
        <v>Second installment of Arrear on 01-07-2018 (30% Amount)</v>
      </c>
      <c r="F6" s="43"/>
      <c r="G6" s="43"/>
      <c r="H6" s="43"/>
      <c r="I6" s="43"/>
      <c r="J6" s="43"/>
      <c r="K6" s="43"/>
      <c r="L6" s="43"/>
      <c r="M6" s="43"/>
      <c r="N6" s="18"/>
      <c r="O6" s="18"/>
      <c r="P6" s="18"/>
      <c r="Q6" s="19"/>
      <c r="R6" s="19"/>
      <c r="S6" s="45"/>
      <c r="T6" s="19"/>
    </row>
    <row r="7" spans="1:20">
      <c r="A7" s="48" t="s">
        <v>0</v>
      </c>
      <c r="B7" s="49" t="s">
        <v>1</v>
      </c>
      <c r="C7" s="50" t="s">
        <v>2</v>
      </c>
      <c r="D7" s="50"/>
      <c r="E7" s="50"/>
      <c r="F7" s="50" t="s">
        <v>3</v>
      </c>
      <c r="G7" s="50"/>
      <c r="H7" s="50"/>
      <c r="I7" s="50" t="s">
        <v>4</v>
      </c>
      <c r="J7" s="50"/>
      <c r="K7" s="50"/>
      <c r="L7" s="100" t="s">
        <v>15</v>
      </c>
      <c r="M7" s="100" t="s">
        <v>11</v>
      </c>
      <c r="N7" s="100" t="s">
        <v>15</v>
      </c>
      <c r="O7" s="51" t="str">
        <f>IF(AND('PriPay Panager Sheet'!O7=""),"",'PriPay Panager Sheet'!O7)</f>
        <v>NPS  30%</v>
      </c>
      <c r="P7" s="100" t="s">
        <v>5</v>
      </c>
      <c r="Q7" s="101" t="s">
        <v>6</v>
      </c>
      <c r="R7" s="101" t="s">
        <v>7</v>
      </c>
      <c r="S7" s="52" t="s">
        <v>8</v>
      </c>
    </row>
    <row r="8" spans="1:20" ht="27" customHeight="1">
      <c r="A8" s="53"/>
      <c r="B8" s="54"/>
      <c r="C8" s="55" t="s">
        <v>9</v>
      </c>
      <c r="D8" s="56" t="s">
        <v>10</v>
      </c>
      <c r="E8" s="56" t="s">
        <v>11</v>
      </c>
      <c r="F8" s="56" t="s">
        <v>9</v>
      </c>
      <c r="G8" s="56" t="s">
        <v>10</v>
      </c>
      <c r="H8" s="56" t="s">
        <v>11</v>
      </c>
      <c r="I8" s="56" t="s">
        <v>12</v>
      </c>
      <c r="J8" s="56" t="s">
        <v>13</v>
      </c>
      <c r="K8" s="56" t="s">
        <v>14</v>
      </c>
      <c r="L8" s="98"/>
      <c r="M8" s="98"/>
      <c r="N8" s="98"/>
      <c r="O8" s="57"/>
      <c r="P8" s="98"/>
      <c r="Q8" s="99"/>
      <c r="R8" s="99"/>
      <c r="S8" s="58"/>
    </row>
    <row r="9" spans="1:20" ht="21" customHeight="1">
      <c r="A9" s="59">
        <v>1</v>
      </c>
      <c r="B9" s="60">
        <v>42742</v>
      </c>
      <c r="C9" s="110">
        <f>IF(AND('PriPay Panager Sheet'!C9=""),"",'PriPay Panager Sheet'!C9)</f>
        <v>35800</v>
      </c>
      <c r="D9" s="110">
        <f>IF(AND('PriPay Panager Sheet'!D9=""),"",'PriPay Panager Sheet'!D9)</f>
        <v>1432</v>
      </c>
      <c r="E9" s="110">
        <f>IF(AND('PriPay Panager Sheet'!E9=""),"",'PriPay Panager Sheet'!E9)</f>
        <v>37232</v>
      </c>
      <c r="F9" s="110">
        <f>IF(AND('PriPay Panager Sheet'!F9=""),"",'PriPay Panager Sheet'!F9)</f>
        <v>13690</v>
      </c>
      <c r="G9" s="110">
        <f>IF(AND('PriPay Panager Sheet'!G9=""),"",'PriPay Panager Sheet'!G9)</f>
        <v>18618</v>
      </c>
      <c r="H9" s="110">
        <f>IF(AND('PriPay Panager Sheet'!H9=""),"",'PriPay Panager Sheet'!H9)</f>
        <v>32308</v>
      </c>
      <c r="I9" s="110">
        <f>IF(AND('PriPay Panager Sheet'!I9=""),"",'PriPay Panager Sheet'!I9)</f>
        <v>6633</v>
      </c>
      <c r="J9" s="110">
        <f>IF(AND('PriPay Panager Sheet'!J9=""),"",'PriPay Panager Sheet'!J9)</f>
        <v>-5156</v>
      </c>
      <c r="K9" s="110">
        <f>IF(AND('PriPay Panager Sheet'!K9=""),"",'PriPay Panager Sheet'!K9)</f>
        <v>1477</v>
      </c>
      <c r="L9" s="110">
        <f>IF(AND('PriPay Panager Sheet'!L9=""),"",'PriPay Panager Sheet'!L9)</f>
        <v>148</v>
      </c>
      <c r="M9" s="110">
        <f>IF(AND('PriPay Panager Sheet'!M9=""),"",'PriPay Panager Sheet'!M9)</f>
        <v>1625</v>
      </c>
      <c r="N9" s="110">
        <f>IF(AND('PriPay Panager Sheet'!N9=""),"",'PriPay Panager Sheet'!N9)</f>
        <v>148</v>
      </c>
      <c r="O9" s="110">
        <f>IF(AND('PriPay Panager Sheet'!O9=""),"",'PriPay Panager Sheet'!O9)</f>
        <v>148</v>
      </c>
      <c r="P9" s="110">
        <f>IF(AND('PriPay Panager Sheet'!P9=""),"",'PriPay Panager Sheet'!P9)</f>
        <v>148</v>
      </c>
      <c r="Q9" s="110">
        <f>IF(AND('PriPay Panager Sheet'!Q9=""),"",'PriPay Panager Sheet'!Q9)</f>
        <v>444</v>
      </c>
      <c r="R9" s="110">
        <f>IF(AND('PriPay Panager Sheet'!R9=""),"",'PriPay Panager Sheet'!R9)</f>
        <v>1181</v>
      </c>
      <c r="S9" s="118" t="str">
        <f>IF(AND('PriPay Panager Sheet'!S9=""),"",'PriPay Panager Sheet'!S9)</f>
        <v/>
      </c>
    </row>
    <row r="10" spans="1:20" ht="21" customHeight="1">
      <c r="A10" s="59">
        <v>2</v>
      </c>
      <c r="B10" s="60">
        <v>42773</v>
      </c>
      <c r="C10" s="110">
        <f>IF(AND('PriPay Panager Sheet'!C10=""),"",'PriPay Panager Sheet'!C10)</f>
        <v>35800</v>
      </c>
      <c r="D10" s="110">
        <f>IF(AND('PriPay Panager Sheet'!D10=""),"",'PriPay Panager Sheet'!D10)</f>
        <v>1432</v>
      </c>
      <c r="E10" s="110">
        <f>IF(AND('PriPay Panager Sheet'!E10=""),"",'PriPay Panager Sheet'!E10)</f>
        <v>37232</v>
      </c>
      <c r="F10" s="110">
        <f>IF(AND('PriPay Panager Sheet'!F10=""),"",'PriPay Panager Sheet'!F10)</f>
        <v>13690</v>
      </c>
      <c r="G10" s="110">
        <f>IF(AND('PriPay Panager Sheet'!G10=""),"",'PriPay Panager Sheet'!G10)</f>
        <v>18618</v>
      </c>
      <c r="H10" s="110">
        <f>IF(AND('PriPay Panager Sheet'!H10=""),"",'PriPay Panager Sheet'!H10)</f>
        <v>32308</v>
      </c>
      <c r="I10" s="110">
        <f>IF(AND('PriPay Panager Sheet'!I10=""),"",'PriPay Panager Sheet'!I10)</f>
        <v>6633</v>
      </c>
      <c r="J10" s="110">
        <f>IF(AND('PriPay Panager Sheet'!J10=""),"",'PriPay Panager Sheet'!J10)</f>
        <v>-5156</v>
      </c>
      <c r="K10" s="110">
        <f>IF(AND('PriPay Panager Sheet'!K10=""),"",'PriPay Panager Sheet'!K10)</f>
        <v>1477</v>
      </c>
      <c r="L10" s="110">
        <f>IF(AND('PriPay Panager Sheet'!L10=""),"",'PriPay Panager Sheet'!L10)</f>
        <v>148</v>
      </c>
      <c r="M10" s="110">
        <f>IF(AND('PriPay Panager Sheet'!M10=""),"",'PriPay Panager Sheet'!M10)</f>
        <v>1625</v>
      </c>
      <c r="N10" s="110">
        <f>IF(AND('PriPay Panager Sheet'!N10=""),"",'PriPay Panager Sheet'!N10)</f>
        <v>148</v>
      </c>
      <c r="O10" s="110">
        <f>IF(AND('PriPay Panager Sheet'!O10=""),"",'PriPay Panager Sheet'!O10)</f>
        <v>148</v>
      </c>
      <c r="P10" s="110">
        <f>IF(AND('PriPay Panager Sheet'!P10=""),"",'PriPay Panager Sheet'!P10)</f>
        <v>148</v>
      </c>
      <c r="Q10" s="110">
        <f>IF(AND('PriPay Panager Sheet'!Q10=""),"",'PriPay Panager Sheet'!Q10)</f>
        <v>444</v>
      </c>
      <c r="R10" s="110">
        <f>IF(AND('PriPay Panager Sheet'!R10=""),"",'PriPay Panager Sheet'!R10)</f>
        <v>1181</v>
      </c>
      <c r="S10" s="118" t="str">
        <f>IF(AND('PriPay Panager Sheet'!S10=""),"",'PriPay Panager Sheet'!S10)</f>
        <v/>
      </c>
    </row>
    <row r="11" spans="1:20" ht="21" customHeight="1">
      <c r="A11" s="59">
        <v>3</v>
      </c>
      <c r="B11" s="60">
        <v>42801</v>
      </c>
      <c r="C11" s="110">
        <f>IF(AND('PriPay Panager Sheet'!C11=""),"",'PriPay Panager Sheet'!C11)</f>
        <v>35800</v>
      </c>
      <c r="D11" s="110">
        <f>IF(AND('PriPay Panager Sheet'!D11=""),"",'PriPay Panager Sheet'!D11)</f>
        <v>1432</v>
      </c>
      <c r="E11" s="110">
        <f>IF(AND('PriPay Panager Sheet'!E11=""),"",'PriPay Panager Sheet'!E11)</f>
        <v>37232</v>
      </c>
      <c r="F11" s="110">
        <f>IF(AND('PriPay Panager Sheet'!F11=""),"",'PriPay Panager Sheet'!F11)</f>
        <v>13690</v>
      </c>
      <c r="G11" s="110">
        <f>IF(AND('PriPay Panager Sheet'!G11=""),"",'PriPay Panager Sheet'!G11)</f>
        <v>18618</v>
      </c>
      <c r="H11" s="110">
        <f>IF(AND('PriPay Panager Sheet'!H11=""),"",'PriPay Panager Sheet'!H11)</f>
        <v>32308</v>
      </c>
      <c r="I11" s="110">
        <f>IF(AND('PriPay Panager Sheet'!I11=""),"",'PriPay Panager Sheet'!I11)</f>
        <v>6633</v>
      </c>
      <c r="J11" s="110">
        <f>IF(AND('PriPay Panager Sheet'!J11=""),"",'PriPay Panager Sheet'!J11)</f>
        <v>-5156</v>
      </c>
      <c r="K11" s="110">
        <f>IF(AND('PriPay Panager Sheet'!K11=""),"",'PriPay Panager Sheet'!K11)</f>
        <v>1477</v>
      </c>
      <c r="L11" s="110">
        <f>IF(AND('PriPay Panager Sheet'!L11=""),"",'PriPay Panager Sheet'!L11)</f>
        <v>148</v>
      </c>
      <c r="M11" s="110">
        <f>IF(AND('PriPay Panager Sheet'!M11=""),"",'PriPay Panager Sheet'!M11)</f>
        <v>1625</v>
      </c>
      <c r="N11" s="110">
        <f>IF(AND('PriPay Panager Sheet'!N11=""),"",'PriPay Panager Sheet'!N11)</f>
        <v>148</v>
      </c>
      <c r="O11" s="110">
        <f>IF(AND('PriPay Panager Sheet'!O11=""),"",'PriPay Panager Sheet'!O11)</f>
        <v>148</v>
      </c>
      <c r="P11" s="110">
        <f>IF(AND('PriPay Panager Sheet'!P11=""),"",'PriPay Panager Sheet'!P11)</f>
        <v>148</v>
      </c>
      <c r="Q11" s="110">
        <f>IF(AND('PriPay Panager Sheet'!Q11=""),"",'PriPay Panager Sheet'!Q11)</f>
        <v>444</v>
      </c>
      <c r="R11" s="110">
        <f>IF(AND('PriPay Panager Sheet'!R11=""),"",'PriPay Panager Sheet'!R11)</f>
        <v>1181</v>
      </c>
      <c r="S11" s="118" t="str">
        <f>IF(AND('PriPay Panager Sheet'!S11=""),"",'PriPay Panager Sheet'!S11)</f>
        <v/>
      </c>
    </row>
    <row r="12" spans="1:20" ht="21" customHeight="1">
      <c r="A12" s="59">
        <v>4</v>
      </c>
      <c r="B12" s="60">
        <v>42832</v>
      </c>
      <c r="C12" s="110">
        <f>IF(AND('PriPay Panager Sheet'!C12=""),"",'PriPay Panager Sheet'!C12)</f>
        <v>35800</v>
      </c>
      <c r="D12" s="110">
        <f>IF(AND('PriPay Panager Sheet'!D12=""),"",'PriPay Panager Sheet'!D12)</f>
        <v>1432</v>
      </c>
      <c r="E12" s="110">
        <f>IF(AND('PriPay Panager Sheet'!E12=""),"",'PriPay Panager Sheet'!E12)</f>
        <v>37232</v>
      </c>
      <c r="F12" s="110">
        <f>IF(AND('PriPay Panager Sheet'!F12=""),"",'PriPay Panager Sheet'!F12)</f>
        <v>13690</v>
      </c>
      <c r="G12" s="110">
        <f>IF(AND('PriPay Panager Sheet'!G12=""),"",'PriPay Panager Sheet'!G12)</f>
        <v>18618</v>
      </c>
      <c r="H12" s="110">
        <f>IF(AND('PriPay Panager Sheet'!H12=""),"",'PriPay Panager Sheet'!H12)</f>
        <v>32308</v>
      </c>
      <c r="I12" s="110">
        <f>IF(AND('PriPay Panager Sheet'!I12=""),"",'PriPay Panager Sheet'!I12)</f>
        <v>6633</v>
      </c>
      <c r="J12" s="110">
        <f>IF(AND('PriPay Panager Sheet'!J12=""),"",'PriPay Panager Sheet'!J12)</f>
        <v>-5156</v>
      </c>
      <c r="K12" s="110">
        <f>IF(AND('PriPay Panager Sheet'!K12=""),"",'PriPay Panager Sheet'!K12)</f>
        <v>1477</v>
      </c>
      <c r="L12" s="110">
        <f>IF(AND('PriPay Panager Sheet'!L12=""),"",'PriPay Panager Sheet'!L12)</f>
        <v>148</v>
      </c>
      <c r="M12" s="110">
        <f>IF(AND('PriPay Panager Sheet'!M12=""),"",'PriPay Panager Sheet'!M12)</f>
        <v>1625</v>
      </c>
      <c r="N12" s="110">
        <f>IF(AND('PriPay Panager Sheet'!N12=""),"",'PriPay Panager Sheet'!N12)</f>
        <v>148</v>
      </c>
      <c r="O12" s="110">
        <f>IF(AND('PriPay Panager Sheet'!O12=""),"",'PriPay Panager Sheet'!O12)</f>
        <v>148</v>
      </c>
      <c r="P12" s="110">
        <f>IF(AND('PriPay Panager Sheet'!P12=""),"",'PriPay Panager Sheet'!P12)</f>
        <v>148</v>
      </c>
      <c r="Q12" s="110">
        <f>IF(AND('PriPay Panager Sheet'!Q12=""),"",'PriPay Panager Sheet'!Q12)</f>
        <v>444</v>
      </c>
      <c r="R12" s="110">
        <f>IF(AND('PriPay Panager Sheet'!R12=""),"",'PriPay Panager Sheet'!R12)</f>
        <v>1181</v>
      </c>
      <c r="S12" s="118" t="str">
        <f>IF(AND('PriPay Panager Sheet'!S12=""),"",'PriPay Panager Sheet'!S12)</f>
        <v/>
      </c>
    </row>
    <row r="13" spans="1:20" ht="21" customHeight="1">
      <c r="A13" s="59">
        <v>5</v>
      </c>
      <c r="B13" s="60">
        <v>42862</v>
      </c>
      <c r="C13" s="110">
        <f>IF(AND('PriPay Panager Sheet'!C13=""),"",'PriPay Panager Sheet'!C13)</f>
        <v>35800</v>
      </c>
      <c r="D13" s="110">
        <f>IF(AND('PriPay Panager Sheet'!D13=""),"",'PriPay Panager Sheet'!D13)</f>
        <v>1432</v>
      </c>
      <c r="E13" s="110">
        <f>IF(AND('PriPay Panager Sheet'!E13=""),"",'PriPay Panager Sheet'!E13)</f>
        <v>37232</v>
      </c>
      <c r="F13" s="110">
        <f>IF(AND('PriPay Panager Sheet'!F13=""),"",'PriPay Panager Sheet'!F13)</f>
        <v>13690</v>
      </c>
      <c r="G13" s="110">
        <f>IF(AND('PriPay Panager Sheet'!G13=""),"",'PriPay Panager Sheet'!G13)</f>
        <v>18618</v>
      </c>
      <c r="H13" s="110">
        <f>IF(AND('PriPay Panager Sheet'!H13=""),"",'PriPay Panager Sheet'!H13)</f>
        <v>32308</v>
      </c>
      <c r="I13" s="110">
        <f>IF(AND('PriPay Panager Sheet'!I13=""),"",'PriPay Panager Sheet'!I13)</f>
        <v>6633</v>
      </c>
      <c r="J13" s="110">
        <f>IF(AND('PriPay Panager Sheet'!J13=""),"",'PriPay Panager Sheet'!J13)</f>
        <v>-5156</v>
      </c>
      <c r="K13" s="110">
        <f>IF(AND('PriPay Panager Sheet'!K13=""),"",'PriPay Panager Sheet'!K13)</f>
        <v>1477</v>
      </c>
      <c r="L13" s="110">
        <f>IF(AND('PriPay Panager Sheet'!L13=""),"",'PriPay Panager Sheet'!L13)</f>
        <v>148</v>
      </c>
      <c r="M13" s="110">
        <f>IF(AND('PriPay Panager Sheet'!M13=""),"",'PriPay Panager Sheet'!M13)</f>
        <v>1625</v>
      </c>
      <c r="N13" s="110">
        <f>IF(AND('PriPay Panager Sheet'!N13=""),"",'PriPay Panager Sheet'!N13)</f>
        <v>148</v>
      </c>
      <c r="O13" s="110">
        <f>IF(AND('PriPay Panager Sheet'!O13=""),"",'PriPay Panager Sheet'!O13)</f>
        <v>148</v>
      </c>
      <c r="P13" s="110">
        <f>IF(AND('PriPay Panager Sheet'!P13=""),"",'PriPay Panager Sheet'!P13)</f>
        <v>148</v>
      </c>
      <c r="Q13" s="110">
        <f>IF(AND('PriPay Panager Sheet'!Q13=""),"",'PriPay Panager Sheet'!Q13)</f>
        <v>444</v>
      </c>
      <c r="R13" s="110">
        <f>IF(AND('PriPay Panager Sheet'!R13=""),"",'PriPay Panager Sheet'!R13)</f>
        <v>1181</v>
      </c>
      <c r="S13" s="118" t="str">
        <f>IF(AND('PriPay Panager Sheet'!S13=""),"",'PriPay Panager Sheet'!S13)</f>
        <v/>
      </c>
    </row>
    <row r="14" spans="1:20" ht="21" customHeight="1">
      <c r="A14" s="59">
        <v>6</v>
      </c>
      <c r="B14" s="60">
        <v>42893</v>
      </c>
      <c r="C14" s="110">
        <f>IF(AND('PriPay Panager Sheet'!C14=""),"",'PriPay Panager Sheet'!C14)</f>
        <v>35800</v>
      </c>
      <c r="D14" s="110">
        <f>IF(AND('PriPay Panager Sheet'!D14=""),"",'PriPay Panager Sheet'!D14)</f>
        <v>1432</v>
      </c>
      <c r="E14" s="110">
        <f>IF(AND('PriPay Panager Sheet'!E14=""),"",'PriPay Panager Sheet'!E14)</f>
        <v>37232</v>
      </c>
      <c r="F14" s="110">
        <f>IF(AND('PriPay Panager Sheet'!F14=""),"",'PriPay Panager Sheet'!F14)</f>
        <v>13690</v>
      </c>
      <c r="G14" s="110">
        <f>IF(AND('PriPay Panager Sheet'!G14=""),"",'PriPay Panager Sheet'!G14)</f>
        <v>18618</v>
      </c>
      <c r="H14" s="110">
        <f>IF(AND('PriPay Panager Sheet'!H14=""),"",'PriPay Panager Sheet'!H14)</f>
        <v>32308</v>
      </c>
      <c r="I14" s="110">
        <f>IF(AND('PriPay Panager Sheet'!I14=""),"",'PriPay Panager Sheet'!I14)</f>
        <v>6633</v>
      </c>
      <c r="J14" s="110">
        <f>IF(AND('PriPay Panager Sheet'!J14=""),"",'PriPay Panager Sheet'!J14)</f>
        <v>-5156</v>
      </c>
      <c r="K14" s="110">
        <f>IF(AND('PriPay Panager Sheet'!K14=""),"",'PriPay Panager Sheet'!K14)</f>
        <v>1477</v>
      </c>
      <c r="L14" s="110">
        <f>IF(AND('PriPay Panager Sheet'!L14=""),"",'PriPay Panager Sheet'!L14)</f>
        <v>148</v>
      </c>
      <c r="M14" s="110">
        <f>IF(AND('PriPay Panager Sheet'!M14=""),"",'PriPay Panager Sheet'!M14)</f>
        <v>1625</v>
      </c>
      <c r="N14" s="110">
        <f>IF(AND('PriPay Panager Sheet'!N14=""),"",'PriPay Panager Sheet'!N14)</f>
        <v>148</v>
      </c>
      <c r="O14" s="110">
        <f>IF(AND('PriPay Panager Sheet'!O14=""),"",'PriPay Panager Sheet'!O14)</f>
        <v>148</v>
      </c>
      <c r="P14" s="110">
        <f>IF(AND('PriPay Panager Sheet'!P14=""),"",'PriPay Panager Sheet'!P14)</f>
        <v>148</v>
      </c>
      <c r="Q14" s="110">
        <f>IF(AND('PriPay Panager Sheet'!Q14=""),"",'PriPay Panager Sheet'!Q14)</f>
        <v>444</v>
      </c>
      <c r="R14" s="110">
        <f>IF(AND('PriPay Panager Sheet'!R14=""),"",'PriPay Panager Sheet'!R14)</f>
        <v>1181</v>
      </c>
      <c r="S14" s="118" t="str">
        <f>IF(AND('PriPay Panager Sheet'!S14=""),"",'PriPay Panager Sheet'!S14)</f>
        <v/>
      </c>
    </row>
    <row r="15" spans="1:20" ht="21" customHeight="1">
      <c r="A15" s="59">
        <v>7</v>
      </c>
      <c r="B15" s="60">
        <v>42923</v>
      </c>
      <c r="C15" s="110">
        <f>IF(AND('PriPay Panager Sheet'!C15=""),"",'PriPay Panager Sheet'!C15)</f>
        <v>36900</v>
      </c>
      <c r="D15" s="110">
        <f>IF(AND('PriPay Panager Sheet'!D15=""),"",'PriPay Panager Sheet'!D15)</f>
        <v>1845</v>
      </c>
      <c r="E15" s="110">
        <f>IF(AND('PriPay Panager Sheet'!E15=""),"",'PriPay Panager Sheet'!E15)</f>
        <v>38745</v>
      </c>
      <c r="F15" s="110">
        <f>IF(AND('PriPay Panager Sheet'!F15=""),"",'PriPay Panager Sheet'!F15)</f>
        <v>14110</v>
      </c>
      <c r="G15" s="110">
        <f>IF(AND('PriPay Panager Sheet'!G15=""),"",'PriPay Panager Sheet'!G15)</f>
        <v>19613</v>
      </c>
      <c r="H15" s="110">
        <f>IF(AND('PriPay Panager Sheet'!H15=""),"",'PriPay Panager Sheet'!H15)</f>
        <v>33723</v>
      </c>
      <c r="I15" s="110">
        <f>IF(AND('PriPay Panager Sheet'!I15=""),"",'PriPay Panager Sheet'!I15)</f>
        <v>6837</v>
      </c>
      <c r="J15" s="110">
        <f>IF(AND('PriPay Panager Sheet'!J15=""),"",'PriPay Panager Sheet'!J15)</f>
        <v>-5330</v>
      </c>
      <c r="K15" s="110">
        <f>IF(AND('PriPay Panager Sheet'!K15=""),"",'PriPay Panager Sheet'!K15)</f>
        <v>1507</v>
      </c>
      <c r="L15" s="110">
        <f>IF(AND('PriPay Panager Sheet'!L15=""),"",'PriPay Panager Sheet'!L15)</f>
        <v>151</v>
      </c>
      <c r="M15" s="110">
        <f>IF(AND('PriPay Panager Sheet'!M15=""),"",'PriPay Panager Sheet'!M15)</f>
        <v>1658</v>
      </c>
      <c r="N15" s="110">
        <f>IF(AND('PriPay Panager Sheet'!N15=""),"",'PriPay Panager Sheet'!N15)</f>
        <v>151</v>
      </c>
      <c r="O15" s="110">
        <f>IF(AND('PriPay Panager Sheet'!O15=""),"",'PriPay Panager Sheet'!O15)</f>
        <v>151</v>
      </c>
      <c r="P15" s="110">
        <f>IF(AND('PriPay Panager Sheet'!P15=""),"",'PriPay Panager Sheet'!P15)</f>
        <v>151</v>
      </c>
      <c r="Q15" s="110">
        <f>IF(AND('PriPay Panager Sheet'!Q15=""),"",'PriPay Panager Sheet'!Q15)</f>
        <v>453</v>
      </c>
      <c r="R15" s="110">
        <f>IF(AND('PriPay Panager Sheet'!R15=""),"",'PriPay Panager Sheet'!R15)</f>
        <v>1205</v>
      </c>
      <c r="S15" s="118" t="str">
        <f>IF(AND('PriPay Panager Sheet'!S15=""),"",'PriPay Panager Sheet'!S15)</f>
        <v/>
      </c>
    </row>
    <row r="16" spans="1:20" ht="21" customHeight="1">
      <c r="A16" s="59">
        <v>8</v>
      </c>
      <c r="B16" s="60">
        <v>42954</v>
      </c>
      <c r="C16" s="110">
        <f>IF(AND('PriPay Panager Sheet'!C16=""),"",'PriPay Panager Sheet'!C16)</f>
        <v>36900</v>
      </c>
      <c r="D16" s="110">
        <f>IF(AND('PriPay Panager Sheet'!D16=""),"",'PriPay Panager Sheet'!D16)</f>
        <v>1845</v>
      </c>
      <c r="E16" s="110">
        <f>IF(AND('PriPay Panager Sheet'!E16=""),"",'PriPay Panager Sheet'!E16)</f>
        <v>38745</v>
      </c>
      <c r="F16" s="110">
        <f>IF(AND('PriPay Panager Sheet'!F16=""),"",'PriPay Panager Sheet'!F16)</f>
        <v>14110</v>
      </c>
      <c r="G16" s="110">
        <f>IF(AND('PriPay Panager Sheet'!G16=""),"",'PriPay Panager Sheet'!G16)</f>
        <v>19613</v>
      </c>
      <c r="H16" s="110">
        <f>IF(AND('PriPay Panager Sheet'!H16=""),"",'PriPay Panager Sheet'!H16)</f>
        <v>33723</v>
      </c>
      <c r="I16" s="110">
        <f>IF(AND('PriPay Panager Sheet'!I16=""),"",'PriPay Panager Sheet'!I16)</f>
        <v>6837</v>
      </c>
      <c r="J16" s="110">
        <f>IF(AND('PriPay Panager Sheet'!J16=""),"",'PriPay Panager Sheet'!J16)</f>
        <v>-5330</v>
      </c>
      <c r="K16" s="110">
        <f>IF(AND('PriPay Panager Sheet'!K16=""),"",'PriPay Panager Sheet'!K16)</f>
        <v>1507</v>
      </c>
      <c r="L16" s="110">
        <f>IF(AND('PriPay Panager Sheet'!L16=""),"",'PriPay Panager Sheet'!L16)</f>
        <v>151</v>
      </c>
      <c r="M16" s="110">
        <f>IF(AND('PriPay Panager Sheet'!M16=""),"",'PriPay Panager Sheet'!M16)</f>
        <v>1658</v>
      </c>
      <c r="N16" s="110">
        <f>IF(AND('PriPay Panager Sheet'!N16=""),"",'PriPay Panager Sheet'!N16)</f>
        <v>151</v>
      </c>
      <c r="O16" s="110">
        <f>IF(AND('PriPay Panager Sheet'!O16=""),"",'PriPay Panager Sheet'!O16)</f>
        <v>151</v>
      </c>
      <c r="P16" s="110">
        <f>IF(AND('PriPay Panager Sheet'!P16=""),"",'PriPay Panager Sheet'!P16)</f>
        <v>151</v>
      </c>
      <c r="Q16" s="110">
        <f>IF(AND('PriPay Panager Sheet'!Q16=""),"",'PriPay Panager Sheet'!Q16)</f>
        <v>453</v>
      </c>
      <c r="R16" s="110">
        <f>IF(AND('PriPay Panager Sheet'!R16=""),"",'PriPay Panager Sheet'!R16)</f>
        <v>1205</v>
      </c>
      <c r="S16" s="118" t="str">
        <f>IF(AND('PriPay Panager Sheet'!S16=""),"",'PriPay Panager Sheet'!S16)</f>
        <v/>
      </c>
    </row>
    <row r="17" spans="1:19" ht="21" customHeight="1">
      <c r="A17" s="59">
        <v>9</v>
      </c>
      <c r="B17" s="60">
        <v>42985</v>
      </c>
      <c r="C17" s="110">
        <f>IF(AND('PriPay Panager Sheet'!C17=""),"",'PriPay Panager Sheet'!C17)</f>
        <v>36900</v>
      </c>
      <c r="D17" s="110">
        <f>IF(AND('PriPay Panager Sheet'!D17=""),"",'PriPay Panager Sheet'!D17)</f>
        <v>1845</v>
      </c>
      <c r="E17" s="110">
        <f>IF(AND('PriPay Panager Sheet'!E17=""),"",'PriPay Panager Sheet'!E17)</f>
        <v>38745</v>
      </c>
      <c r="F17" s="110">
        <f>IF(AND('PriPay Panager Sheet'!F17=""),"",'PriPay Panager Sheet'!F17)</f>
        <v>14110</v>
      </c>
      <c r="G17" s="110">
        <f>IF(AND('PriPay Panager Sheet'!G17=""),"",'PriPay Panager Sheet'!G17)</f>
        <v>19613</v>
      </c>
      <c r="H17" s="110">
        <f>IF(AND('PriPay Panager Sheet'!H17=""),"",'PriPay Panager Sheet'!H17)</f>
        <v>33723</v>
      </c>
      <c r="I17" s="110">
        <f>IF(AND('PriPay Panager Sheet'!I17=""),"",'PriPay Panager Sheet'!I17)</f>
        <v>6837</v>
      </c>
      <c r="J17" s="110">
        <f>IF(AND('PriPay Panager Sheet'!J17=""),"",'PriPay Panager Sheet'!J17)</f>
        <v>-5330</v>
      </c>
      <c r="K17" s="110">
        <f>IF(AND('PriPay Panager Sheet'!K17=""),"",'PriPay Panager Sheet'!K17)</f>
        <v>1507</v>
      </c>
      <c r="L17" s="110">
        <f>IF(AND('PriPay Panager Sheet'!L17=""),"",'PriPay Panager Sheet'!L17)</f>
        <v>151</v>
      </c>
      <c r="M17" s="110">
        <f>IF(AND('PriPay Panager Sheet'!M17=""),"",'PriPay Panager Sheet'!M17)</f>
        <v>1658</v>
      </c>
      <c r="N17" s="110">
        <f>IF(AND('PriPay Panager Sheet'!N17=""),"",'PriPay Panager Sheet'!N17)</f>
        <v>151</v>
      </c>
      <c r="O17" s="110">
        <f>IF(AND('PriPay Panager Sheet'!O17=""),"",'PriPay Panager Sheet'!O17)</f>
        <v>151</v>
      </c>
      <c r="P17" s="110">
        <f>IF(AND('PriPay Panager Sheet'!P17=""),"",'PriPay Panager Sheet'!P17)</f>
        <v>151</v>
      </c>
      <c r="Q17" s="110">
        <f>IF(AND('PriPay Panager Sheet'!Q17=""),"",'PriPay Panager Sheet'!Q17)</f>
        <v>453</v>
      </c>
      <c r="R17" s="110">
        <f>IF(AND('PriPay Panager Sheet'!R17=""),"",'PriPay Panager Sheet'!R17)</f>
        <v>1205</v>
      </c>
      <c r="S17" s="118" t="str">
        <f>IF(AND('PriPay Panager Sheet'!S17=""),"",'PriPay Panager Sheet'!S17)</f>
        <v/>
      </c>
    </row>
    <row r="18" spans="1:19" ht="27.75" customHeight="1">
      <c r="A18" s="64" t="s">
        <v>11</v>
      </c>
      <c r="B18" s="65"/>
      <c r="C18" s="66">
        <f>IF(AND($Q$3=""),"",SUM(C9:C17))</f>
        <v>325500</v>
      </c>
      <c r="D18" s="66">
        <f t="shared" ref="D18:R18" si="0">IF(AND($Q$3=""),"",SUM(D9:D17))</f>
        <v>14127</v>
      </c>
      <c r="E18" s="66">
        <f t="shared" si="0"/>
        <v>339627</v>
      </c>
      <c r="F18" s="66">
        <f t="shared" si="0"/>
        <v>124470</v>
      </c>
      <c r="G18" s="66">
        <f t="shared" si="0"/>
        <v>170547</v>
      </c>
      <c r="H18" s="66">
        <f t="shared" si="0"/>
        <v>295017</v>
      </c>
      <c r="I18" s="66">
        <f t="shared" si="0"/>
        <v>60309</v>
      </c>
      <c r="J18" s="66">
        <f t="shared" si="0"/>
        <v>-46926</v>
      </c>
      <c r="K18" s="66">
        <f t="shared" si="0"/>
        <v>13383</v>
      </c>
      <c r="L18" s="66">
        <f t="shared" si="0"/>
        <v>1341</v>
      </c>
      <c r="M18" s="66">
        <f t="shared" si="0"/>
        <v>14724</v>
      </c>
      <c r="N18" s="66">
        <f t="shared" si="0"/>
        <v>1341</v>
      </c>
      <c r="O18" s="66">
        <f t="shared" si="0"/>
        <v>1341</v>
      </c>
      <c r="P18" s="66">
        <f t="shared" si="0"/>
        <v>1341</v>
      </c>
      <c r="Q18" s="93">
        <f t="shared" si="0"/>
        <v>4023</v>
      </c>
      <c r="R18" s="66">
        <f t="shared" si="0"/>
        <v>10701</v>
      </c>
      <c r="S18" s="111"/>
    </row>
    <row r="19" spans="1:19">
      <c r="A19" s="67"/>
      <c r="B19" s="68"/>
      <c r="C19" s="68"/>
      <c r="D19" s="68"/>
      <c r="E19" s="19"/>
      <c r="F19" s="19"/>
      <c r="G19" s="19"/>
      <c r="H19" s="19"/>
      <c r="I19" s="19"/>
      <c r="J19" s="19"/>
      <c r="K19" s="19"/>
      <c r="L19" s="19"/>
      <c r="M19" s="19"/>
      <c r="N19" s="19"/>
      <c r="O19" s="19"/>
      <c r="P19" s="19"/>
      <c r="Q19" s="19"/>
      <c r="R19" s="19"/>
      <c r="S19" s="69"/>
    </row>
    <row r="20" spans="1:19" ht="17.25">
      <c r="A20" s="70"/>
      <c r="B20" s="19"/>
      <c r="C20" s="71" t="s">
        <v>49</v>
      </c>
      <c r="D20" s="72">
        <f>IF(AND('PriPay Panager Sheet'!D20=""),"",'PriPay Panager Sheet'!D20)</f>
        <v>42370</v>
      </c>
      <c r="E20" s="72"/>
      <c r="F20" s="73" t="s">
        <v>50</v>
      </c>
      <c r="G20" s="73"/>
      <c r="H20" s="73"/>
      <c r="I20" s="73"/>
      <c r="J20" s="73"/>
      <c r="K20" s="73"/>
      <c r="L20" s="74">
        <f>IF(AND('PriPay Panager Sheet'!L20=""),"",'PriPay Panager Sheet'!L20)</f>
        <v>10701</v>
      </c>
      <c r="M20" s="74"/>
      <c r="N20" s="75" t="str">
        <f>IF(AND('PriPay Panager Sheet'!N20=""),"",'PriPay Panager Sheet'!N20)</f>
        <v>dk udn Hkqxrku fd;k x;k A</v>
      </c>
      <c r="O20" s="75"/>
      <c r="P20" s="75"/>
      <c r="Q20" s="75"/>
      <c r="R20" s="19"/>
      <c r="S20" s="69"/>
    </row>
    <row r="21" spans="1:19">
      <c r="A21" s="70"/>
      <c r="B21" s="19"/>
      <c r="C21" s="19"/>
      <c r="D21" s="19"/>
      <c r="E21" s="19"/>
      <c r="F21" s="19"/>
      <c r="G21" s="19"/>
      <c r="H21" s="19"/>
      <c r="I21" s="19"/>
      <c r="J21" s="19"/>
      <c r="K21" s="19"/>
      <c r="L21" s="19"/>
      <c r="M21" s="19"/>
      <c r="N21" s="19"/>
      <c r="O21" s="19"/>
      <c r="P21" s="19"/>
      <c r="Q21" s="19"/>
      <c r="R21" s="19"/>
      <c r="S21" s="69"/>
    </row>
    <row r="22" spans="1:19" ht="18.75">
      <c r="A22" s="70"/>
      <c r="B22" s="19"/>
      <c r="C22" s="19"/>
      <c r="D22" s="76"/>
      <c r="E22" s="76"/>
      <c r="F22" s="76"/>
      <c r="G22" s="76"/>
      <c r="H22" s="76"/>
      <c r="I22" s="19"/>
      <c r="J22" s="19"/>
      <c r="K22" s="77" t="s">
        <v>51</v>
      </c>
      <c r="L22" s="77"/>
      <c r="M22" s="77"/>
      <c r="N22" s="77"/>
      <c r="O22" s="94">
        <f>IF(AND(Q3=""),"",M18)</f>
        <v>14724</v>
      </c>
      <c r="P22" s="94"/>
      <c r="Q22" s="78" t="s">
        <v>52</v>
      </c>
      <c r="R22" s="78"/>
      <c r="S22" s="79"/>
    </row>
    <row r="23" spans="1:19" ht="15.75">
      <c r="A23" s="80" t="str">
        <f>IF(AND('PriPay Panager Sheet'!A23=""),"",'PriPay Panager Sheet'!A23)</f>
        <v/>
      </c>
      <c r="B23" s="81"/>
      <c r="C23" s="81"/>
      <c r="D23" s="81"/>
      <c r="E23" s="81"/>
      <c r="F23" s="81"/>
      <c r="G23" s="81"/>
      <c r="H23" s="81"/>
      <c r="I23" s="81"/>
      <c r="J23" s="81"/>
      <c r="K23" s="77" t="str">
        <f>IF(AND('PriPay Panager Sheet'!K23=""),"",'PriPay Panager Sheet'!K23)</f>
        <v>,u-ih-,l- dVkSrh</v>
      </c>
      <c r="L23" s="77"/>
      <c r="M23" s="77"/>
      <c r="N23" s="77"/>
      <c r="O23" s="94">
        <f>IF(AND(Q3=""),"",L20)</f>
        <v>10701</v>
      </c>
      <c r="P23" s="94"/>
      <c r="Q23" s="82" t="str">
        <f>IF(AND('PriPay Panager Sheet'!Q23=""),"",'PriPay Panager Sheet'!Q23)</f>
        <v>( Rs.   TEN  THOUSAND  SEVEN  HUNDRED  ONE  Only)</v>
      </c>
      <c r="R23" s="82"/>
      <c r="S23" s="83"/>
    </row>
    <row r="24" spans="1:19" ht="15.75">
      <c r="A24" s="84"/>
      <c r="B24" s="85"/>
      <c r="C24" s="86"/>
      <c r="D24" s="86"/>
      <c r="E24" s="86"/>
      <c r="F24" s="86"/>
      <c r="G24" s="86"/>
      <c r="H24" s="86"/>
      <c r="I24" s="87"/>
      <c r="J24" s="87"/>
      <c r="K24" s="77" t="s">
        <v>53</v>
      </c>
      <c r="L24" s="77"/>
      <c r="M24" s="77"/>
      <c r="N24" s="77"/>
      <c r="O24" s="94">
        <f>IF(AND(Q3=""),"",P18)</f>
        <v>1341</v>
      </c>
      <c r="P24" s="94"/>
      <c r="Q24" s="82"/>
      <c r="R24" s="82"/>
      <c r="S24" s="83"/>
    </row>
    <row r="25" spans="1:19" ht="16.5" thickBot="1">
      <c r="A25" s="102"/>
      <c r="B25" s="103"/>
      <c r="C25" s="104"/>
      <c r="D25" s="104"/>
      <c r="E25" s="104"/>
      <c r="F25" s="104"/>
      <c r="G25" s="104"/>
      <c r="H25" s="104"/>
      <c r="I25" s="105"/>
      <c r="J25" s="105"/>
      <c r="K25" s="106" t="s">
        <v>54</v>
      </c>
      <c r="L25" s="106"/>
      <c r="M25" s="106"/>
      <c r="N25" s="106"/>
      <c r="O25" s="107">
        <f>IF(AND(Z4=AD2),SUM(O22-O23-O24),0)</f>
        <v>2682</v>
      </c>
      <c r="P25" s="107"/>
      <c r="Q25" s="108" t="str">
        <f>IF(AND('PriPay Panager Sheet'!Q25=""),"",'PriPay Panager Sheet'!Q25)</f>
        <v>dk udn Hkqxrku fd;k x;k</v>
      </c>
      <c r="R25" s="108"/>
      <c r="S25" s="109"/>
    </row>
    <row r="26" spans="1:19" ht="18.75">
      <c r="A26" s="85"/>
      <c r="B26" s="85"/>
      <c r="C26" s="86"/>
      <c r="D26" s="86"/>
      <c r="E26" s="86"/>
      <c r="F26" s="86"/>
      <c r="G26" s="86"/>
      <c r="H26" s="86"/>
      <c r="I26" s="87"/>
      <c r="J26" s="87"/>
      <c r="K26" s="87"/>
      <c r="L26" s="88"/>
      <c r="M26" s="88"/>
      <c r="N26" s="19"/>
      <c r="O26" s="19"/>
      <c r="P26" s="89"/>
      <c r="Q26" s="89"/>
      <c r="R26" s="89"/>
      <c r="S26" s="89"/>
    </row>
    <row r="27" spans="1:19" ht="18.75">
      <c r="A27" s="85"/>
      <c r="B27" s="85"/>
      <c r="C27" s="90"/>
      <c r="D27" s="90"/>
      <c r="E27" s="90"/>
      <c r="F27" s="90"/>
      <c r="G27" s="90"/>
      <c r="H27" s="90"/>
      <c r="I27" s="87"/>
      <c r="J27" s="87"/>
      <c r="K27" s="87"/>
      <c r="L27" s="88"/>
      <c r="M27" s="88"/>
      <c r="N27" s="19"/>
      <c r="O27" s="19"/>
      <c r="P27" s="89"/>
      <c r="Q27" s="89"/>
      <c r="R27" s="89"/>
      <c r="S27" s="89"/>
    </row>
    <row r="28" spans="1:19" ht="18.75">
      <c r="A28" s="85"/>
      <c r="B28" s="85"/>
      <c r="C28" s="90"/>
      <c r="D28" s="90"/>
      <c r="E28" s="90"/>
      <c r="F28" s="90"/>
      <c r="G28" s="90"/>
      <c r="H28" s="90"/>
      <c r="I28" s="87"/>
      <c r="J28" s="87"/>
      <c r="K28" s="87"/>
      <c r="L28" s="88"/>
      <c r="M28" s="88"/>
      <c r="N28" s="19"/>
      <c r="O28" s="19"/>
      <c r="P28" s="89"/>
      <c r="Q28" s="112" t="str">
        <f>CONCATENATE("(  ",Master!C4," )")</f>
        <v>(  BHAGIRATH BAJROLIYA )</v>
      </c>
      <c r="R28" s="112"/>
      <c r="S28" s="112"/>
    </row>
    <row r="29" spans="1:19" ht="15.75">
      <c r="A29" s="19"/>
      <c r="B29" s="19"/>
      <c r="C29" s="19"/>
      <c r="D29" s="19"/>
      <c r="E29" s="19"/>
      <c r="F29" s="19"/>
      <c r="G29" s="19"/>
      <c r="H29" s="19"/>
      <c r="I29" s="19"/>
      <c r="J29" s="19"/>
      <c r="K29" s="19"/>
      <c r="L29" s="19"/>
      <c r="M29" s="19"/>
      <c r="N29" s="19"/>
      <c r="O29" s="19"/>
      <c r="P29" s="19"/>
      <c r="Q29" s="91" t="s">
        <v>55</v>
      </c>
      <c r="R29" s="91"/>
      <c r="S29" s="91"/>
    </row>
    <row r="30" spans="1:19" ht="15.75">
      <c r="A30" s="19"/>
      <c r="B30" s="19"/>
      <c r="C30" s="19"/>
      <c r="D30" s="19"/>
      <c r="E30" s="19"/>
      <c r="F30" s="19"/>
      <c r="G30" s="19"/>
      <c r="H30" s="19"/>
      <c r="I30" s="19"/>
      <c r="J30" s="19"/>
      <c r="K30" s="19"/>
      <c r="L30" s="19"/>
      <c r="M30" s="19"/>
      <c r="N30" s="19"/>
      <c r="O30" s="19"/>
      <c r="P30" s="19"/>
      <c r="Q30" s="91" t="s">
        <v>56</v>
      </c>
      <c r="R30" s="91"/>
      <c r="S30" s="91"/>
    </row>
  </sheetData>
  <mergeCells count="48">
    <mergeCell ref="Q28:S28"/>
    <mergeCell ref="Q29:S29"/>
    <mergeCell ref="Q30:S30"/>
    <mergeCell ref="O24:P24"/>
    <mergeCell ref="C25:H25"/>
    <mergeCell ref="K25:N25"/>
    <mergeCell ref="O25:P25"/>
    <mergeCell ref="Q25:S25"/>
    <mergeCell ref="C26:H26"/>
    <mergeCell ref="D22:H22"/>
    <mergeCell ref="K22:N22"/>
    <mergeCell ref="O22:P22"/>
    <mergeCell ref="Q22:S22"/>
    <mergeCell ref="A23:J23"/>
    <mergeCell ref="K23:N23"/>
    <mergeCell ref="O23:P23"/>
    <mergeCell ref="Q23:S24"/>
    <mergeCell ref="C24:H24"/>
    <mergeCell ref="K24:N24"/>
    <mergeCell ref="A18:B18"/>
    <mergeCell ref="A19:D19"/>
    <mergeCell ref="D20:E20"/>
    <mergeCell ref="F20:K20"/>
    <mergeCell ref="L20:M20"/>
    <mergeCell ref="N20:Q20"/>
    <mergeCell ref="N7:N8"/>
    <mergeCell ref="O7:O8"/>
    <mergeCell ref="P7:P8"/>
    <mergeCell ref="Q7:Q8"/>
    <mergeCell ref="R7:R8"/>
    <mergeCell ref="S7:S8"/>
    <mergeCell ref="B4:Q4"/>
    <mergeCell ref="C5:P5"/>
    <mergeCell ref="E6:M6"/>
    <mergeCell ref="A7:A8"/>
    <mergeCell ref="B7:B8"/>
    <mergeCell ref="C7:E7"/>
    <mergeCell ref="F7:H7"/>
    <mergeCell ref="I7:K7"/>
    <mergeCell ref="L7:L8"/>
    <mergeCell ref="M7:M8"/>
    <mergeCell ref="B1:Q1"/>
    <mergeCell ref="B2:Q2"/>
    <mergeCell ref="C3:E3"/>
    <mergeCell ref="F3:H3"/>
    <mergeCell ref="I3:J3"/>
    <mergeCell ref="K3:N3"/>
    <mergeCell ref="O3:P3"/>
  </mergeCells>
  <pageMargins left="0.9" right="0.7" top="0.75" bottom="0.75" header="0.3" footer="0.3"/>
  <pageSetup paperSize="9" scale="8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Master</vt:lpstr>
      <vt:lpstr>PriPay Panager Sheet</vt:lpstr>
      <vt:lpstr>Unlock Sheet</vt:lpstr>
      <vt:lpstr>'PriPay Panager Sheet'!Print_Area</vt:lpstr>
      <vt:lpstr>'Unlock Sheet'!Print_Area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SHRI BAJARANG BALI</cp:lastModifiedBy>
  <cp:lastPrinted>2018-07-25T15:41:39Z</cp:lastPrinted>
  <dcterms:created xsi:type="dcterms:W3CDTF">2018-07-22T06:01:47Z</dcterms:created>
  <dcterms:modified xsi:type="dcterms:W3CDTF">2018-07-25T15:53:04Z</dcterms:modified>
</cp:coreProperties>
</file>