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Unlock Sheet 100%" sheetId="15" r:id="rId1"/>
    <sheet name="Unlock Arrear Sheet 40%" sheetId="16" r:id="rId2"/>
  </sheets>
  <definedNames>
    <definedName name="_xlnm.Print_Area" localSheetId="1">'Unlock Arrear Sheet 40%'!$A$1:$U$32</definedName>
    <definedName name="_xlnm.Print_Area" localSheetId="0">'Unlock Sheet 100%'!$A$1:$T$31</definedName>
  </definedNames>
  <calcPr calcId="124519"/>
</workbook>
</file>

<file path=xl/calcChain.xml><?xml version="1.0" encoding="utf-8"?>
<calcChain xmlns="http://schemas.openxmlformats.org/spreadsheetml/2006/main">
  <c r="C16" i="15"/>
  <c r="P25"/>
  <c r="P24"/>
  <c r="E22"/>
  <c r="P23"/>
  <c r="O18"/>
  <c r="R18"/>
  <c r="R17"/>
  <c r="R16"/>
  <c r="R15"/>
  <c r="R14"/>
  <c r="R13"/>
  <c r="R12"/>
  <c r="R11"/>
  <c r="P18"/>
  <c r="P17"/>
  <c r="P16"/>
  <c r="P15"/>
  <c r="P14"/>
  <c r="P13"/>
  <c r="P12"/>
  <c r="P11"/>
  <c r="O17"/>
  <c r="O16"/>
  <c r="O15"/>
  <c r="O14"/>
  <c r="O13"/>
  <c r="O12"/>
  <c r="O11"/>
  <c r="B24" i="16"/>
  <c r="C22"/>
  <c r="G12"/>
  <c r="G13" s="1"/>
  <c r="C12"/>
  <c r="C13" s="1"/>
  <c r="H11"/>
  <c r="G11"/>
  <c r="D11"/>
  <c r="L11" s="1"/>
  <c r="C11"/>
  <c r="K10"/>
  <c r="I10"/>
  <c r="H10"/>
  <c r="J10" s="1"/>
  <c r="D10"/>
  <c r="L10" s="1"/>
  <c r="O8"/>
  <c r="AC4"/>
  <c r="D10" i="15"/>
  <c r="E10" s="1"/>
  <c r="AB4"/>
  <c r="O10" s="1"/>
  <c r="K10"/>
  <c r="H10"/>
  <c r="I10" s="1"/>
  <c r="G11"/>
  <c r="G12" s="1"/>
  <c r="G13" s="1"/>
  <c r="G14" s="1"/>
  <c r="G15" s="1"/>
  <c r="C11"/>
  <c r="C12" s="1"/>
  <c r="C13" s="1"/>
  <c r="C14" s="1"/>
  <c r="C15" s="1"/>
  <c r="C17" s="1"/>
  <c r="P10" l="1"/>
  <c r="O9"/>
  <c r="I13" i="16"/>
  <c r="G14"/>
  <c r="J13"/>
  <c r="H13"/>
  <c r="K13"/>
  <c r="C14"/>
  <c r="D13"/>
  <c r="L13" s="1"/>
  <c r="K12"/>
  <c r="P22"/>
  <c r="S26"/>
  <c r="P9"/>
  <c r="E10"/>
  <c r="Y10"/>
  <c r="E11"/>
  <c r="M11" s="1"/>
  <c r="I11"/>
  <c r="K11"/>
  <c r="D12"/>
  <c r="E12" s="1"/>
  <c r="M12" s="1"/>
  <c r="H12"/>
  <c r="I12" s="1"/>
  <c r="L24"/>
  <c r="H14" i="15"/>
  <c r="H12"/>
  <c r="I12" s="1"/>
  <c r="J12" s="1"/>
  <c r="L10"/>
  <c r="J10"/>
  <c r="I14"/>
  <c r="G16"/>
  <c r="H15"/>
  <c r="H13"/>
  <c r="H11"/>
  <c r="J14"/>
  <c r="M10"/>
  <c r="C18"/>
  <c r="D14"/>
  <c r="D12"/>
  <c r="D16"/>
  <c r="E16" s="1"/>
  <c r="D17"/>
  <c r="E17" s="1"/>
  <c r="D15"/>
  <c r="E15" s="1"/>
  <c r="D13"/>
  <c r="E13" s="1"/>
  <c r="D11"/>
  <c r="E11" s="1"/>
  <c r="E14"/>
  <c r="M14" s="1"/>
  <c r="E12"/>
  <c r="F10"/>
  <c r="J13" l="1"/>
  <c r="I13"/>
  <c r="N11" i="16"/>
  <c r="E13"/>
  <c r="M13" s="1"/>
  <c r="J11"/>
  <c r="M10"/>
  <c r="C15"/>
  <c r="D14"/>
  <c r="L14" s="1"/>
  <c r="K14"/>
  <c r="E14"/>
  <c r="N13"/>
  <c r="G15"/>
  <c r="H14"/>
  <c r="I14"/>
  <c r="L12"/>
  <c r="J12"/>
  <c r="F12"/>
  <c r="F10"/>
  <c r="F11"/>
  <c r="F13"/>
  <c r="H16" i="15"/>
  <c r="I16" s="1"/>
  <c r="M16" s="1"/>
  <c r="G17"/>
  <c r="M12"/>
  <c r="I15"/>
  <c r="J15" s="1"/>
  <c r="I11"/>
  <c r="J11" s="1"/>
  <c r="F11"/>
  <c r="F15"/>
  <c r="F13"/>
  <c r="M13"/>
  <c r="F17"/>
  <c r="N10"/>
  <c r="F16"/>
  <c r="D18"/>
  <c r="F14"/>
  <c r="F12"/>
  <c r="M11" l="1"/>
  <c r="N10" i="16"/>
  <c r="J14"/>
  <c r="M14"/>
  <c r="N14" s="1"/>
  <c r="G16"/>
  <c r="H15"/>
  <c r="C16"/>
  <c r="K15"/>
  <c r="D15"/>
  <c r="O13"/>
  <c r="F14"/>
  <c r="N12"/>
  <c r="O11"/>
  <c r="P11" s="1"/>
  <c r="J16" i="15"/>
  <c r="G18"/>
  <c r="H17"/>
  <c r="I17" s="1"/>
  <c r="M15"/>
  <c r="E18"/>
  <c r="F18" s="1"/>
  <c r="O14" i="16" l="1"/>
  <c r="P14" s="1"/>
  <c r="L15"/>
  <c r="G17"/>
  <c r="H16"/>
  <c r="I16" s="1"/>
  <c r="J16" s="1"/>
  <c r="P12"/>
  <c r="O12"/>
  <c r="C17"/>
  <c r="K16"/>
  <c r="E16"/>
  <c r="F16"/>
  <c r="D16"/>
  <c r="L16" s="1"/>
  <c r="O10"/>
  <c r="Q11"/>
  <c r="R11" s="1"/>
  <c r="S11" s="1"/>
  <c r="F15"/>
  <c r="E15"/>
  <c r="I15"/>
  <c r="J15" s="1"/>
  <c r="P13"/>
  <c r="M17" i="15"/>
  <c r="H18"/>
  <c r="J17"/>
  <c r="E21"/>
  <c r="M15" i="16" l="1"/>
  <c r="K17"/>
  <c r="C18"/>
  <c r="D17"/>
  <c r="C21"/>
  <c r="G18"/>
  <c r="H17"/>
  <c r="I17" s="1"/>
  <c r="M16"/>
  <c r="Q13"/>
  <c r="R13" s="1"/>
  <c r="S13" s="1"/>
  <c r="N16"/>
  <c r="P10"/>
  <c r="Q12"/>
  <c r="R12" s="1"/>
  <c r="S12" s="1"/>
  <c r="N15"/>
  <c r="Q14"/>
  <c r="R14" s="1"/>
  <c r="S14" s="1"/>
  <c r="J18" i="15"/>
  <c r="I18"/>
  <c r="H18" i="16" l="1"/>
  <c r="H21" s="1"/>
  <c r="D18"/>
  <c r="K18"/>
  <c r="E18"/>
  <c r="O15"/>
  <c r="P15" s="1"/>
  <c r="AO10"/>
  <c r="O16"/>
  <c r="Q10"/>
  <c r="G21"/>
  <c r="J17"/>
  <c r="L17"/>
  <c r="E17"/>
  <c r="I21" i="15"/>
  <c r="M18"/>
  <c r="M21" s="1"/>
  <c r="L18" i="16" l="1"/>
  <c r="L21" s="1"/>
  <c r="D21"/>
  <c r="P16"/>
  <c r="M17"/>
  <c r="E21"/>
  <c r="F17"/>
  <c r="Q15"/>
  <c r="R15" s="1"/>
  <c r="S15" s="1"/>
  <c r="K21"/>
  <c r="F18"/>
  <c r="I18"/>
  <c r="I21" s="1"/>
  <c r="R10"/>
  <c r="B24" i="15"/>
  <c r="S10" i="16" l="1"/>
  <c r="J18"/>
  <c r="J21" s="1"/>
  <c r="F21"/>
  <c r="Q16"/>
  <c r="M18"/>
  <c r="N18" s="1"/>
  <c r="N17"/>
  <c r="R26" i="15"/>
  <c r="L24"/>
  <c r="X10"/>
  <c r="O22"/>
  <c r="O18" i="16" l="1"/>
  <c r="P18" s="1"/>
  <c r="O17"/>
  <c r="P17" s="1"/>
  <c r="N21"/>
  <c r="M21"/>
  <c r="R16"/>
  <c r="K11" i="15"/>
  <c r="S16" i="16" l="1"/>
  <c r="Q17"/>
  <c r="Z15"/>
  <c r="AA16" s="1"/>
  <c r="O21"/>
  <c r="Q23" s="1"/>
  <c r="P21"/>
  <c r="Q24" s="1"/>
  <c r="Q18"/>
  <c r="R18" s="1"/>
  <c r="S18" s="1"/>
  <c r="L11" i="15"/>
  <c r="K12"/>
  <c r="Q21" i="16" l="1"/>
  <c r="Q25" s="1"/>
  <c r="Q26" s="1"/>
  <c r="R17"/>
  <c r="N11" i="15"/>
  <c r="Q10"/>
  <c r="R10" s="1"/>
  <c r="AN10"/>
  <c r="K13"/>
  <c r="L12"/>
  <c r="N12" s="1"/>
  <c r="S17" i="16" l="1"/>
  <c r="S21" s="1"/>
  <c r="N22" s="1"/>
  <c r="Z17" s="1"/>
  <c r="AA17" s="1"/>
  <c r="S24" s="1"/>
  <c r="R21"/>
  <c r="L13" i="15"/>
  <c r="N13" s="1"/>
  <c r="Q11"/>
  <c r="K14"/>
  <c r="L14" l="1"/>
  <c r="N14" s="1"/>
  <c r="K15"/>
  <c r="L15" l="1"/>
  <c r="N15" s="1"/>
  <c r="Q13"/>
  <c r="K16"/>
  <c r="G21"/>
  <c r="Q14" l="1"/>
  <c r="L16"/>
  <c r="N16" s="1"/>
  <c r="K17"/>
  <c r="C21"/>
  <c r="Q12"/>
  <c r="K18"/>
  <c r="L17" l="1"/>
  <c r="N17" s="1"/>
  <c r="L18"/>
  <c r="N18" s="1"/>
  <c r="D21"/>
  <c r="K21"/>
  <c r="J21"/>
  <c r="Q15"/>
  <c r="H21"/>
  <c r="N21" l="1"/>
  <c r="L21"/>
  <c r="F21"/>
  <c r="Y15" l="1"/>
  <c r="Z16" s="1"/>
  <c r="Q16"/>
  <c r="Q18" l="1"/>
  <c r="P21"/>
  <c r="O21"/>
  <c r="P26" l="1"/>
  <c r="Q17"/>
  <c r="R21" l="1"/>
  <c r="M22" s="1"/>
  <c r="Y17" s="1"/>
  <c r="Z17" s="1"/>
  <c r="R24" s="1"/>
  <c r="Q21"/>
</calcChain>
</file>

<file path=xl/sharedStrings.xml><?xml version="1.0" encoding="utf-8"?>
<sst xmlns="http://schemas.openxmlformats.org/spreadsheetml/2006/main" count="125" uniqueCount="56">
  <si>
    <t>YES</t>
  </si>
  <si>
    <t>Regular Pay</t>
  </si>
  <si>
    <t>NO</t>
  </si>
  <si>
    <t>Fix Pay</t>
  </si>
  <si>
    <t>GPF</t>
  </si>
  <si>
    <t>NPS</t>
  </si>
  <si>
    <t>S.N</t>
  </si>
  <si>
    <t>MONTH</t>
  </si>
  <si>
    <t>lkrosa osrueku ds vuqlkj osru tks feyuk gSa</t>
  </si>
  <si>
    <t>NBsa osrueku ds vuqlkj osru tks feyk gSa</t>
  </si>
  <si>
    <t>osru dk vUrj</t>
  </si>
  <si>
    <t>INCOME TAX     (TDS)</t>
  </si>
  <si>
    <t>TOTAL DED.</t>
  </si>
  <si>
    <t xml:space="preserve">NET PAY </t>
  </si>
  <si>
    <t>Bill No &amp; Date</t>
  </si>
  <si>
    <t>Enc.Date</t>
  </si>
  <si>
    <t>Pay</t>
  </si>
  <si>
    <t>DA</t>
  </si>
  <si>
    <t>TOTAL</t>
  </si>
  <si>
    <t>JAN-17</t>
  </si>
  <si>
    <t>FEB-17</t>
  </si>
  <si>
    <t>MAR-17</t>
  </si>
  <si>
    <t>APR-17</t>
  </si>
  <si>
    <t>MAY-17</t>
  </si>
  <si>
    <t>JUN-17</t>
  </si>
  <si>
    <t>JUL-17</t>
  </si>
  <si>
    <t>AUG-17</t>
  </si>
  <si>
    <t>SEPT-17</t>
  </si>
  <si>
    <t>Grand Total</t>
  </si>
  <si>
    <t>POST</t>
  </si>
  <si>
    <t>GOVERNMENT OF RAJASTHAN</t>
  </si>
  <si>
    <t>NAME OF EMPLOYEE</t>
  </si>
  <si>
    <t>FIXETION.AREEAR 01.01-17 TO 30.09.17</t>
  </si>
  <si>
    <r>
      <rPr>
        <b/>
        <sz val="11"/>
        <color theme="1"/>
        <rFont val="Calibri"/>
        <family val="2"/>
        <scheme val="minor"/>
      </rPr>
      <t>(30 %</t>
    </r>
    <r>
      <rPr>
        <b/>
        <sz val="11"/>
        <color theme="1"/>
        <rFont val="Kruti Dev 010"/>
      </rPr>
      <t xml:space="preserve"> jkf'k </t>
    </r>
    <r>
      <rPr>
        <b/>
        <sz val="11"/>
        <color theme="1"/>
        <rFont val="Calibri"/>
        <family val="2"/>
        <scheme val="minor"/>
      </rPr>
      <t>)</t>
    </r>
  </si>
  <si>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</si>
  <si>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</si>
  <si>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v{kjs jkf'k</t>
  </si>
  <si>
    <t>Deducations</t>
  </si>
  <si>
    <t>Seal and Signature</t>
  </si>
  <si>
    <t>DDO</t>
  </si>
  <si>
    <t>Second installment of Arrear on 01-07-2018 (30% Amount)</t>
  </si>
  <si>
    <t>First installment of Arrear on 01-04-2018 (30% Amount)</t>
  </si>
  <si>
    <t>Third installment of Arrear on 01-10-2018 (40% Amount)</t>
  </si>
  <si>
    <r>
      <t xml:space="preserve">ls </t>
    </r>
    <r>
      <rPr>
        <b/>
        <sz val="13"/>
        <color theme="1"/>
        <rFont val="Calibri"/>
        <family val="2"/>
        <scheme val="minor"/>
      </rPr>
      <t>30-09-2017</t>
    </r>
    <r>
      <rPr>
        <b/>
        <sz val="13"/>
        <color theme="1"/>
        <rFont val="Kruti Dev 010"/>
      </rPr>
      <t xml:space="preserve"> rd fQDls'ku ,fj;j dh </t>
    </r>
    <r>
      <rPr>
        <b/>
        <sz val="13"/>
        <color theme="1"/>
        <rFont val="Calibri"/>
        <family val="2"/>
        <scheme val="minor"/>
      </rPr>
      <t>30%</t>
    </r>
    <r>
      <rPr>
        <b/>
        <sz val="13"/>
        <color theme="1"/>
        <rFont val="Kruti Dev 010"/>
      </rPr>
      <t xml:space="preserve"> jkf'k </t>
    </r>
  </si>
  <si>
    <t xml:space="preserve">fnukad </t>
  </si>
  <si>
    <t>HAD</t>
  </si>
  <si>
    <t>mahipal</t>
  </si>
  <si>
    <t>consitable</t>
  </si>
  <si>
    <t>thih,Q@,uih,l</t>
  </si>
  <si>
    <t>Office Of the Commadent of Police</t>
  </si>
  <si>
    <t>Heeralal jat</t>
  </si>
  <si>
    <t xml:space="preserve"> </t>
  </si>
  <si>
    <t>AJAY KUMAR</t>
  </si>
  <si>
    <t xml:space="preserve">All installment of Arrear on 01-10-2018 </t>
  </si>
  <si>
    <r>
      <t xml:space="preserve">ls </t>
    </r>
    <r>
      <rPr>
        <b/>
        <sz val="13"/>
        <color theme="1"/>
        <rFont val="Calibri"/>
        <family val="2"/>
        <scheme val="minor"/>
      </rPr>
      <t>30-09-2017</t>
    </r>
    <r>
      <rPr>
        <b/>
        <sz val="13"/>
        <color theme="1"/>
        <rFont val="Kruti Dev 010"/>
      </rPr>
      <t xml:space="preserve"> rd fQDls'ku ,fj;j dh </t>
    </r>
    <r>
      <rPr>
        <b/>
        <sz val="13"/>
        <color theme="1"/>
        <rFont val="Kruti Dev 010"/>
      </rPr>
      <t xml:space="preserve">jkf'k </t>
    </r>
  </si>
  <si>
    <r>
      <rPr>
        <b/>
        <sz val="11"/>
        <color theme="1"/>
        <rFont val="Calibri"/>
        <family val="2"/>
        <scheme val="minor"/>
      </rPr>
      <t>(</t>
    </r>
    <r>
      <rPr>
        <b/>
        <sz val="11"/>
        <color theme="1"/>
        <rFont val="Kruti Dev 010"/>
      </rPr>
      <t xml:space="preserve">dqy jkf'k </t>
    </r>
    <r>
      <rPr>
        <b/>
        <sz val="11"/>
        <color theme="1"/>
        <rFont val="Calibri"/>
        <family val="2"/>
        <scheme val="minor"/>
      </rPr>
      <t>)</t>
    </r>
  </si>
</sst>
</file>

<file path=xl/styles.xml><?xml version="1.0" encoding="utf-8"?>
<styleSheet xmlns="http://schemas.openxmlformats.org/spreadsheetml/2006/main">
  <numFmts count="1">
    <numFmt numFmtId="164" formatCode="#,##0_-[$₹-44D]"/>
  </numFmts>
  <fonts count="32">
    <font>
      <sz val="11"/>
      <color theme="1"/>
      <name val="Calibri"/>
      <family val="2"/>
      <scheme val="minor"/>
    </font>
    <font>
      <b/>
      <sz val="14"/>
      <color theme="1"/>
      <name val="Kruti Dev 010"/>
    </font>
    <font>
      <sz val="14"/>
      <color theme="1"/>
      <name val="Kruti Dev 010"/>
    </font>
    <font>
      <b/>
      <sz val="12"/>
      <color theme="1"/>
      <name val="Calibri"/>
      <family val="2"/>
      <scheme val="minor"/>
    </font>
    <font>
      <b/>
      <sz val="12"/>
      <color theme="1"/>
      <name val="Kruti Dev 010"/>
    </font>
    <font>
      <b/>
      <sz val="16"/>
      <name val="Kruti Dev 010"/>
    </font>
    <font>
      <sz val="16"/>
      <name val="Kruti Dev 010"/>
    </font>
    <font>
      <b/>
      <sz val="11"/>
      <name val="Calibri"/>
      <family val="2"/>
      <scheme val="minor"/>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4"/>
      <color rgb="FFFF0000"/>
      <name val="Calibri"/>
      <family val="2"/>
      <scheme val="minor"/>
    </font>
    <font>
      <b/>
      <u/>
      <sz val="13"/>
      <color theme="1"/>
      <name val="Kruti Dev 010"/>
    </font>
    <font>
      <b/>
      <sz val="11"/>
      <color theme="1"/>
      <name val="Calibri"/>
      <family val="2"/>
      <scheme val="minor"/>
    </font>
    <font>
      <b/>
      <sz val="13"/>
      <color theme="1"/>
      <name val="Calibri"/>
      <family val="2"/>
      <scheme val="minor"/>
    </font>
    <font>
      <b/>
      <sz val="13"/>
      <color theme="1"/>
      <name val="Kruti Dev 010"/>
    </font>
    <font>
      <b/>
      <sz val="10"/>
      <name val="Kruti Dev 010"/>
    </font>
    <font>
      <b/>
      <sz val="9"/>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b/>
      <sz val="14"/>
      <name val="Kruti Dev 010"/>
    </font>
    <font>
      <b/>
      <sz val="11"/>
      <color theme="1"/>
      <name val="Kruti Dev 010"/>
    </font>
    <font>
      <b/>
      <sz val="12"/>
      <color theme="5" tint="-0.249977111117893"/>
      <name val="Calibri"/>
      <family val="2"/>
      <scheme val="minor"/>
    </font>
    <font>
      <b/>
      <i/>
      <sz val="11"/>
      <name val="Kruti Dev 010"/>
    </font>
    <font>
      <sz val="12"/>
      <color theme="1"/>
      <name val="Calibri"/>
      <family val="2"/>
      <scheme val="minor"/>
    </font>
    <font>
      <b/>
      <i/>
      <sz val="14"/>
      <name val="Calibri"/>
      <family val="2"/>
      <scheme val="minor"/>
    </font>
    <font>
      <b/>
      <i/>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23">
    <border>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style="thin">
        <color theme="9" tint="-0.499984740745262"/>
      </top>
      <bottom/>
      <diagonal/>
    </border>
    <border>
      <left/>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medium">
        <color theme="9" tint="-0.499984740745262"/>
      </left>
      <right/>
      <top/>
      <bottom style="thin">
        <color theme="9" tint="-0.499984740745262"/>
      </bottom>
      <diagonal/>
    </border>
    <border>
      <left/>
      <right style="medium">
        <color theme="9" tint="-0.499984740745262"/>
      </right>
      <top/>
      <bottom style="thin">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2">
    <xf numFmtId="0" fontId="0" fillId="0" borderId="0"/>
    <xf numFmtId="0" fontId="21" fillId="0" borderId="0"/>
  </cellStyleXfs>
  <cellXfs count="138">
    <xf numFmtId="0" fontId="0" fillId="0" borderId="0" xfId="0"/>
    <xf numFmtId="0" fontId="0" fillId="0" borderId="0" xfId="0" applyProtection="1">
      <protection hidden="1"/>
    </xf>
    <xf numFmtId="0" fontId="0" fillId="0" borderId="0" xfId="0" applyNumberFormat="1" applyProtection="1">
      <protection hidden="1"/>
    </xf>
    <xf numFmtId="0" fontId="0" fillId="0" borderId="0" xfId="0" applyBorder="1" applyProtection="1">
      <protection hidden="1"/>
    </xf>
    <xf numFmtId="17" fontId="0" fillId="0" borderId="0" xfId="0" applyNumberFormat="1" applyProtection="1">
      <protection hidden="1"/>
    </xf>
    <xf numFmtId="0" fontId="4" fillId="0" borderId="0" xfId="0" applyFont="1" applyBorder="1" applyAlignment="1" applyProtection="1">
      <alignment vertical="center"/>
      <protection hidden="1"/>
    </xf>
    <xf numFmtId="49" fontId="20" fillId="0" borderId="1" xfId="0" applyNumberFormat="1" applyFont="1" applyBorder="1" applyAlignment="1" applyProtection="1">
      <alignment horizontal="center" vertical="center"/>
      <protection hidden="1"/>
    </xf>
    <xf numFmtId="0" fontId="13" fillId="0" borderId="1" xfId="0" applyNumberFormat="1" applyFont="1" applyBorder="1" applyAlignment="1" applyProtection="1">
      <alignment horizontal="center" vertical="center"/>
      <protection hidden="1"/>
    </xf>
    <xf numFmtId="0" fontId="16" fillId="0" borderId="0" xfId="0" applyFont="1" applyBorder="1" applyAlignment="1" applyProtection="1">
      <alignment horizontal="left" vertical="center"/>
      <protection hidden="1"/>
    </xf>
    <xf numFmtId="0" fontId="3" fillId="0" borderId="2" xfId="0" applyFont="1" applyBorder="1" applyAlignment="1" applyProtection="1">
      <alignment vertical="center"/>
      <protection hidden="1"/>
    </xf>
    <xf numFmtId="0" fontId="3" fillId="0" borderId="3" xfId="0" applyFont="1" applyBorder="1" applyAlignment="1" applyProtection="1">
      <alignment horizontal="right" vertical="center"/>
      <protection hidden="1"/>
    </xf>
    <xf numFmtId="0" fontId="4" fillId="0" borderId="3" xfId="0" applyFont="1" applyBorder="1" applyAlignment="1" applyProtection="1">
      <alignment vertical="center"/>
      <protection hidden="1"/>
    </xf>
    <xf numFmtId="0" fontId="11" fillId="0" borderId="0" xfId="1" applyFont="1" applyFill="1" applyAlignment="1" applyProtection="1">
      <alignment vertical="center"/>
      <protection hidden="1"/>
    </xf>
    <xf numFmtId="0" fontId="11" fillId="0" borderId="0" xfId="1" applyFont="1" applyFill="1" applyBorder="1" applyAlignment="1" applyProtection="1">
      <alignment vertical="center"/>
      <protection hidden="1"/>
    </xf>
    <xf numFmtId="0" fontId="22" fillId="0" borderId="0" xfId="1" applyFont="1" applyFill="1" applyAlignment="1" applyProtection="1">
      <alignment vertical="center" wrapText="1"/>
      <protection hidden="1"/>
    </xf>
    <xf numFmtId="14" fontId="0" fillId="0" borderId="0" xfId="0" applyNumberFormat="1" applyProtection="1">
      <protection hidden="1"/>
    </xf>
    <xf numFmtId="1" fontId="13" fillId="0" borderId="1" xfId="0" applyNumberFormat="1" applyFont="1" applyBorder="1" applyAlignment="1" applyProtection="1">
      <alignment horizontal="center" vertical="center"/>
      <protection hidden="1"/>
    </xf>
    <xf numFmtId="1" fontId="14" fillId="0" borderId="1" xfId="0" applyNumberFormat="1" applyFont="1" applyBorder="1" applyAlignment="1" applyProtection="1">
      <alignment horizontal="center" vertical="center"/>
      <protection hidden="1"/>
    </xf>
    <xf numFmtId="1" fontId="0" fillId="0" borderId="0" xfId="0" applyNumberFormat="1" applyProtection="1">
      <protection hidden="1"/>
    </xf>
    <xf numFmtId="0" fontId="10" fillId="0" borderId="4" xfId="0" applyFont="1" applyBorder="1" applyAlignment="1" applyProtection="1">
      <alignment vertical="center" wrapText="1"/>
      <protection hidden="1"/>
    </xf>
    <xf numFmtId="0" fontId="11" fillId="0" borderId="4" xfId="0" applyFont="1" applyBorder="1" applyAlignment="1" applyProtection="1">
      <alignment vertical="center" wrapText="1"/>
      <protection hidden="1"/>
    </xf>
    <xf numFmtId="0" fontId="29" fillId="0" borderId="0" xfId="0" applyFont="1" applyProtection="1">
      <protection hidden="1"/>
    </xf>
    <xf numFmtId="0" fontId="0" fillId="0" borderId="9" xfId="0" applyBorder="1" applyProtection="1">
      <protection hidden="1"/>
    </xf>
    <xf numFmtId="0" fontId="11" fillId="0" borderId="11" xfId="1" applyFont="1" applyFill="1" applyBorder="1" applyAlignment="1" applyProtection="1">
      <alignment vertical="center"/>
      <protection hidden="1"/>
    </xf>
    <xf numFmtId="0" fontId="0" fillId="0" borderId="12" xfId="0" applyBorder="1" applyProtection="1">
      <protection hidden="1"/>
    </xf>
    <xf numFmtId="0" fontId="11" fillId="0" borderId="13" xfId="1" applyFont="1" applyFill="1" applyBorder="1" applyAlignment="1" applyProtection="1">
      <alignment vertical="center"/>
      <protection hidden="1"/>
    </xf>
    <xf numFmtId="0" fontId="24" fillId="0" borderId="0" xfId="1" applyFont="1" applyFill="1" applyBorder="1" applyAlignment="1" applyProtection="1">
      <alignment horizontal="center" vertical="center"/>
      <protection hidden="1"/>
    </xf>
    <xf numFmtId="0" fontId="1" fillId="0" borderId="0" xfId="0" applyFont="1" applyBorder="1" applyAlignment="1" applyProtection="1">
      <protection hidden="1"/>
    </xf>
    <xf numFmtId="0" fontId="0" fillId="0" borderId="13" xfId="0" applyBorder="1" applyProtection="1">
      <protection hidden="1"/>
    </xf>
    <xf numFmtId="0" fontId="5" fillId="0" borderId="12"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20" fillId="0" borderId="14" xfId="0" applyFont="1" applyBorder="1" applyAlignment="1" applyProtection="1">
      <alignment horizontal="center"/>
      <protection hidden="1"/>
    </xf>
    <xf numFmtId="0" fontId="0" fillId="0" borderId="16" xfId="0" applyBorder="1" applyProtection="1">
      <protection hidden="1"/>
    </xf>
    <xf numFmtId="0" fontId="3" fillId="0" borderId="17" xfId="0" applyFont="1" applyBorder="1" applyAlignment="1" applyProtection="1">
      <alignment vertical="center"/>
      <protection hidden="1"/>
    </xf>
    <xf numFmtId="0" fontId="0" fillId="0" borderId="18" xfId="0" applyBorder="1" applyProtection="1">
      <protection hidden="1"/>
    </xf>
    <xf numFmtId="0" fontId="0" fillId="0" borderId="20" xfId="0" applyBorder="1" applyProtection="1">
      <protection hidden="1"/>
    </xf>
    <xf numFmtId="0" fontId="0" fillId="0" borderId="21" xfId="0" applyBorder="1" applyProtection="1">
      <protection hidden="1"/>
    </xf>
    <xf numFmtId="0" fontId="2" fillId="0" borderId="0"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12" fillId="0" borderId="1" xfId="0" applyFont="1" applyBorder="1" applyAlignment="1" applyProtection="1">
      <alignment horizontal="center" vertical="center"/>
      <protection hidden="1"/>
    </xf>
    <xf numFmtId="0" fontId="18" fillId="0" borderId="2" xfId="0" applyFont="1" applyBorder="1" applyAlignment="1" applyProtection="1">
      <alignment horizontal="right" vertical="center"/>
      <protection hidden="1"/>
    </xf>
    <xf numFmtId="0" fontId="7" fillId="0" borderId="1" xfId="0" applyFont="1" applyBorder="1" applyAlignment="1" applyProtection="1">
      <alignment horizontal="center" vertical="center"/>
      <protection hidden="1"/>
    </xf>
    <xf numFmtId="0" fontId="24" fillId="3" borderId="0" xfId="1" applyFont="1" applyFill="1" applyBorder="1" applyAlignment="1" applyProtection="1">
      <alignment horizontal="center" vertical="center"/>
      <protection locked="0"/>
    </xf>
    <xf numFmtId="1" fontId="12" fillId="2" borderId="1" xfId="0" applyNumberFormat="1" applyFont="1" applyFill="1" applyBorder="1" applyAlignment="1" applyProtection="1">
      <alignment horizontal="center" vertical="center"/>
      <protection hidden="1"/>
    </xf>
    <xf numFmtId="1" fontId="12" fillId="0" borderId="1" xfId="0" applyNumberFormat="1"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wrapText="1"/>
      <protection hidden="1"/>
    </xf>
    <xf numFmtId="1" fontId="12" fillId="2" borderId="1" xfId="0" applyNumberFormat="1" applyFont="1" applyFill="1" applyBorder="1" applyAlignment="1" applyProtection="1">
      <alignment horizontal="center" vertical="center"/>
      <protection locked="0" hidden="1"/>
    </xf>
    <xf numFmtId="0" fontId="12" fillId="0" borderId="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protection hidden="1"/>
    </xf>
    <xf numFmtId="0" fontId="9" fillId="0" borderId="0" xfId="1" applyFont="1" applyFill="1" applyBorder="1" applyAlignment="1" applyProtection="1">
      <alignment horizontal="center" vertical="center"/>
      <protection hidden="1"/>
    </xf>
    <xf numFmtId="0" fontId="3" fillId="0" borderId="3" xfId="0" applyFont="1" applyBorder="1" applyAlignment="1" applyProtection="1">
      <alignment horizontal="left"/>
      <protection hidden="1"/>
    </xf>
    <xf numFmtId="0" fontId="3" fillId="0" borderId="0" xfId="0" applyFont="1" applyBorder="1" applyAlignment="1" applyProtection="1">
      <alignment horizontal="left"/>
      <protection hidden="1"/>
    </xf>
    <xf numFmtId="0" fontId="15" fillId="0" borderId="0" xfId="0" applyFont="1" applyBorder="1" applyAlignment="1" applyProtection="1">
      <alignment horizontal="center" vertical="top"/>
      <protection hidden="1"/>
    </xf>
    <xf numFmtId="14" fontId="17" fillId="0" borderId="2" xfId="0" applyNumberFormat="1"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protection hidden="1"/>
    </xf>
    <xf numFmtId="0" fontId="15" fillId="0" borderId="0" xfId="0" applyFont="1" applyBorder="1" applyAlignment="1" applyProtection="1">
      <alignment horizontal="center" vertical="top"/>
      <protection hidden="1"/>
    </xf>
    <xf numFmtId="0" fontId="3" fillId="0" borderId="3" xfId="0" applyFont="1" applyBorder="1" applyAlignment="1" applyProtection="1">
      <alignment horizontal="left"/>
      <protection hidden="1"/>
    </xf>
    <xf numFmtId="0" fontId="12" fillId="0" borderId="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hidden="1"/>
    </xf>
    <xf numFmtId="1" fontId="12" fillId="4" borderId="1" xfId="0" applyNumberFormat="1" applyFont="1" applyFill="1" applyBorder="1" applyAlignment="1" applyProtection="1">
      <alignment horizontal="center" vertical="center"/>
      <protection hidden="1"/>
    </xf>
    <xf numFmtId="0" fontId="12" fillId="0" borderId="6" xfId="0" applyFont="1" applyBorder="1" applyAlignment="1" applyProtection="1">
      <alignment horizontal="center" vertical="center"/>
      <protection locked="0"/>
    </xf>
    <xf numFmtId="0" fontId="0" fillId="0" borderId="0" xfId="0" applyNumberFormat="1" applyBorder="1" applyProtection="1">
      <protection hidden="1"/>
    </xf>
    <xf numFmtId="14" fontId="0" fillId="0" borderId="0" xfId="0" applyNumberFormat="1" applyBorder="1" applyProtection="1">
      <protection hidden="1"/>
    </xf>
    <xf numFmtId="0" fontId="24"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1" fillId="0" borderId="0" xfId="0" applyFont="1" applyBorder="1" applyAlignment="1" applyProtection="1">
      <protection locked="0"/>
    </xf>
    <xf numFmtId="0" fontId="6" fillId="0" borderId="0" xfId="0" applyFont="1" applyBorder="1" applyAlignment="1" applyProtection="1">
      <alignment horizontal="center"/>
      <protection locked="0"/>
    </xf>
    <xf numFmtId="0" fontId="0" fillId="0" borderId="0" xfId="0" applyBorder="1" applyProtection="1">
      <protection locked="0"/>
    </xf>
    <xf numFmtId="1" fontId="12" fillId="4" borderId="1" xfId="0" applyNumberFormat="1" applyFont="1" applyFill="1" applyBorder="1" applyAlignment="1" applyProtection="1">
      <alignment horizontal="center" vertical="center"/>
      <protection locked="0"/>
    </xf>
    <xf numFmtId="1" fontId="12" fillId="2" borderId="1" xfId="0" applyNumberFormat="1" applyFont="1" applyFill="1" applyBorder="1" applyAlignment="1" applyProtection="1">
      <alignment horizontal="center" vertical="center"/>
      <protection locked="0"/>
    </xf>
    <xf numFmtId="0" fontId="18" fillId="0" borderId="2" xfId="0" applyFont="1" applyBorder="1" applyAlignment="1" applyProtection="1">
      <alignment vertical="center"/>
      <protection hidden="1"/>
    </xf>
    <xf numFmtId="0" fontId="24" fillId="0" borderId="10" xfId="1" applyFont="1" applyFill="1" applyBorder="1" applyAlignment="1" applyProtection="1">
      <alignment horizontal="center" vertical="center"/>
      <protection hidden="1"/>
    </xf>
    <xf numFmtId="0" fontId="30"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left" vertical="center" wrapText="1"/>
      <protection hidden="1"/>
    </xf>
    <xf numFmtId="0" fontId="8" fillId="0" borderId="0" xfId="1" applyFont="1" applyFill="1" applyBorder="1" applyAlignment="1" applyProtection="1">
      <alignment horizontal="right" vertical="center"/>
      <protection hidden="1"/>
    </xf>
    <xf numFmtId="0" fontId="23" fillId="0" borderId="0" xfId="1" applyFont="1" applyFill="1" applyBorder="1" applyAlignment="1" applyProtection="1">
      <alignment horizontal="center" vertical="center"/>
      <protection hidden="1"/>
    </xf>
    <xf numFmtId="0" fontId="4" fillId="0" borderId="0" xfId="0" applyFont="1" applyBorder="1" applyAlignment="1" applyProtection="1">
      <alignment horizontal="center"/>
      <protection hidden="1"/>
    </xf>
    <xf numFmtId="0" fontId="24" fillId="3" borderId="3" xfId="0" applyFont="1" applyFill="1" applyBorder="1" applyAlignment="1" applyProtection="1">
      <alignment horizontal="center" vertical="center"/>
      <protection locked="0"/>
    </xf>
    <xf numFmtId="0" fontId="7" fillId="0" borderId="14"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7" fillId="0" borderId="6"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textRotation="90"/>
      <protection hidden="1"/>
    </xf>
    <xf numFmtId="0" fontId="11" fillId="0" borderId="15" xfId="0" applyFont="1" applyBorder="1" applyAlignment="1" applyProtection="1">
      <alignment horizontal="center" vertical="center" textRotation="90"/>
      <protection hidden="1"/>
    </xf>
    <xf numFmtId="49" fontId="7" fillId="0" borderId="14" xfId="0" applyNumberFormat="1" applyFont="1" applyBorder="1" applyAlignment="1" applyProtection="1">
      <alignment horizontal="center" vertical="center"/>
      <protection hidden="1"/>
    </xf>
    <xf numFmtId="49" fontId="7" fillId="0" borderId="1" xfId="0" applyNumberFormat="1" applyFont="1" applyBorder="1" applyAlignment="1" applyProtection="1">
      <alignment horizontal="center" vertical="center"/>
      <protection hidden="1"/>
    </xf>
    <xf numFmtId="0" fontId="12" fillId="0" borderId="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164" fontId="18" fillId="0" borderId="2" xfId="0" applyNumberFormat="1" applyFont="1" applyBorder="1" applyAlignment="1" applyProtection="1">
      <alignment horizontal="left" vertical="center"/>
      <protection hidden="1"/>
    </xf>
    <xf numFmtId="164" fontId="17" fillId="0" borderId="2" xfId="0" applyNumberFormat="1"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18" fillId="0" borderId="2" xfId="0" applyFont="1" applyBorder="1" applyAlignment="1" applyProtection="1">
      <alignment horizontal="right" vertical="center"/>
      <protection hidden="1"/>
    </xf>
    <xf numFmtId="0" fontId="17" fillId="0" borderId="2" xfId="0" applyFont="1" applyBorder="1" applyAlignment="1" applyProtection="1">
      <alignment horizontal="center" vertical="center"/>
      <protection hidden="1"/>
    </xf>
    <xf numFmtId="0" fontId="15" fillId="0" borderId="0" xfId="0" applyFont="1" applyBorder="1" applyAlignment="1" applyProtection="1">
      <alignment horizontal="center" vertical="top"/>
      <protection hidden="1"/>
    </xf>
    <xf numFmtId="0" fontId="26" fillId="0" borderId="0"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25" fillId="0" borderId="0" xfId="0" applyFont="1" applyBorder="1" applyAlignment="1" applyProtection="1">
      <alignment horizontal="center" vertical="center" wrapText="1"/>
      <protection hidden="1"/>
    </xf>
    <xf numFmtId="0" fontId="25" fillId="0" borderId="13" xfId="0" applyFont="1" applyBorder="1" applyAlignment="1" applyProtection="1">
      <alignment horizontal="center" vertical="center" wrapText="1"/>
      <protection hidden="1"/>
    </xf>
    <xf numFmtId="0" fontId="3" fillId="0" borderId="0" xfId="0" applyFont="1" applyBorder="1" applyAlignment="1" applyProtection="1">
      <alignment horizontal="right" vertical="center"/>
      <protection hidden="1"/>
    </xf>
    <xf numFmtId="0" fontId="11" fillId="0" borderId="0"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3" fillId="0" borderId="0" xfId="0" applyFont="1" applyBorder="1" applyAlignment="1" applyProtection="1">
      <alignment horizontal="left"/>
      <protection hidden="1"/>
    </xf>
    <xf numFmtId="0" fontId="31" fillId="0" borderId="0" xfId="0" applyFont="1" applyBorder="1" applyAlignment="1" applyProtection="1">
      <alignment horizontal="center"/>
      <protection hidden="1"/>
    </xf>
    <xf numFmtId="0" fontId="31" fillId="0" borderId="13" xfId="0" applyFont="1" applyBorder="1" applyAlignment="1" applyProtection="1">
      <alignment horizontal="center"/>
      <protection hidden="1"/>
    </xf>
    <xf numFmtId="0" fontId="31" fillId="0" borderId="21" xfId="0" applyFont="1" applyBorder="1" applyAlignment="1" applyProtection="1">
      <alignment horizontal="center"/>
      <protection hidden="1"/>
    </xf>
    <xf numFmtId="0" fontId="31" fillId="0" borderId="22" xfId="0" applyFont="1" applyBorder="1" applyAlignment="1" applyProtection="1">
      <alignment horizontal="center"/>
      <protection hidden="1"/>
    </xf>
    <xf numFmtId="0" fontId="3" fillId="0" borderId="3" xfId="0" applyFont="1" applyBorder="1" applyAlignment="1" applyProtection="1">
      <alignment horizontal="left"/>
      <protection hidden="1"/>
    </xf>
    <xf numFmtId="0" fontId="26" fillId="0" borderId="3" xfId="0" applyFont="1" applyBorder="1" applyAlignment="1" applyProtection="1">
      <alignment horizontal="center"/>
      <protection hidden="1"/>
    </xf>
    <xf numFmtId="0" fontId="27" fillId="0" borderId="3" xfId="0" applyFont="1" applyBorder="1" applyAlignment="1" applyProtection="1">
      <alignment horizontal="center" vertical="center"/>
      <protection hidden="1"/>
    </xf>
    <xf numFmtId="0" fontId="28" fillId="0" borderId="3" xfId="0" applyFont="1" applyBorder="1" applyAlignment="1" applyProtection="1">
      <alignment horizontal="center" vertical="center"/>
      <protection hidden="1"/>
    </xf>
    <xf numFmtId="0" fontId="28" fillId="0" borderId="19" xfId="0" applyFont="1" applyBorder="1" applyAlignment="1" applyProtection="1">
      <alignment horizontal="center" vertical="center"/>
      <protection hidden="1"/>
    </xf>
    <xf numFmtId="0" fontId="31" fillId="0" borderId="0" xfId="0" applyFont="1" applyBorder="1" applyAlignment="1" applyProtection="1">
      <alignment horizontal="center" vertical="center" wrapText="1"/>
      <protection locked="0" hidden="1"/>
    </xf>
    <xf numFmtId="0" fontId="31" fillId="0" borderId="13" xfId="0" applyFont="1" applyBorder="1" applyAlignment="1" applyProtection="1">
      <alignment horizontal="center" vertical="center" wrapText="1"/>
      <protection locked="0" hidden="1"/>
    </xf>
    <xf numFmtId="0" fontId="31" fillId="0" borderId="0" xfId="0" applyFont="1" applyBorder="1" applyAlignment="1" applyProtection="1">
      <alignment horizontal="center"/>
      <protection locked="0"/>
    </xf>
    <xf numFmtId="0" fontId="31" fillId="0" borderId="13" xfId="0" applyFont="1" applyBorder="1" applyAlignment="1" applyProtection="1">
      <alignment horizontal="center"/>
      <protection locked="0"/>
    </xf>
    <xf numFmtId="0" fontId="31" fillId="0" borderId="21" xfId="0" applyFont="1" applyBorder="1" applyAlignment="1" applyProtection="1">
      <alignment horizontal="center"/>
      <protection locked="0"/>
    </xf>
    <xf numFmtId="0" fontId="31" fillId="0" borderId="22" xfId="0" applyFont="1" applyBorder="1" applyAlignment="1" applyProtection="1">
      <alignment horizontal="center"/>
      <protection locked="0"/>
    </xf>
    <xf numFmtId="0" fontId="31" fillId="0" borderId="0"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14" fontId="17" fillId="0" borderId="2" xfId="0" applyNumberFormat="1" applyFont="1" applyBorder="1" applyAlignment="1" applyProtection="1">
      <alignment horizontal="center" vertical="center"/>
      <protection hidden="1"/>
    </xf>
    <xf numFmtId="0" fontId="9" fillId="0" borderId="0" xfId="1" applyFont="1" applyFill="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7" fillId="0" borderId="4"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30"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right" vertical="center"/>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3</xdr:row>
      <xdr:rowOff>0</xdr:rowOff>
    </xdr:from>
    <xdr:to>
      <xdr:col>44</xdr:col>
      <xdr:colOff>28575</xdr:colOff>
      <xdr:row>5</xdr:row>
      <xdr:rowOff>174498</xdr:rowOff>
    </xdr:to>
    <xdr:sp macro="" textlink="">
      <xdr:nvSpPr>
        <xdr:cNvPr id="2" name="Oval Callout 1"/>
        <xdr:cNvSpPr/>
      </xdr:nvSpPr>
      <xdr:spPr>
        <a:xfrm>
          <a:off x="12763500" y="600075"/>
          <a:ext cx="1857375" cy="612648"/>
        </a:xfrm>
        <a:prstGeom prst="wedgeEllipseCallout">
          <a:avLst>
            <a:gd name="adj1" fmla="val -106256"/>
            <a:gd name="adj2" fmla="val -19899"/>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NPS/GPF</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3</xdr:row>
      <xdr:rowOff>0</xdr:rowOff>
    </xdr:from>
    <xdr:to>
      <xdr:col>45</xdr:col>
      <xdr:colOff>28575</xdr:colOff>
      <xdr:row>5</xdr:row>
      <xdr:rowOff>174498</xdr:rowOff>
    </xdr:to>
    <xdr:sp macro="" textlink="">
      <xdr:nvSpPr>
        <xdr:cNvPr id="2" name="Oval Callout 1"/>
        <xdr:cNvSpPr/>
      </xdr:nvSpPr>
      <xdr:spPr>
        <a:xfrm>
          <a:off x="12763500" y="600075"/>
          <a:ext cx="1857375" cy="612648"/>
        </a:xfrm>
        <a:prstGeom prst="wedgeEllipseCallout">
          <a:avLst>
            <a:gd name="adj1" fmla="val -106256"/>
            <a:gd name="adj2" fmla="val -19899"/>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NPS/GPF</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O30"/>
  <sheetViews>
    <sheetView workbookViewId="0">
      <selection activeCell="AP10" sqref="AP10"/>
    </sheetView>
  </sheetViews>
  <sheetFormatPr defaultRowHeight="15"/>
  <cols>
    <col min="1" max="1" width="4.85546875" style="1" customWidth="1"/>
    <col min="2" max="2" width="9.42578125" style="1" customWidth="1"/>
    <col min="3" max="15" width="7.7109375" style="1" customWidth="1"/>
    <col min="16" max="17" width="7.42578125" style="1" customWidth="1"/>
    <col min="18" max="18" width="8.42578125" style="1" customWidth="1"/>
    <col min="19" max="19" width="11.140625" style="1" customWidth="1"/>
    <col min="20" max="20" width="12.5703125" style="1" customWidth="1"/>
    <col min="21" max="22" width="9.140625" style="1"/>
    <col min="23" max="25" width="9.140625" style="1" hidden="1" customWidth="1"/>
    <col min="26" max="26" width="27.140625" style="1" hidden="1" customWidth="1"/>
    <col min="27" max="41" width="9.140625" style="1" hidden="1" customWidth="1"/>
    <col min="42" max="50" width="9.140625" style="1" customWidth="1"/>
    <col min="51" max="16384" width="9.140625" style="1"/>
  </cols>
  <sheetData>
    <row r="1" spans="1:40" ht="9.75" customHeight="1" thickBot="1">
      <c r="Z1" s="1" t="s">
        <v>41</v>
      </c>
      <c r="AC1" s="4"/>
    </row>
    <row r="2" spans="1:40" ht="18.75">
      <c r="A2" s="22"/>
      <c r="B2" s="77" t="s">
        <v>30</v>
      </c>
      <c r="C2" s="77"/>
      <c r="D2" s="77"/>
      <c r="E2" s="77"/>
      <c r="F2" s="77"/>
      <c r="G2" s="77"/>
      <c r="H2" s="77"/>
      <c r="I2" s="77"/>
      <c r="J2" s="77"/>
      <c r="K2" s="77"/>
      <c r="L2" s="77"/>
      <c r="M2" s="77"/>
      <c r="N2" s="77"/>
      <c r="O2" s="77"/>
      <c r="P2" s="77"/>
      <c r="Q2" s="77"/>
      <c r="R2" s="77"/>
      <c r="S2" s="77"/>
      <c r="T2" s="23"/>
      <c r="U2" s="12"/>
      <c r="V2" s="12"/>
      <c r="W2" s="12"/>
      <c r="X2" s="12"/>
      <c r="Z2" s="1" t="s">
        <v>40</v>
      </c>
      <c r="AC2" s="4"/>
      <c r="AF2" s="1" t="s">
        <v>3</v>
      </c>
      <c r="AG2" s="1" t="b">
        <v>0</v>
      </c>
    </row>
    <row r="3" spans="1:40" ht="18.75">
      <c r="A3" s="24"/>
      <c r="B3" s="78" t="s">
        <v>49</v>
      </c>
      <c r="C3" s="78"/>
      <c r="D3" s="78"/>
      <c r="E3" s="78"/>
      <c r="F3" s="78"/>
      <c r="G3" s="78"/>
      <c r="H3" s="78"/>
      <c r="I3" s="78"/>
      <c r="J3" s="78"/>
      <c r="K3" s="78"/>
      <c r="L3" s="78"/>
      <c r="M3" s="78"/>
      <c r="N3" s="78"/>
      <c r="O3" s="78"/>
      <c r="P3" s="78"/>
      <c r="Q3" s="78"/>
      <c r="R3" s="78"/>
      <c r="S3" s="78"/>
      <c r="T3" s="25"/>
      <c r="U3" s="12"/>
      <c r="V3" s="12"/>
      <c r="W3" s="12"/>
      <c r="X3" s="12"/>
      <c r="Z3" s="1" t="s">
        <v>42</v>
      </c>
      <c r="AC3" s="4"/>
      <c r="AG3" s="1" t="b">
        <v>1</v>
      </c>
    </row>
    <row r="4" spans="1:40" ht="18.75">
      <c r="A4" s="24"/>
      <c r="B4" s="26"/>
      <c r="C4" s="79" t="s">
        <v>31</v>
      </c>
      <c r="D4" s="79"/>
      <c r="E4" s="79"/>
      <c r="F4" s="79"/>
      <c r="G4" s="80" t="s">
        <v>52</v>
      </c>
      <c r="H4" s="80"/>
      <c r="I4" s="80"/>
      <c r="J4" s="80"/>
      <c r="K4" s="79" t="s">
        <v>29</v>
      </c>
      <c r="L4" s="79"/>
      <c r="M4" s="53"/>
      <c r="N4" s="80" t="s">
        <v>47</v>
      </c>
      <c r="O4" s="80"/>
      <c r="P4" s="80"/>
      <c r="Q4" s="81" t="s">
        <v>48</v>
      </c>
      <c r="R4" s="81"/>
      <c r="S4" s="42" t="s">
        <v>5</v>
      </c>
      <c r="T4" s="25"/>
      <c r="U4" s="82"/>
      <c r="V4" s="82"/>
      <c r="W4" s="14"/>
      <c r="X4" s="14"/>
      <c r="AB4" s="1" t="str">
        <f>S4</f>
        <v>NPS</v>
      </c>
      <c r="AC4" s="4"/>
    </row>
    <row r="5" spans="1:40" ht="15.75">
      <c r="A5" s="24"/>
      <c r="B5" s="79" t="s">
        <v>32</v>
      </c>
      <c r="C5" s="79"/>
      <c r="D5" s="79"/>
      <c r="E5" s="79"/>
      <c r="F5" s="79"/>
      <c r="G5" s="79"/>
      <c r="H5" s="79"/>
      <c r="I5" s="79"/>
      <c r="J5" s="79"/>
      <c r="K5" s="79"/>
      <c r="L5" s="79"/>
      <c r="M5" s="79"/>
      <c r="N5" s="79"/>
      <c r="O5" s="79"/>
      <c r="P5" s="79"/>
      <c r="Q5" s="79"/>
      <c r="R5" s="79"/>
      <c r="S5" s="79"/>
      <c r="T5" s="25"/>
      <c r="U5" s="13"/>
      <c r="V5" s="13"/>
      <c r="W5" s="13"/>
      <c r="X5" s="13"/>
      <c r="AC5" s="4"/>
    </row>
    <row r="6" spans="1:40" ht="18.75">
      <c r="A6" s="24"/>
      <c r="B6" s="27"/>
      <c r="C6" s="83"/>
      <c r="D6" s="83"/>
      <c r="E6" s="83"/>
      <c r="F6" s="83"/>
      <c r="G6" s="83"/>
      <c r="H6" s="83"/>
      <c r="I6" s="83"/>
      <c r="J6" s="83"/>
      <c r="K6" s="83"/>
      <c r="L6" s="83"/>
      <c r="M6" s="83"/>
      <c r="N6" s="83"/>
      <c r="O6" s="83"/>
      <c r="P6" s="83"/>
      <c r="Q6" s="83"/>
      <c r="R6" s="83"/>
      <c r="S6" s="27"/>
      <c r="T6" s="28"/>
      <c r="Z6" s="1" t="s">
        <v>1</v>
      </c>
      <c r="AA6" s="1" t="s">
        <v>4</v>
      </c>
      <c r="AB6" s="1" t="s">
        <v>0</v>
      </c>
      <c r="AC6" s="4"/>
    </row>
    <row r="7" spans="1:40" ht="20.25">
      <c r="A7" s="29"/>
      <c r="B7" s="30"/>
      <c r="C7" s="30"/>
      <c r="D7" s="30"/>
      <c r="E7" s="30"/>
      <c r="F7" s="84" t="s">
        <v>53</v>
      </c>
      <c r="G7" s="84"/>
      <c r="H7" s="84"/>
      <c r="I7" s="84"/>
      <c r="J7" s="84"/>
      <c r="K7" s="84"/>
      <c r="L7" s="84"/>
      <c r="M7" s="84"/>
      <c r="N7" s="84"/>
      <c r="O7" s="84"/>
      <c r="P7" s="30"/>
      <c r="Q7" s="30"/>
      <c r="R7" s="30"/>
      <c r="S7" s="3"/>
      <c r="T7" s="28"/>
      <c r="Z7" s="1" t="s">
        <v>3</v>
      </c>
      <c r="AA7" s="1" t="s">
        <v>5</v>
      </c>
      <c r="AB7" s="1" t="s">
        <v>2</v>
      </c>
      <c r="AC7" s="4"/>
      <c r="AE7" s="15"/>
    </row>
    <row r="8" spans="1:40" ht="27.75" customHeight="1">
      <c r="A8" s="85" t="s">
        <v>6</v>
      </c>
      <c r="B8" s="86" t="s">
        <v>7</v>
      </c>
      <c r="C8" s="87" t="s">
        <v>8</v>
      </c>
      <c r="D8" s="87"/>
      <c r="E8" s="87"/>
      <c r="F8" s="87"/>
      <c r="G8" s="87" t="s">
        <v>9</v>
      </c>
      <c r="H8" s="87"/>
      <c r="I8" s="87"/>
      <c r="J8" s="87"/>
      <c r="K8" s="88" t="s">
        <v>10</v>
      </c>
      <c r="L8" s="88"/>
      <c r="M8" s="88"/>
      <c r="N8" s="88"/>
      <c r="O8" s="89" t="s">
        <v>37</v>
      </c>
      <c r="P8" s="90"/>
      <c r="Q8" s="91"/>
      <c r="R8" s="92" t="s">
        <v>13</v>
      </c>
      <c r="S8" s="93" t="s">
        <v>14</v>
      </c>
      <c r="T8" s="94" t="s">
        <v>15</v>
      </c>
      <c r="AC8" s="4"/>
      <c r="AE8" s="15">
        <v>42736</v>
      </c>
    </row>
    <row r="9" spans="1:40" ht="33.75" customHeight="1">
      <c r="A9" s="85"/>
      <c r="B9" s="86"/>
      <c r="C9" s="41" t="s">
        <v>16</v>
      </c>
      <c r="D9" s="41" t="s">
        <v>17</v>
      </c>
      <c r="E9" s="41" t="s">
        <v>45</v>
      </c>
      <c r="F9" s="41" t="s">
        <v>18</v>
      </c>
      <c r="G9" s="41" t="s">
        <v>16</v>
      </c>
      <c r="H9" s="41" t="s">
        <v>17</v>
      </c>
      <c r="I9" s="41" t="s">
        <v>45</v>
      </c>
      <c r="J9" s="41" t="s">
        <v>18</v>
      </c>
      <c r="K9" s="41" t="s">
        <v>16</v>
      </c>
      <c r="L9" s="41" t="s">
        <v>17</v>
      </c>
      <c r="M9" s="41" t="s">
        <v>45</v>
      </c>
      <c r="N9" s="41" t="s">
        <v>18</v>
      </c>
      <c r="O9" s="20" t="str">
        <f>IF(AND($AB$4=$AA$6),"CREDIT IN GPF",IF(AND($AB$4=$AA$7),"NPS Ded. ",""))</f>
        <v xml:space="preserve">NPS Ded. </v>
      </c>
      <c r="P9" s="19" t="s">
        <v>11</v>
      </c>
      <c r="Q9" s="20" t="s">
        <v>12</v>
      </c>
      <c r="R9" s="92"/>
      <c r="S9" s="93"/>
      <c r="T9" s="94"/>
      <c r="AC9" s="4"/>
    </row>
    <row r="10" spans="1:40" ht="18" customHeight="1">
      <c r="A10" s="31">
        <v>1</v>
      </c>
      <c r="B10" s="6" t="s">
        <v>19</v>
      </c>
      <c r="C10" s="65">
        <v>40100</v>
      </c>
      <c r="D10" s="44">
        <f>ROUND((C10*4%),0)</f>
        <v>1604</v>
      </c>
      <c r="E10" s="44">
        <f>ROUND((C10+D10)/12,0)</f>
        <v>3475</v>
      </c>
      <c r="F10" s="44">
        <f>SUM(C10:E10)</f>
        <v>45179</v>
      </c>
      <c r="G10" s="65">
        <v>16080</v>
      </c>
      <c r="H10" s="44">
        <f>ROUND((G10*136%),0)</f>
        <v>21869</v>
      </c>
      <c r="I10" s="44">
        <f>ROUND((G10+H10)/12,0)</f>
        <v>3162</v>
      </c>
      <c r="J10" s="44">
        <f>SUM(G10:I10)</f>
        <v>41111</v>
      </c>
      <c r="K10" s="43">
        <f>IF(AND(C10=""),"",IF(AND(G10=""),"",C10-G10))</f>
        <v>24020</v>
      </c>
      <c r="L10" s="43">
        <f>IF(AND(D10=""),"",IF(AND(H10=""),"",D10-H10))</f>
        <v>-20265</v>
      </c>
      <c r="M10" s="43">
        <f>IF(AND(E10=""),"",IF(AND(I10=""),"",E10-I10))</f>
        <v>313</v>
      </c>
      <c r="N10" s="44">
        <f>SUM(K10:M10)</f>
        <v>4068</v>
      </c>
      <c r="O10" s="48">
        <f t="shared" ref="O10:O18" si="0">IF(AND(C10=""),"",IF(AND(N10=""),"",IF(AND($AB$4=$AA$6),N10-ROUND(((N10)*10%),0),ROUND(((N10)*10%),0))))</f>
        <v>407</v>
      </c>
      <c r="P10" s="48">
        <f t="shared" ref="P10:P18" si="1">IF(AND($AB$4=$AA$6),ROUND(((N10)*10%),0),ROUND(((N10-O10)*10%),0))</f>
        <v>366</v>
      </c>
      <c r="Q10" s="44">
        <f t="shared" ref="Q10:Q18" si="2">IF(AND(N10=""),"",IF(AND(O10=""),"",IF(AND(P10=""),"",SUM(O10+P10))))</f>
        <v>773</v>
      </c>
      <c r="R10" s="45">
        <f t="shared" ref="R10:R18" si="3">IF(AND(N10=""),"",IF(AND(C10=0),"",IF(AND(Q10=""),N10,N10-Q10)))</f>
        <v>3295</v>
      </c>
      <c r="S10" s="49"/>
      <c r="T10" s="50"/>
      <c r="X10" s="1" t="str">
        <f>IF(AND($AB$4=$AA$6),"CREDIT IN GPF",IF(AND($AB$4=$AA$7),"NPS Ded.",""))</f>
        <v>NPS Ded.</v>
      </c>
      <c r="AC10" s="4"/>
      <c r="AN10" s="1" t="e">
        <f>IF(AND(C10=""),"",IF(AND(C10=0),"",IF(AND(N10=""),"",ROUND(((#REF!-O10)*$AD$4%),0))))</f>
        <v>#REF!</v>
      </c>
    </row>
    <row r="11" spans="1:40" ht="18" customHeight="1">
      <c r="A11" s="31">
        <v>2</v>
      </c>
      <c r="B11" s="6" t="s">
        <v>20</v>
      </c>
      <c r="C11" s="43">
        <f>C10</f>
        <v>40100</v>
      </c>
      <c r="D11" s="44">
        <f t="shared" ref="D11:D15" si="4">ROUND((C11*4%),0)</f>
        <v>1604</v>
      </c>
      <c r="E11" s="44">
        <f>ROUND((C11+D11)/12,0)</f>
        <v>3475</v>
      </c>
      <c r="F11" s="44">
        <f t="shared" ref="F11:F18" si="5">SUM(C11:E11)</f>
        <v>45179</v>
      </c>
      <c r="G11" s="43">
        <f>G10</f>
        <v>16080</v>
      </c>
      <c r="H11" s="44">
        <f t="shared" ref="H11:H15" si="6">ROUND((G11*136%),0)</f>
        <v>21869</v>
      </c>
      <c r="I11" s="44">
        <f t="shared" ref="I11:I18" si="7">ROUND((G11+H11)/12,0)</f>
        <v>3162</v>
      </c>
      <c r="J11" s="44">
        <f t="shared" ref="J11:J18" si="8">SUM(G11:I11)</f>
        <v>41111</v>
      </c>
      <c r="K11" s="43">
        <f t="shared" ref="K11:L18" si="9">IF(AND(C11=""),"",IF(AND(G11=""),"",C11-G11))</f>
        <v>24020</v>
      </c>
      <c r="L11" s="43">
        <f t="shared" si="9"/>
        <v>-20265</v>
      </c>
      <c r="M11" s="43">
        <f t="shared" ref="M11:M18" si="10">IF(AND(E11=""),"",IF(AND(I11=""),"",E11-I11))</f>
        <v>313</v>
      </c>
      <c r="N11" s="44">
        <f t="shared" ref="N11:N18" si="11">SUM(K11:M11)</f>
        <v>4068</v>
      </c>
      <c r="O11" s="48">
        <f t="shared" si="0"/>
        <v>407</v>
      </c>
      <c r="P11" s="48">
        <f t="shared" si="1"/>
        <v>366</v>
      </c>
      <c r="Q11" s="44">
        <f t="shared" si="2"/>
        <v>773</v>
      </c>
      <c r="R11" s="45">
        <f t="shared" si="3"/>
        <v>3295</v>
      </c>
      <c r="S11" s="49"/>
      <c r="T11" s="50"/>
      <c r="Y11" s="1">
        <v>30</v>
      </c>
      <c r="AC11" s="4"/>
    </row>
    <row r="12" spans="1:40" ht="18" customHeight="1">
      <c r="A12" s="31">
        <v>3</v>
      </c>
      <c r="B12" s="6" t="s">
        <v>21</v>
      </c>
      <c r="C12" s="43">
        <f t="shared" ref="C12:C15" si="12">C11</f>
        <v>40100</v>
      </c>
      <c r="D12" s="44">
        <f t="shared" si="4"/>
        <v>1604</v>
      </c>
      <c r="E12" s="44">
        <f t="shared" ref="E12:E18" si="13">ROUND((C12+D12)/12,0)</f>
        <v>3475</v>
      </c>
      <c r="F12" s="44">
        <f t="shared" si="5"/>
        <v>45179</v>
      </c>
      <c r="G12" s="43">
        <f t="shared" ref="G12:G15" si="14">G11</f>
        <v>16080</v>
      </c>
      <c r="H12" s="44">
        <f t="shared" si="6"/>
        <v>21869</v>
      </c>
      <c r="I12" s="44">
        <f t="shared" si="7"/>
        <v>3162</v>
      </c>
      <c r="J12" s="44">
        <f t="shared" si="8"/>
        <v>41111</v>
      </c>
      <c r="K12" s="43">
        <f t="shared" si="9"/>
        <v>24020</v>
      </c>
      <c r="L12" s="43">
        <f t="shared" si="9"/>
        <v>-20265</v>
      </c>
      <c r="M12" s="43">
        <f t="shared" si="10"/>
        <v>313</v>
      </c>
      <c r="N12" s="44">
        <f t="shared" si="11"/>
        <v>4068</v>
      </c>
      <c r="O12" s="48">
        <f t="shared" si="0"/>
        <v>407</v>
      </c>
      <c r="P12" s="48">
        <f t="shared" si="1"/>
        <v>366</v>
      </c>
      <c r="Q12" s="44">
        <f t="shared" si="2"/>
        <v>773</v>
      </c>
      <c r="R12" s="45">
        <f t="shared" si="3"/>
        <v>3295</v>
      </c>
      <c r="S12" s="49"/>
      <c r="T12" s="50"/>
      <c r="Y12" s="1">
        <v>40</v>
      </c>
      <c r="AA12" s="2"/>
      <c r="AC12" s="4"/>
      <c r="AE12" s="3"/>
      <c r="AF12" s="3"/>
      <c r="AG12" s="3"/>
      <c r="AH12" s="3"/>
      <c r="AI12" s="3"/>
    </row>
    <row r="13" spans="1:40" ht="18" customHeight="1">
      <c r="A13" s="31">
        <v>4</v>
      </c>
      <c r="B13" s="6" t="s">
        <v>22</v>
      </c>
      <c r="C13" s="43">
        <f t="shared" si="12"/>
        <v>40100</v>
      </c>
      <c r="D13" s="44">
        <f t="shared" si="4"/>
        <v>1604</v>
      </c>
      <c r="E13" s="44">
        <f t="shared" si="13"/>
        <v>3475</v>
      </c>
      <c r="F13" s="44">
        <f t="shared" si="5"/>
        <v>45179</v>
      </c>
      <c r="G13" s="43">
        <f t="shared" si="14"/>
        <v>16080</v>
      </c>
      <c r="H13" s="44">
        <f t="shared" si="6"/>
        <v>21869</v>
      </c>
      <c r="I13" s="44">
        <f t="shared" si="7"/>
        <v>3162</v>
      </c>
      <c r="J13" s="44">
        <f t="shared" si="8"/>
        <v>41111</v>
      </c>
      <c r="K13" s="46">
        <f t="shared" si="9"/>
        <v>24020</v>
      </c>
      <c r="L13" s="46">
        <f t="shared" si="9"/>
        <v>-20265</v>
      </c>
      <c r="M13" s="43">
        <f t="shared" si="10"/>
        <v>313</v>
      </c>
      <c r="N13" s="44">
        <f t="shared" si="11"/>
        <v>4068</v>
      </c>
      <c r="O13" s="48">
        <f t="shared" si="0"/>
        <v>407</v>
      </c>
      <c r="P13" s="48">
        <f t="shared" si="1"/>
        <v>366</v>
      </c>
      <c r="Q13" s="39">
        <f t="shared" si="2"/>
        <v>773</v>
      </c>
      <c r="R13" s="45">
        <f t="shared" si="3"/>
        <v>3295</v>
      </c>
      <c r="S13" s="49"/>
      <c r="T13" s="50"/>
      <c r="AE13" s="67"/>
      <c r="AF13" s="3"/>
      <c r="AG13" s="3"/>
      <c r="AH13" s="3"/>
      <c r="AI13" s="68"/>
    </row>
    <row r="14" spans="1:40" ht="18" customHeight="1">
      <c r="A14" s="31">
        <v>5</v>
      </c>
      <c r="B14" s="6" t="s">
        <v>23</v>
      </c>
      <c r="C14" s="43">
        <f t="shared" si="12"/>
        <v>40100</v>
      </c>
      <c r="D14" s="44">
        <f t="shared" si="4"/>
        <v>1604</v>
      </c>
      <c r="E14" s="44">
        <f t="shared" si="13"/>
        <v>3475</v>
      </c>
      <c r="F14" s="44">
        <f t="shared" si="5"/>
        <v>45179</v>
      </c>
      <c r="G14" s="43">
        <f t="shared" si="14"/>
        <v>16080</v>
      </c>
      <c r="H14" s="44">
        <f t="shared" si="6"/>
        <v>21869</v>
      </c>
      <c r="I14" s="44">
        <f t="shared" si="7"/>
        <v>3162</v>
      </c>
      <c r="J14" s="44">
        <f t="shared" si="8"/>
        <v>41111</v>
      </c>
      <c r="K14" s="46">
        <f t="shared" si="9"/>
        <v>24020</v>
      </c>
      <c r="L14" s="46">
        <f t="shared" si="9"/>
        <v>-20265</v>
      </c>
      <c r="M14" s="43">
        <f t="shared" si="10"/>
        <v>313</v>
      </c>
      <c r="N14" s="44">
        <f t="shared" si="11"/>
        <v>4068</v>
      </c>
      <c r="O14" s="48">
        <f t="shared" si="0"/>
        <v>407</v>
      </c>
      <c r="P14" s="48">
        <f t="shared" si="1"/>
        <v>366</v>
      </c>
      <c r="Q14" s="39">
        <f t="shared" si="2"/>
        <v>773</v>
      </c>
      <c r="R14" s="45">
        <f t="shared" si="3"/>
        <v>3295</v>
      </c>
      <c r="S14" s="49"/>
      <c r="T14" s="50"/>
      <c r="AA14" s="2"/>
      <c r="AE14" s="3"/>
      <c r="AF14" s="3"/>
      <c r="AG14" s="3"/>
      <c r="AH14" s="3"/>
      <c r="AI14" s="3"/>
    </row>
    <row r="15" spans="1:40" ht="18" customHeight="1">
      <c r="A15" s="31">
        <v>6</v>
      </c>
      <c r="B15" s="6" t="s">
        <v>24</v>
      </c>
      <c r="C15" s="43">
        <f t="shared" si="12"/>
        <v>40100</v>
      </c>
      <c r="D15" s="44">
        <f t="shared" si="4"/>
        <v>1604</v>
      </c>
      <c r="E15" s="44">
        <f t="shared" si="13"/>
        <v>3475</v>
      </c>
      <c r="F15" s="44">
        <f t="shared" si="5"/>
        <v>45179</v>
      </c>
      <c r="G15" s="43">
        <f t="shared" si="14"/>
        <v>16080</v>
      </c>
      <c r="H15" s="44">
        <f t="shared" si="6"/>
        <v>21869</v>
      </c>
      <c r="I15" s="44">
        <f t="shared" si="7"/>
        <v>3162</v>
      </c>
      <c r="J15" s="44">
        <f t="shared" si="8"/>
        <v>41111</v>
      </c>
      <c r="K15" s="46">
        <f t="shared" si="9"/>
        <v>24020</v>
      </c>
      <c r="L15" s="46">
        <f t="shared" si="9"/>
        <v>-20265</v>
      </c>
      <c r="M15" s="43">
        <f t="shared" si="10"/>
        <v>313</v>
      </c>
      <c r="N15" s="44">
        <f t="shared" si="11"/>
        <v>4068</v>
      </c>
      <c r="O15" s="48">
        <f t="shared" si="0"/>
        <v>407</v>
      </c>
      <c r="P15" s="48">
        <f t="shared" si="1"/>
        <v>366</v>
      </c>
      <c r="Q15" s="39">
        <f t="shared" si="2"/>
        <v>773</v>
      </c>
      <c r="R15" s="45">
        <f t="shared" si="3"/>
        <v>3295</v>
      </c>
      <c r="S15" s="49"/>
      <c r="T15" s="50"/>
      <c r="Y15" s="18" t="e">
        <f>IF(AND($S$4=""),"",IF(AND($AB$4=$AA$6),SUM(#REF!),SUM(#REF!)))</f>
        <v>#REF!</v>
      </c>
      <c r="AE15" s="3"/>
      <c r="AF15" s="3"/>
      <c r="AG15" s="3"/>
      <c r="AH15" s="3"/>
      <c r="AI15" s="3"/>
    </row>
    <row r="16" spans="1:40" ht="18" customHeight="1">
      <c r="A16" s="31">
        <v>7</v>
      </c>
      <c r="B16" s="6" t="s">
        <v>25</v>
      </c>
      <c r="C16" s="43">
        <f>MROUND(C15*1.03,100)</f>
        <v>41300</v>
      </c>
      <c r="D16" s="44">
        <f>ROUND((C16*5%),0)</f>
        <v>2065</v>
      </c>
      <c r="E16" s="44">
        <f t="shared" si="13"/>
        <v>3614</v>
      </c>
      <c r="F16" s="44">
        <f t="shared" si="5"/>
        <v>46979</v>
      </c>
      <c r="G16" s="43">
        <f>ROUNDUP(ROUND(G15*1.03,),-1)</f>
        <v>16570</v>
      </c>
      <c r="H16" s="44">
        <f>ROUND((G16*139%),0)</f>
        <v>23032</v>
      </c>
      <c r="I16" s="44">
        <f t="shared" si="7"/>
        <v>3300</v>
      </c>
      <c r="J16" s="44">
        <f t="shared" si="8"/>
        <v>42902</v>
      </c>
      <c r="K16" s="43">
        <f t="shared" si="9"/>
        <v>24730</v>
      </c>
      <c r="L16" s="43">
        <f t="shared" si="9"/>
        <v>-20967</v>
      </c>
      <c r="M16" s="43">
        <f t="shared" si="10"/>
        <v>314</v>
      </c>
      <c r="N16" s="44">
        <f t="shared" si="11"/>
        <v>4077</v>
      </c>
      <c r="O16" s="48">
        <f t="shared" si="0"/>
        <v>408</v>
      </c>
      <c r="P16" s="48">
        <f t="shared" si="1"/>
        <v>367</v>
      </c>
      <c r="Q16" s="44">
        <f t="shared" si="2"/>
        <v>775</v>
      </c>
      <c r="R16" s="45">
        <f t="shared" si="3"/>
        <v>3302</v>
      </c>
      <c r="S16" s="49"/>
      <c r="T16" s="50"/>
      <c r="Z16" s="1" t="e">
        <f>"( Rs. "&amp;LOOKUP(IF(INT(RIGHT(Y15,7)/100000)&gt;19,INT(RIGHT(Y15,7)/1000000),IF(INT(RIGHT(Y15,7)/100000)&gt;=10,INT(RIGHT(Y15,7)/100000),0)),{0,1,2,3,4,5,6,7,8,9,10,11,12,13,14,15,16,17,18,19},{""," TEN "," TWENTY "," THIRTY "," FOURTY "," FIFTY "," SIXTY "," SEVENTY "," EIGHTY "," NINETY "," TEN "," ELEVEN "," TWELVE "," THIRTEEN "," FOURTEEN "," FIFTEEN "," SIXTEEN"," SEVENTEEN"," EIGHTEEN "," NINETEEN "})&amp;IF((IF(INT(RIGHT(Y15,7)/100000)&gt;19,INT(RIGHT(Y15,7)/1000000),IF(INT(RIGHT(Y15,7)/100000)&gt;=10,INT(RIGHT(Y15,7)/100000),0))+IF(INT(RIGHT(Y15,7)/100000)&gt;19,INT(RIGHT(Y15,6)/100000),IF(INT(RIGHT(Y15,7)/100000)&gt;10,0,INT(RIGHT(Y15,6)/100000))))&gt;0,LOOKUP(IF(INT(RIGHT(Y15,7)/100000)&gt;19,INT(RIGHT(Y15,6)/100000),IF(INT(RIGHT(Y15,7)/100000)&gt;10,0,INT(RIGHT(Y15,6)/100000))),{0,1,2,3,4,5,6,7,8,9,10,11,12,13,14,15,16,17,18,19},{""," ONE "," TWO "," THREE "," FOUR "," FIVE "," SIX "," SEVEN "," EIGHT "," NINE "," TEN "," ELEVEN "," TWELVE "," THIRTEEN "," FOURTEEN "," FIFTEEN "," SIXTEEN"," SEVENTEEN"," EIGHTEEN "," NINETEEN "})&amp;" Lac. "," ")&amp;LOOKUP(IF(INT(RIGHT(Y15,5)/1000)&gt;19,INT(RIGHT(Y15,5)/10000),IF(INT(RIGHT(Y15,5)/1000)&gt;=10,INT(RIGHT(Y15,5)/1000),0)),{0,1,2,3,4,5,6,7,8,9,10,11,12,13,14,15,16,17,18,19},{""," TEN "," TWENTY "," THIRTY "," FOURTY "," FIFTY "," SIXTY "," SEVENTY "," EIGHTY "," NINETY "," TEN "," ELEVEN "," TWELVE "," THIRTEEN "," FOURTEEN "," FIFTEEN "," SIXTEEN"," SEVENTEEN"," EIGHTEEN "," NINETEEN "})&amp;IF((IF(INT(RIGHT(Y15,5)/1000)&gt;19,INT(RIGHT(Y15,4)/1000),IF(INT(RIGHT(Y15,5)/1000)&gt;10,0,INT(RIGHT(Y15,4)/1000)))+IF(INT(RIGHT(Y15,5)/1000)&gt;19,INT(RIGHT(Y15,5)/10000),IF(INT(RIGHT(Y15,5)/1000)&gt;=10,INT(RIGHT(Y15,5)/1000),0)))&gt;0,LOOKUP(IF(INT(RIGHT(Y15,5)/1000)&gt;19,INT(RIGHT(Y15,4)/1000),IF(INT(RIGHT(Y15,5)/1000)&gt;10,0,INT(RIGHT(Y15,4)/1000))),{0,1,2,3,4,5,6,7,8,9,10,11,12,13,14,15,16,17,18,19},{""," ONE "," TWO "," THREE "," FOUR "," FIVE "," SIX "," SEVEN "," EIGHT "," NINE "," TEN "," ELEVEN "," TWELVE "," THIRTEEN "," FOURTEEN "," FIFTEEN "," SIXTEEN"," SEVENTEEN"," EIGHTEEN "," NINETEEN "})&amp;" THOUSAND "," ")&amp;IF((INT((RIGHT(Y15,3))/100))&gt;0,LOOKUP(INT((RIGHT(Y15,3))/100),{0,1,2,3,4,5,6,7,8,9,10,11,12,13,14,15,16,17,18,19},{""," ONE "," TWO "," THREE "," FOUR "," FIVE "," SIX "," SEVEN "," EIGHT "," NINE "," TEN "," ELEVEN "," TWELVE "," THIRTEEN "," FOURTEEN "," FIFTEEN "," SIXTEEN"," SEVENTEEN"," EIGHTEEN "," NINETEEN "})&amp;" HUNDRED "," ")&amp;LOOKUP(IF(INT(RIGHT(Y15,2))&gt;19,INT(RIGHT(Y15,2)/10),IF(INT(RIGHT(Y15,2))&gt;=10,INT(RIGHT(Y15,2)),0)),{0,1,2,3,4,5,6,7,8,9,10,11,12,13,14,15,16,17,18,19},{""," TEN "," TWENTY "," THIRTY "," FOURTY "," FIFTY "," SIXTY "," SEVENTY "," EIGHTY "," NINETY "," TEN "," ELEVEN "," TWELVE "," THIRTEEN "," FOURTEEN "," FIFTEEN "," SIXTEEN"," SEVENTEEN"," EIGHTEEN "," NINETEEN "})&amp;LOOKUP(IF(INT(RIGHT(Y15,2))&lt;10,INT(RIGHT(Y15,1)),IF(INT(RIGHT(Y15,2))&lt;20,0,INT(RIGHT(Y15,1)))),{0,1,2,3,4,5,6,7,8,9,10,11,12,13,14,15,16,17,18,19},{""," ONE "," TWO "," THREE "," FOUR "," FIVE "," SIX "," SEVEN "," EIGHT "," NINE "," TEN "," ELEVEN "," TWELVE "," THIRTEEN "," FOURTEEN "," FIFTEEN "," SIXTEEN"," SEVENTEEN"," EIGHTEEN "," NINETEEN "})&amp;" Only)"</f>
        <v>#REF!</v>
      </c>
      <c r="AA16" s="2"/>
      <c r="AE16" s="3"/>
      <c r="AF16" s="3"/>
      <c r="AG16" s="3"/>
      <c r="AH16" s="3"/>
      <c r="AI16" s="3"/>
    </row>
    <row r="17" spans="1:35" ht="18" customHeight="1">
      <c r="A17" s="31">
        <v>8</v>
      </c>
      <c r="B17" s="6" t="s">
        <v>26</v>
      </c>
      <c r="C17" s="43">
        <f>C16</f>
        <v>41300</v>
      </c>
      <c r="D17" s="44">
        <f t="shared" ref="D17:D18" si="15">ROUND((C17*5%),0)</f>
        <v>2065</v>
      </c>
      <c r="E17" s="44">
        <f t="shared" si="13"/>
        <v>3614</v>
      </c>
      <c r="F17" s="44">
        <f t="shared" si="5"/>
        <v>46979</v>
      </c>
      <c r="G17" s="43">
        <f>G16</f>
        <v>16570</v>
      </c>
      <c r="H17" s="44">
        <f t="shared" ref="H17:H18" si="16">ROUND((G17*139%),0)</f>
        <v>23032</v>
      </c>
      <c r="I17" s="44">
        <f t="shared" si="7"/>
        <v>3300</v>
      </c>
      <c r="J17" s="44">
        <f t="shared" si="8"/>
        <v>42902</v>
      </c>
      <c r="K17" s="43">
        <f t="shared" si="9"/>
        <v>24730</v>
      </c>
      <c r="L17" s="43">
        <f t="shared" si="9"/>
        <v>-20967</v>
      </c>
      <c r="M17" s="43">
        <f t="shared" si="10"/>
        <v>314</v>
      </c>
      <c r="N17" s="44">
        <f t="shared" si="11"/>
        <v>4077</v>
      </c>
      <c r="O17" s="48">
        <f t="shared" si="0"/>
        <v>408</v>
      </c>
      <c r="P17" s="48">
        <f t="shared" si="1"/>
        <v>367</v>
      </c>
      <c r="Q17" s="44">
        <f t="shared" si="2"/>
        <v>775</v>
      </c>
      <c r="R17" s="45">
        <f t="shared" si="3"/>
        <v>3302</v>
      </c>
      <c r="S17" s="49"/>
      <c r="T17" s="50"/>
      <c r="Y17" s="1">
        <f>IF(AND($S$4=""),"",M22)</f>
        <v>29676</v>
      </c>
      <c r="Z17" s="1" t="str">
        <f>"( Rs. "&amp;LOOKUP(IF(INT(RIGHT(Y17,7)/100000)&gt;19,INT(RIGHT(Y17,7)/1000000),IF(INT(RIGHT(Y17,7)/100000)&gt;=10,INT(RIGHT(Y17,7)/100000),0)),{0,1,2,3,4,5,6,7,8,9,10,11,12,13,14,15,16,17,18,19},{""," TEN "," TWENTY "," THIRTY "," FOURTY "," FIFTY "," SIXTY "," SEVENTY "," EIGHTY "," NINETY "," TEN "," ELEVEN "," TWELVE "," THIRTEEN "," FOURTEEN "," FIFTEEN "," SIXTEEN"," SEVENTEEN"," EIGHTEEN "," NINETEEN "})&amp;IF((IF(INT(RIGHT(Y17,7)/100000)&gt;19,INT(RIGHT(Y17,7)/1000000),IF(INT(RIGHT(Y17,7)/100000)&gt;=10,INT(RIGHT(Y17,7)/100000),0))+IF(INT(RIGHT(Y17,7)/100000)&gt;19,INT(RIGHT(Y17,6)/100000),IF(INT(RIGHT(Y17,7)/100000)&gt;10,0,INT(RIGHT(Y17,6)/100000))))&gt;0,LOOKUP(IF(INT(RIGHT(Y17,7)/100000)&gt;19,INT(RIGHT(Y17,6)/100000),IF(INT(RIGHT(Y17,7)/100000)&gt;10,0,INT(RIGHT(Y17,6)/100000))),{0,1,2,3,4,5,6,7,8,9,10,11,12,13,14,15,16,17,18,19},{""," ONE "," TWO "," THREE "," FOUR "," FIVE "," SIX "," SEVEN "," EIGHT "," NINE "," TEN "," ELEVEN "," TWELVE "," THIRTEEN "," FOURTEEN "," FIFTEEN "," SIXTEEN"," SEVENTEEN"," EIGHTEEN "," NINETEEN "})&amp;" Lac. "," ")&amp;LOOKUP(IF(INT(RIGHT(Y17,5)/1000)&gt;19,INT(RIGHT(Y17,5)/10000),IF(INT(RIGHT(Y17,5)/1000)&gt;=10,INT(RIGHT(Y17,5)/1000),0)),{0,1,2,3,4,5,6,7,8,9,10,11,12,13,14,15,16,17,18,19},{""," TEN "," TWENTY "," THIRTY "," FOURTY "," FIFTY "," SIXTY "," SEVENTY "," EIGHTY "," NINETY "," TEN "," ELEVEN "," TWELVE "," THIRTEEN "," FOURTEEN "," FIFTEEN "," SIXTEEN"," SEVENTEEN"," EIGHTEEN "," NINETEEN "})&amp;IF((IF(INT(RIGHT(Y17,5)/1000)&gt;19,INT(RIGHT(Y17,4)/1000),IF(INT(RIGHT(Y17,5)/1000)&gt;10,0,INT(RIGHT(Y17,4)/1000)))+IF(INT(RIGHT(Y17,5)/1000)&gt;19,INT(RIGHT(Y17,5)/10000),IF(INT(RIGHT(Y17,5)/1000)&gt;=10,INT(RIGHT(Y17,5)/1000),0)))&gt;0,LOOKUP(IF(INT(RIGHT(Y17,5)/1000)&gt;19,INT(RIGHT(Y17,4)/1000),IF(INT(RIGHT(Y17,5)/1000)&gt;10,0,INT(RIGHT(Y17,4)/1000))),{0,1,2,3,4,5,6,7,8,9,10,11,12,13,14,15,16,17,18,19},{""," ONE "," TWO "," THREE "," FOUR "," FIVE "," SIX "," SEVEN "," EIGHT "," NINE "," TEN "," ELEVEN "," TWELVE "," THIRTEEN "," FOURTEEN "," FIFTEEN "," SIXTEEN"," SEVENTEEN"," EIGHTEEN "," NINETEEN "})&amp;" THOUSAND "," ")&amp;IF((INT((RIGHT(Y17,3))/100))&gt;0,LOOKUP(INT((RIGHT(Y17,3))/100),{0,1,2,3,4,5,6,7,8,9,10,11,12,13,14,15,16,17,18,19},{""," ONE "," TWO "," THREE "," FOUR "," FIVE "," SIX "," SEVEN "," EIGHT "," NINE "," TEN "," ELEVEN "," TWELVE "," THIRTEEN "," FOURTEEN "," FIFTEEN "," SIXTEEN"," SEVENTEEN"," EIGHTEEN "," NINETEEN "})&amp;" HUNDRED "," ")&amp;LOOKUP(IF(INT(RIGHT(Y17,2))&gt;19,INT(RIGHT(Y17,2)/10),IF(INT(RIGHT(Y17,2))&gt;=10,INT(RIGHT(Y17,2)),0)),{0,1,2,3,4,5,6,7,8,9,10,11,12,13,14,15,16,17,18,19},{""," TEN "," TWENTY "," THIRTY "," FOURTY "," FIFTY "," SIXTY "," SEVENTY "," EIGHTY "," NINETY "," TEN "," ELEVEN "," TWELVE "," THIRTEEN "," FOURTEEN "," FIFTEEN "," SIXTEEN"," SEVENTEEN"," EIGHTEEN "," NINETEEN "})&amp;LOOKUP(IF(INT(RIGHT(Y17,2))&lt;10,INT(RIGHT(Y17,1)),IF(INT(RIGHT(Y17,2))&lt;20,0,INT(RIGHT(Y17,1)))),{0,1,2,3,4,5,6,7,8,9,10,11,12,13,14,15,16,17,18,19},{""," ONE "," TWO "," THREE "," FOUR "," FIVE "," SIX "," SEVEN "," EIGHT "," NINE "," TEN "," ELEVEN "," TWELVE "," THIRTEEN "," FOURTEEN "," FIFTEEN "," SIXTEEN"," SEVENTEEN"," EIGHTEEN "," NINETEEN "})&amp;" Only)"</f>
        <v>( Rs.   TWENTY  NINE  THOUSAND  SIX  HUNDRED  SEVENTY  SIX  Only)</v>
      </c>
      <c r="AE17" s="3"/>
      <c r="AF17" s="3"/>
      <c r="AG17" s="3"/>
      <c r="AH17" s="3"/>
      <c r="AI17" s="3"/>
    </row>
    <row r="18" spans="1:35" ht="18" customHeight="1">
      <c r="A18" s="31">
        <v>9</v>
      </c>
      <c r="B18" s="6" t="s">
        <v>27</v>
      </c>
      <c r="C18" s="43">
        <f>C17</f>
        <v>41300</v>
      </c>
      <c r="D18" s="44">
        <f t="shared" si="15"/>
        <v>2065</v>
      </c>
      <c r="E18" s="44">
        <f t="shared" si="13"/>
        <v>3614</v>
      </c>
      <c r="F18" s="44">
        <f t="shared" si="5"/>
        <v>46979</v>
      </c>
      <c r="G18" s="43">
        <f>G17</f>
        <v>16570</v>
      </c>
      <c r="H18" s="44">
        <f t="shared" si="16"/>
        <v>23032</v>
      </c>
      <c r="I18" s="44">
        <f t="shared" si="7"/>
        <v>3300</v>
      </c>
      <c r="J18" s="44">
        <f t="shared" si="8"/>
        <v>42902</v>
      </c>
      <c r="K18" s="46">
        <f t="shared" si="9"/>
        <v>24730</v>
      </c>
      <c r="L18" s="46">
        <f t="shared" si="9"/>
        <v>-20967</v>
      </c>
      <c r="M18" s="43">
        <f t="shared" si="10"/>
        <v>314</v>
      </c>
      <c r="N18" s="44">
        <f t="shared" si="11"/>
        <v>4077</v>
      </c>
      <c r="O18" s="48">
        <f t="shared" si="0"/>
        <v>408</v>
      </c>
      <c r="P18" s="48">
        <f t="shared" si="1"/>
        <v>367</v>
      </c>
      <c r="Q18" s="39">
        <f t="shared" si="2"/>
        <v>775</v>
      </c>
      <c r="R18" s="45">
        <f t="shared" si="3"/>
        <v>3302</v>
      </c>
      <c r="S18" s="49"/>
      <c r="T18" s="50"/>
      <c r="AA18" s="2"/>
      <c r="AE18" s="3"/>
      <c r="AF18" s="3"/>
      <c r="AG18" s="3"/>
      <c r="AH18" s="3"/>
      <c r="AI18" s="3"/>
    </row>
    <row r="19" spans="1:35" hidden="1">
      <c r="A19" s="31"/>
      <c r="B19" s="47"/>
      <c r="C19" s="47"/>
      <c r="D19" s="46"/>
      <c r="E19" s="46"/>
      <c r="F19" s="43"/>
      <c r="G19" s="46"/>
      <c r="H19" s="46"/>
      <c r="I19" s="46"/>
      <c r="J19" s="44"/>
      <c r="K19" s="46"/>
      <c r="L19" s="46"/>
      <c r="M19" s="46"/>
      <c r="N19" s="46"/>
      <c r="O19" s="43"/>
      <c r="P19" s="43"/>
      <c r="Q19" s="39"/>
      <c r="R19" s="45"/>
      <c r="S19" s="49"/>
      <c r="T19" s="50"/>
      <c r="AA19" s="2"/>
      <c r="AE19" s="3"/>
      <c r="AF19" s="3"/>
      <c r="AG19" s="3"/>
      <c r="AH19" s="3"/>
      <c r="AI19" s="3"/>
    </row>
    <row r="20" spans="1:35" hidden="1">
      <c r="A20" s="31"/>
      <c r="B20" s="47"/>
      <c r="C20" s="47"/>
      <c r="D20" s="46"/>
      <c r="E20" s="46"/>
      <c r="F20" s="43"/>
      <c r="G20" s="46"/>
      <c r="H20" s="46"/>
      <c r="I20" s="46"/>
      <c r="J20" s="44"/>
      <c r="K20" s="46"/>
      <c r="L20" s="46"/>
      <c r="M20" s="46"/>
      <c r="N20" s="46"/>
      <c r="O20" s="43"/>
      <c r="P20" s="43"/>
      <c r="Q20" s="39"/>
      <c r="R20" s="45"/>
      <c r="S20" s="49"/>
      <c r="T20" s="66"/>
      <c r="U20" s="3"/>
      <c r="V20" s="15"/>
      <c r="AA20" s="2"/>
      <c r="AE20" s="3"/>
      <c r="AF20" s="3"/>
      <c r="AG20" s="3"/>
      <c r="AH20" s="3"/>
      <c r="AI20" s="3"/>
    </row>
    <row r="21" spans="1:35" ht="18.75">
      <c r="A21" s="95" t="s">
        <v>28</v>
      </c>
      <c r="B21" s="96"/>
      <c r="C21" s="7">
        <f t="shared" ref="C21:R21" si="17">IF(AND($S$4=""),"",SUM(C10:C20))</f>
        <v>364500</v>
      </c>
      <c r="D21" s="7">
        <f t="shared" si="17"/>
        <v>15819</v>
      </c>
      <c r="E21" s="7">
        <f t="shared" si="17"/>
        <v>31692</v>
      </c>
      <c r="F21" s="7">
        <f t="shared" si="17"/>
        <v>412011</v>
      </c>
      <c r="G21" s="16">
        <f t="shared" si="17"/>
        <v>146190</v>
      </c>
      <c r="H21" s="16">
        <f t="shared" si="17"/>
        <v>200310</v>
      </c>
      <c r="I21" s="16">
        <f t="shared" si="17"/>
        <v>28872</v>
      </c>
      <c r="J21" s="16">
        <f t="shared" si="17"/>
        <v>375372</v>
      </c>
      <c r="K21" s="16">
        <f t="shared" si="17"/>
        <v>218310</v>
      </c>
      <c r="L21" s="16">
        <f t="shared" si="17"/>
        <v>-184491</v>
      </c>
      <c r="M21" s="16">
        <f t="shared" si="17"/>
        <v>2820</v>
      </c>
      <c r="N21" s="16">
        <f t="shared" si="17"/>
        <v>36639</v>
      </c>
      <c r="O21" s="16">
        <f t="shared" si="17"/>
        <v>3666</v>
      </c>
      <c r="P21" s="16">
        <f t="shared" si="17"/>
        <v>3297</v>
      </c>
      <c r="Q21" s="16">
        <f t="shared" si="17"/>
        <v>6963</v>
      </c>
      <c r="R21" s="17">
        <f t="shared" si="17"/>
        <v>29676</v>
      </c>
      <c r="S21" s="97"/>
      <c r="T21" s="98"/>
      <c r="AE21" s="3"/>
      <c r="AF21" s="3"/>
      <c r="AG21" s="3"/>
      <c r="AH21" s="3"/>
      <c r="AI21" s="3"/>
    </row>
    <row r="22" spans="1:35" ht="17.25">
      <c r="A22" s="32"/>
      <c r="B22" s="102"/>
      <c r="C22" s="102"/>
      <c r="D22" s="76" t="s">
        <v>44</v>
      </c>
      <c r="E22" s="103" t="str">
        <f>IF(AND(S$4=""),"",IF(AND(AE7&lt;=AE8),"01-01-2017",AE7))</f>
        <v>01-01-2017</v>
      </c>
      <c r="F22" s="103"/>
      <c r="G22" s="101" t="s">
        <v>54</v>
      </c>
      <c r="H22" s="101"/>
      <c r="I22" s="101"/>
      <c r="J22" s="101"/>
      <c r="K22" s="101"/>
      <c r="L22" s="101"/>
      <c r="M22" s="100">
        <f>IF(AND(S4=""),"",IF(AND(AB4=$AA$7),R21,O21))</f>
        <v>29676</v>
      </c>
      <c r="N22" s="100"/>
      <c r="O22" s="99" t="str">
        <f>IF(AND(S$4=""),"",IF(AND(AB4=$AA$7),"dk udn Hkqxrku fd;k x;k A","jkf'k thih,Q esa tek A"))</f>
        <v>dk udn Hkqxrku fd;k x;k A</v>
      </c>
      <c r="P22" s="99"/>
      <c r="Q22" s="99"/>
      <c r="R22" s="99"/>
      <c r="S22" s="9"/>
      <c r="T22" s="33"/>
      <c r="W22" s="21"/>
      <c r="AE22" s="3"/>
      <c r="AF22" s="3"/>
      <c r="AG22" s="3"/>
      <c r="AH22" s="3"/>
      <c r="AI22" s="3"/>
    </row>
    <row r="23" spans="1:35" ht="18.75">
      <c r="A23" s="24"/>
      <c r="B23" s="3"/>
      <c r="C23" s="3"/>
      <c r="D23" s="104"/>
      <c r="E23" s="104"/>
      <c r="F23" s="104"/>
      <c r="G23" s="104"/>
      <c r="H23" s="104"/>
      <c r="I23" s="56"/>
      <c r="J23" s="3"/>
      <c r="K23" s="3"/>
      <c r="L23" s="105" t="s">
        <v>55</v>
      </c>
      <c r="M23" s="105"/>
      <c r="N23" s="105"/>
      <c r="O23" s="105"/>
      <c r="P23" s="106">
        <f>IF(AND($S$4=""),"",M22)</f>
        <v>29676</v>
      </c>
      <c r="Q23" s="106"/>
      <c r="R23" s="107" t="s">
        <v>36</v>
      </c>
      <c r="S23" s="107"/>
      <c r="T23" s="108"/>
      <c r="AE23" s="3"/>
      <c r="AF23" s="3"/>
      <c r="AG23" s="3"/>
      <c r="AH23" s="3"/>
      <c r="AI23" s="3"/>
    </row>
    <row r="24" spans="1:35" ht="21" customHeight="1">
      <c r="A24" s="24"/>
      <c r="B24" s="109" t="str">
        <f>IF(AND($S$4=""),"",IF(AND(G4=""),"",IF(AND(F7=""),"",F7)))</f>
        <v xml:space="preserve">All installment of Arrear on 01-10-2018 </v>
      </c>
      <c r="C24" s="109"/>
      <c r="D24" s="109"/>
      <c r="E24" s="109"/>
      <c r="F24" s="109"/>
      <c r="G24" s="109"/>
      <c r="H24" s="109"/>
      <c r="I24" s="109"/>
      <c r="J24" s="109"/>
      <c r="K24" s="109"/>
      <c r="L24" s="105" t="str">
        <f>IF(AND(S4=""),"",IF(AND(AB4=$AA$7),",u-ih-,l- dVkSrh","jkf'k thih,Q esa tek A"))</f>
        <v>,u-ih-,l- dVkSrh</v>
      </c>
      <c r="M24" s="105"/>
      <c r="N24" s="105"/>
      <c r="O24" s="105"/>
      <c r="P24" s="106">
        <f>IF(AND($S$4=""),"",O21)</f>
        <v>3666</v>
      </c>
      <c r="Q24" s="106"/>
      <c r="R24" s="110" t="str">
        <f>IF(AND($S$4=""),"",Z17)</f>
        <v>( Rs.   TWENTY  NINE  THOUSAND  SIX  HUNDRED  SEVENTY  SIX  Only)</v>
      </c>
      <c r="S24" s="110"/>
      <c r="T24" s="111"/>
      <c r="AE24" s="3"/>
      <c r="AF24" s="3"/>
      <c r="AG24" s="3"/>
      <c r="AH24" s="3"/>
      <c r="AI24" s="3"/>
    </row>
    <row r="25" spans="1:35" ht="21" customHeight="1">
      <c r="A25" s="24"/>
      <c r="B25" s="51"/>
      <c r="C25" s="112"/>
      <c r="D25" s="112"/>
      <c r="E25" s="112"/>
      <c r="F25" s="112"/>
      <c r="G25" s="112"/>
      <c r="H25" s="112"/>
      <c r="I25" s="55"/>
      <c r="J25" s="5"/>
      <c r="K25" s="5"/>
      <c r="L25" s="105" t="s">
        <v>34</v>
      </c>
      <c r="M25" s="105"/>
      <c r="N25" s="105"/>
      <c r="O25" s="105"/>
      <c r="P25" s="106">
        <f>IF(AND($S$4=""),"",P21)</f>
        <v>3297</v>
      </c>
      <c r="Q25" s="106"/>
      <c r="R25" s="110"/>
      <c r="S25" s="110"/>
      <c r="T25" s="111"/>
    </row>
    <row r="26" spans="1:35" ht="15.75">
      <c r="A26" s="34"/>
      <c r="B26" s="10"/>
      <c r="C26" s="117"/>
      <c r="D26" s="117"/>
      <c r="E26" s="117"/>
      <c r="F26" s="117"/>
      <c r="G26" s="117"/>
      <c r="H26" s="117"/>
      <c r="I26" s="54"/>
      <c r="J26" s="11"/>
      <c r="K26" s="11"/>
      <c r="L26" s="118" t="s">
        <v>35</v>
      </c>
      <c r="M26" s="118"/>
      <c r="N26" s="118"/>
      <c r="O26" s="118"/>
      <c r="P26" s="119">
        <f>IF(AND(AB4=$AA$7),SUM(P23-P24-P25),0)</f>
        <v>22713</v>
      </c>
      <c r="Q26" s="119"/>
      <c r="R26" s="120" t="str">
        <f>IF(AND(S$4=""),"",IF(AND(AB4=$AA$7),"dk udn Hkqxrku fd;k x;k","jkf'k thih,Q esa tek"))</f>
        <v>dk udn Hkqxrku fd;k x;k</v>
      </c>
      <c r="S26" s="120"/>
      <c r="T26" s="121"/>
    </row>
    <row r="27" spans="1:35" ht="18.75">
      <c r="A27" s="24"/>
      <c r="B27" s="51"/>
      <c r="C27" s="112"/>
      <c r="D27" s="112"/>
      <c r="E27" s="112"/>
      <c r="F27" s="112"/>
      <c r="G27" s="112"/>
      <c r="H27" s="112"/>
      <c r="I27" s="55"/>
      <c r="J27" s="5"/>
      <c r="K27" s="5"/>
      <c r="L27" s="5"/>
      <c r="M27" s="5"/>
      <c r="N27" s="8"/>
      <c r="O27" s="3"/>
      <c r="P27" s="3"/>
      <c r="Q27" s="37"/>
      <c r="R27" s="37"/>
      <c r="S27" s="37"/>
      <c r="T27" s="38"/>
    </row>
    <row r="28" spans="1:35" ht="19.5" customHeight="1">
      <c r="A28" s="24"/>
      <c r="B28" s="51"/>
      <c r="C28" s="52"/>
      <c r="D28" s="52"/>
      <c r="E28" s="55"/>
      <c r="F28" s="52"/>
      <c r="G28" s="52"/>
      <c r="H28" s="52"/>
      <c r="I28" s="55"/>
      <c r="J28" s="5"/>
      <c r="K28" s="5"/>
      <c r="L28" s="5"/>
      <c r="M28" s="5"/>
      <c r="N28" s="8"/>
      <c r="O28" s="3"/>
      <c r="P28" s="3"/>
      <c r="Q28" s="37"/>
      <c r="R28" s="122" t="s">
        <v>50</v>
      </c>
      <c r="S28" s="122"/>
      <c r="T28" s="123"/>
    </row>
    <row r="29" spans="1:35" ht="15.75">
      <c r="A29" s="24"/>
      <c r="B29" s="3"/>
      <c r="C29" s="3"/>
      <c r="D29" s="3"/>
      <c r="E29" s="3"/>
      <c r="F29" s="3"/>
      <c r="G29" s="3"/>
      <c r="H29" s="3"/>
      <c r="I29" s="3"/>
      <c r="J29" s="3"/>
      <c r="K29" s="3"/>
      <c r="L29" s="3"/>
      <c r="M29" s="3"/>
      <c r="N29" s="3"/>
      <c r="O29" s="3"/>
      <c r="P29" s="3"/>
      <c r="Q29" s="3"/>
      <c r="R29" s="113" t="s">
        <v>38</v>
      </c>
      <c r="S29" s="113"/>
      <c r="T29" s="114"/>
    </row>
    <row r="30" spans="1:35" ht="16.5" thickBot="1">
      <c r="A30" s="35"/>
      <c r="B30" s="36"/>
      <c r="C30" s="36"/>
      <c r="D30" s="36"/>
      <c r="E30" s="36"/>
      <c r="F30" s="36"/>
      <c r="G30" s="36"/>
      <c r="H30" s="36"/>
      <c r="I30" s="36"/>
      <c r="J30" s="36"/>
      <c r="K30" s="36"/>
      <c r="L30" s="36"/>
      <c r="M30" s="36"/>
      <c r="N30" s="36"/>
      <c r="O30" s="36"/>
      <c r="P30" s="36"/>
      <c r="Q30" s="36"/>
      <c r="R30" s="115" t="s">
        <v>39</v>
      </c>
      <c r="S30" s="115"/>
      <c r="T30" s="116"/>
    </row>
  </sheetData>
  <mergeCells count="46">
    <mergeCell ref="R29:T29"/>
    <mergeCell ref="R30:T30"/>
    <mergeCell ref="C26:H26"/>
    <mergeCell ref="L26:O26"/>
    <mergeCell ref="P26:Q26"/>
    <mergeCell ref="R26:T26"/>
    <mergeCell ref="C27:H27"/>
    <mergeCell ref="R28:T28"/>
    <mergeCell ref="D23:H23"/>
    <mergeCell ref="L23:O23"/>
    <mergeCell ref="P23:Q23"/>
    <mergeCell ref="R23:T23"/>
    <mergeCell ref="B24:K24"/>
    <mergeCell ref="L24:O24"/>
    <mergeCell ref="P24:Q24"/>
    <mergeCell ref="R24:T25"/>
    <mergeCell ref="C25:H25"/>
    <mergeCell ref="L25:O25"/>
    <mergeCell ref="P25:Q25"/>
    <mergeCell ref="A21:B21"/>
    <mergeCell ref="S21:T21"/>
    <mergeCell ref="O22:R22"/>
    <mergeCell ref="M22:N22"/>
    <mergeCell ref="G22:L22"/>
    <mergeCell ref="B22:C22"/>
    <mergeCell ref="E22:F22"/>
    <mergeCell ref="U4:V4"/>
    <mergeCell ref="B5:S5"/>
    <mergeCell ref="C6:R6"/>
    <mergeCell ref="F7:O7"/>
    <mergeCell ref="A8:A9"/>
    <mergeCell ref="B8:B9"/>
    <mergeCell ref="C8:F8"/>
    <mergeCell ref="G8:J8"/>
    <mergeCell ref="K8:N8"/>
    <mergeCell ref="O8:Q8"/>
    <mergeCell ref="R8:R9"/>
    <mergeCell ref="S8:S9"/>
    <mergeCell ref="T8:T9"/>
    <mergeCell ref="B2:S2"/>
    <mergeCell ref="B3:S3"/>
    <mergeCell ref="C4:F4"/>
    <mergeCell ref="G4:J4"/>
    <mergeCell ref="K4:L4"/>
    <mergeCell ref="N4:P4"/>
    <mergeCell ref="Q4:R4"/>
  </mergeCells>
  <dataValidations count="1">
    <dataValidation type="list" allowBlank="1" showInputMessage="1" showErrorMessage="1" sqref="S4">
      <formula1>$AA$6:$AA$8</formula1>
    </dataValidation>
  </dataValidations>
  <pageMargins left="0.7" right="0.2" top="0.75" bottom="0.75" header="0.3" footer="0.3"/>
  <pageSetup paperSize="9" scale="8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dimension ref="A1:AP30"/>
  <sheetViews>
    <sheetView tabSelected="1" workbookViewId="0">
      <selection activeCell="W23" sqref="W23"/>
    </sheetView>
  </sheetViews>
  <sheetFormatPr defaultRowHeight="15"/>
  <cols>
    <col min="1" max="1" width="4.85546875" style="1" customWidth="1"/>
    <col min="2" max="2" width="10.42578125" style="1" customWidth="1"/>
    <col min="3" max="18" width="7.28515625" style="1" customWidth="1"/>
    <col min="19" max="19" width="8.28515625" style="1" customWidth="1"/>
    <col min="20" max="20" width="10.7109375" style="1" customWidth="1"/>
    <col min="21" max="21" width="12.42578125" style="1" customWidth="1"/>
    <col min="22" max="23" width="9.140625" style="1"/>
    <col min="24" max="26" width="9.140625" style="1" hidden="1" customWidth="1"/>
    <col min="27" max="27" width="27.140625" style="1" hidden="1" customWidth="1"/>
    <col min="28" max="42" width="9.140625" style="1" hidden="1" customWidth="1"/>
    <col min="43" max="51" width="9.140625" style="1" customWidth="1"/>
    <col min="52" max="16384" width="9.140625" style="1"/>
  </cols>
  <sheetData>
    <row r="1" spans="1:41" ht="9.75" customHeight="1" thickBot="1">
      <c r="AA1" s="1" t="s">
        <v>41</v>
      </c>
      <c r="AD1" s="4"/>
    </row>
    <row r="2" spans="1:41" ht="18.75">
      <c r="A2" s="22" t="s">
        <v>51</v>
      </c>
      <c r="B2" s="77" t="s">
        <v>30</v>
      </c>
      <c r="C2" s="77"/>
      <c r="D2" s="77"/>
      <c r="E2" s="77"/>
      <c r="F2" s="77"/>
      <c r="G2" s="77"/>
      <c r="H2" s="77"/>
      <c r="I2" s="77"/>
      <c r="J2" s="77"/>
      <c r="K2" s="77"/>
      <c r="L2" s="77"/>
      <c r="M2" s="77"/>
      <c r="N2" s="77"/>
      <c r="O2" s="77"/>
      <c r="P2" s="77"/>
      <c r="Q2" s="77"/>
      <c r="R2" s="77"/>
      <c r="S2" s="77"/>
      <c r="T2" s="77"/>
      <c r="U2" s="23"/>
      <c r="V2" s="12"/>
      <c r="W2" s="12"/>
      <c r="X2" s="12"/>
      <c r="Y2" s="12"/>
      <c r="AA2" s="1" t="s">
        <v>40</v>
      </c>
      <c r="AD2" s="4"/>
      <c r="AG2" s="1" t="s">
        <v>3</v>
      </c>
      <c r="AH2" s="1" t="b">
        <v>0</v>
      </c>
    </row>
    <row r="3" spans="1:41" ht="18.75">
      <c r="A3" s="24"/>
      <c r="B3" s="135" t="s">
        <v>49</v>
      </c>
      <c r="C3" s="135"/>
      <c r="D3" s="135"/>
      <c r="E3" s="135"/>
      <c r="F3" s="135"/>
      <c r="G3" s="135"/>
      <c r="H3" s="135"/>
      <c r="I3" s="135"/>
      <c r="J3" s="135"/>
      <c r="K3" s="135"/>
      <c r="L3" s="135"/>
      <c r="M3" s="135"/>
      <c r="N3" s="135"/>
      <c r="O3" s="135"/>
      <c r="P3" s="135"/>
      <c r="Q3" s="135"/>
      <c r="R3" s="135"/>
      <c r="S3" s="135"/>
      <c r="T3" s="135"/>
      <c r="U3" s="25"/>
      <c r="V3" s="12"/>
      <c r="W3" s="12"/>
      <c r="X3" s="12"/>
      <c r="Y3" s="12"/>
      <c r="AA3" s="1" t="s">
        <v>42</v>
      </c>
      <c r="AD3" s="4"/>
      <c r="AH3" s="1" t="b">
        <v>1</v>
      </c>
    </row>
    <row r="4" spans="1:41" ht="18.75">
      <c r="A4" s="24"/>
      <c r="B4" s="69"/>
      <c r="C4" s="131" t="s">
        <v>31</v>
      </c>
      <c r="D4" s="131"/>
      <c r="E4" s="131"/>
      <c r="F4" s="131"/>
      <c r="G4" s="136" t="s">
        <v>46</v>
      </c>
      <c r="H4" s="136"/>
      <c r="I4" s="136"/>
      <c r="J4" s="136"/>
      <c r="K4" s="131" t="s">
        <v>29</v>
      </c>
      <c r="L4" s="131"/>
      <c r="M4" s="70"/>
      <c r="N4" s="136" t="s">
        <v>47</v>
      </c>
      <c r="O4" s="136"/>
      <c r="P4" s="136"/>
      <c r="Q4" s="136"/>
      <c r="R4" s="137" t="s">
        <v>48</v>
      </c>
      <c r="S4" s="137"/>
      <c r="T4" s="42" t="s">
        <v>5</v>
      </c>
      <c r="U4" s="25"/>
      <c r="V4" s="82"/>
      <c r="W4" s="82"/>
      <c r="X4" s="14"/>
      <c r="Y4" s="14"/>
      <c r="AC4" s="1" t="str">
        <f>T4</f>
        <v>NPS</v>
      </c>
      <c r="AD4" s="4"/>
    </row>
    <row r="5" spans="1:41" ht="15.75">
      <c r="A5" s="24"/>
      <c r="B5" s="131" t="s">
        <v>32</v>
      </c>
      <c r="C5" s="131"/>
      <c r="D5" s="131"/>
      <c r="E5" s="131"/>
      <c r="F5" s="131"/>
      <c r="G5" s="131"/>
      <c r="H5" s="131"/>
      <c r="I5" s="131"/>
      <c r="J5" s="131"/>
      <c r="K5" s="131"/>
      <c r="L5" s="131"/>
      <c r="M5" s="131"/>
      <c r="N5" s="131"/>
      <c r="O5" s="131"/>
      <c r="P5" s="131"/>
      <c r="Q5" s="131"/>
      <c r="R5" s="131"/>
      <c r="S5" s="131"/>
      <c r="T5" s="131"/>
      <c r="U5" s="25"/>
      <c r="V5" s="13"/>
      <c r="W5" s="13"/>
      <c r="X5" s="13"/>
      <c r="Y5" s="13"/>
      <c r="AD5" s="4"/>
    </row>
    <row r="6" spans="1:41" ht="18.75">
      <c r="A6" s="24"/>
      <c r="B6" s="71"/>
      <c r="C6" s="132"/>
      <c r="D6" s="132"/>
      <c r="E6" s="132"/>
      <c r="F6" s="132"/>
      <c r="G6" s="132"/>
      <c r="H6" s="132"/>
      <c r="I6" s="132"/>
      <c r="J6" s="132"/>
      <c r="K6" s="132"/>
      <c r="L6" s="132"/>
      <c r="M6" s="132"/>
      <c r="N6" s="132"/>
      <c r="O6" s="132"/>
      <c r="P6" s="132"/>
      <c r="Q6" s="132"/>
      <c r="R6" s="132"/>
      <c r="S6" s="132"/>
      <c r="T6" s="71"/>
      <c r="U6" s="28"/>
      <c r="AA6" s="1" t="s">
        <v>1</v>
      </c>
      <c r="AB6" s="1" t="s">
        <v>4</v>
      </c>
      <c r="AC6" s="1" t="s">
        <v>0</v>
      </c>
      <c r="AD6" s="4"/>
    </row>
    <row r="7" spans="1:41" ht="20.25">
      <c r="A7" s="29"/>
      <c r="B7" s="72"/>
      <c r="C7" s="72"/>
      <c r="D7" s="72"/>
      <c r="E7" s="72"/>
      <c r="F7" s="84" t="s">
        <v>42</v>
      </c>
      <c r="G7" s="84"/>
      <c r="H7" s="84"/>
      <c r="I7" s="84"/>
      <c r="J7" s="84"/>
      <c r="K7" s="84"/>
      <c r="L7" s="84"/>
      <c r="M7" s="84"/>
      <c r="N7" s="84"/>
      <c r="O7" s="84"/>
      <c r="P7" s="84"/>
      <c r="Q7" s="72"/>
      <c r="R7" s="72"/>
      <c r="S7" s="72"/>
      <c r="T7" s="73"/>
      <c r="U7" s="28"/>
      <c r="AA7" s="1" t="s">
        <v>3</v>
      </c>
      <c r="AB7" s="1" t="s">
        <v>5</v>
      </c>
      <c r="AC7" s="1" t="s">
        <v>2</v>
      </c>
      <c r="AD7" s="4"/>
      <c r="AF7" s="15"/>
    </row>
    <row r="8" spans="1:41" ht="27.75" customHeight="1">
      <c r="A8" s="85" t="s">
        <v>6</v>
      </c>
      <c r="B8" s="86" t="s">
        <v>7</v>
      </c>
      <c r="C8" s="87" t="s">
        <v>8</v>
      </c>
      <c r="D8" s="87"/>
      <c r="E8" s="87"/>
      <c r="F8" s="87"/>
      <c r="G8" s="87" t="s">
        <v>9</v>
      </c>
      <c r="H8" s="87"/>
      <c r="I8" s="87"/>
      <c r="J8" s="87"/>
      <c r="K8" s="88" t="s">
        <v>10</v>
      </c>
      <c r="L8" s="88"/>
      <c r="M8" s="88"/>
      <c r="N8" s="88"/>
      <c r="O8" s="133" t="str">
        <f>IF(AND($T$4=""),"",IF(AND(G4=""),"",IF(AND(F7=""),"",IF(AND(F7="First installment of Arrear on 01-04-2018 (30% Amount)"),"First install. of 30% Amount",IF(AND(F7="Second installment of Arrear on 01-07-2018 (30% Amount)"),"Second install. of 30% Amount",IF(AND(F7="Third installment of Arrear on 01-10-2018 (40% Amount)"),"Third install. of 40% Amount"))))))</f>
        <v>Third install. of 40% Amount</v>
      </c>
      <c r="P8" s="89" t="s">
        <v>37</v>
      </c>
      <c r="Q8" s="90"/>
      <c r="R8" s="91"/>
      <c r="S8" s="92" t="s">
        <v>13</v>
      </c>
      <c r="T8" s="93" t="s">
        <v>14</v>
      </c>
      <c r="U8" s="94" t="s">
        <v>15</v>
      </c>
      <c r="AD8" s="4"/>
      <c r="AF8" s="15">
        <v>42736</v>
      </c>
    </row>
    <row r="9" spans="1:41" ht="33.75" customHeight="1">
      <c r="A9" s="85"/>
      <c r="B9" s="86"/>
      <c r="C9" s="41" t="s">
        <v>16</v>
      </c>
      <c r="D9" s="41" t="s">
        <v>17</v>
      </c>
      <c r="E9" s="41" t="s">
        <v>45</v>
      </c>
      <c r="F9" s="41" t="s">
        <v>18</v>
      </c>
      <c r="G9" s="41" t="s">
        <v>16</v>
      </c>
      <c r="H9" s="41" t="s">
        <v>17</v>
      </c>
      <c r="I9" s="41" t="s">
        <v>45</v>
      </c>
      <c r="J9" s="41" t="s">
        <v>18</v>
      </c>
      <c r="K9" s="41" t="s">
        <v>16</v>
      </c>
      <c r="L9" s="41" t="s">
        <v>17</v>
      </c>
      <c r="M9" s="41" t="s">
        <v>45</v>
      </c>
      <c r="N9" s="41" t="s">
        <v>18</v>
      </c>
      <c r="O9" s="134"/>
      <c r="P9" s="20" t="str">
        <f>IF(AND($AC$4=$AB$6),"CREDIT IN GPF",IF(AND($AC$4=$AB$7),"NPS Ded. 30%",""))</f>
        <v>NPS Ded. 30%</v>
      </c>
      <c r="Q9" s="19" t="s">
        <v>11</v>
      </c>
      <c r="R9" s="20" t="s">
        <v>12</v>
      </c>
      <c r="S9" s="92"/>
      <c r="T9" s="93"/>
      <c r="U9" s="94"/>
      <c r="AD9" s="4"/>
    </row>
    <row r="10" spans="1:41" ht="18" customHeight="1">
      <c r="A10" s="31">
        <v>1</v>
      </c>
      <c r="B10" s="6" t="s">
        <v>19</v>
      </c>
      <c r="C10" s="74">
        <v>40100</v>
      </c>
      <c r="D10" s="44">
        <f>ROUND((C10*4%),0)</f>
        <v>1604</v>
      </c>
      <c r="E10" s="44">
        <f>ROUND((C10+D10)/12,0)</f>
        <v>3475</v>
      </c>
      <c r="F10" s="44">
        <f>SUM(C10:E10)</f>
        <v>45179</v>
      </c>
      <c r="G10" s="74">
        <v>16080</v>
      </c>
      <c r="H10" s="44">
        <f>ROUND((G10*136%),0)</f>
        <v>21869</v>
      </c>
      <c r="I10" s="44">
        <f>ROUND((G10+H10)/12,0)</f>
        <v>3162</v>
      </c>
      <c r="J10" s="44">
        <f>SUM(G10:I10)</f>
        <v>41111</v>
      </c>
      <c r="K10" s="43">
        <f>IF(AND(C10=""),"",IF(AND(G10=""),"",C10-G10))</f>
        <v>24020</v>
      </c>
      <c r="L10" s="43">
        <f>IF(AND(D10=""),"",IF(AND(H10=""),"",D10-H10))</f>
        <v>-20265</v>
      </c>
      <c r="M10" s="43">
        <f>IF(AND(E10=""),"",IF(AND(I10=""),"",E10-I10))</f>
        <v>313</v>
      </c>
      <c r="N10" s="44">
        <f>SUM(K10:M10)</f>
        <v>4068</v>
      </c>
      <c r="O10" s="43">
        <f t="shared" ref="O10:O18" si="0">IF(AND($T$4=""),"",IF(AND(K10=""),"",IF(AND(G$4=""),"",IF(AND(F$7=""),"",IF(AND(F$7=AA$1),ROUND(N10*30%,0),IF(AND(F$7=AA$2),ROUND(N10*30%,0),IF(AND(F$7=AA$3),ROUND(N10*40%,0))))))))</f>
        <v>1627</v>
      </c>
      <c r="P10" s="75">
        <f t="shared" ref="P10:P18" si="1">IF(AND(C10=""),"",IF(AND(N10=""),"",IF(AND($AC$4=$AB$6),O10-ROUND(((O10)*10%),0),ROUND(((O10)*10%),0))))</f>
        <v>163</v>
      </c>
      <c r="Q10" s="75">
        <f>IF(AND($AC$4=$AB$6),ROUND(((O10)*10%),0),ROUND(((O10-P10)*10%),0))</f>
        <v>146</v>
      </c>
      <c r="R10" s="44">
        <f>IF(AND(N10=""),"",IF(AND(P10=""),"",IF(AND(Q10=""),"",SUM(P10+Q10))))</f>
        <v>309</v>
      </c>
      <c r="S10" s="45">
        <f t="shared" ref="S10:S18" si="2">IF(AND(N10=""),"",IF(AND(C10=0),"",IF(AND(R10=""),O10,O10-R10)))</f>
        <v>1318</v>
      </c>
      <c r="T10" s="62"/>
      <c r="U10" s="63"/>
      <c r="Y10" s="1" t="str">
        <f>IF(AND($AC$4=$AB$6),"CREDIT IN GPF",IF(AND($AC$4=$AB$7),"NPS Ded.",""))</f>
        <v>NPS Ded.</v>
      </c>
      <c r="AD10" s="4"/>
      <c r="AO10" s="1">
        <f>IF(AND(C10=""),"",IF(AND(C10=0),"",IF(AND(N10=""),"",ROUND(((O10-P10)*$AE$4%),0))))</f>
        <v>0</v>
      </c>
    </row>
    <row r="11" spans="1:41" ht="18" customHeight="1">
      <c r="A11" s="31">
        <v>2</v>
      </c>
      <c r="B11" s="6" t="s">
        <v>20</v>
      </c>
      <c r="C11" s="43">
        <f>C10</f>
        <v>40100</v>
      </c>
      <c r="D11" s="44">
        <f t="shared" ref="D11:D15" si="3">ROUND((C11*4%),0)</f>
        <v>1604</v>
      </c>
      <c r="E11" s="44">
        <f>ROUND((C11+D11)/12,0)</f>
        <v>3475</v>
      </c>
      <c r="F11" s="44">
        <f t="shared" ref="F11:F18" si="4">SUM(C11:E11)</f>
        <v>45179</v>
      </c>
      <c r="G11" s="43">
        <f>G10</f>
        <v>16080</v>
      </c>
      <c r="H11" s="44">
        <f t="shared" ref="H11:H15" si="5">ROUND((G11*136%),0)</f>
        <v>21869</v>
      </c>
      <c r="I11" s="44">
        <f t="shared" ref="I11:I18" si="6">ROUND((G11+H11)/12,0)</f>
        <v>3162</v>
      </c>
      <c r="J11" s="44">
        <f t="shared" ref="J11:J18" si="7">SUM(G11:I11)</f>
        <v>41111</v>
      </c>
      <c r="K11" s="43">
        <f t="shared" ref="K11:M18" si="8">IF(AND(C11=""),"",IF(AND(G11=""),"",C11-G11))</f>
        <v>24020</v>
      </c>
      <c r="L11" s="43">
        <f t="shared" si="8"/>
        <v>-20265</v>
      </c>
      <c r="M11" s="43">
        <f t="shared" si="8"/>
        <v>313</v>
      </c>
      <c r="N11" s="44">
        <f t="shared" ref="N11:N18" si="9">SUM(K11:M11)</f>
        <v>4068</v>
      </c>
      <c r="O11" s="43">
        <f t="shared" si="0"/>
        <v>1627</v>
      </c>
      <c r="P11" s="75">
        <f t="shared" si="1"/>
        <v>163</v>
      </c>
      <c r="Q11" s="75">
        <f t="shared" ref="Q11:Q18" si="10">IF(AND($AC$4=$AB$6),ROUND(((O11)*10%),0),ROUND(((O11-P11)*10%),0))</f>
        <v>146</v>
      </c>
      <c r="R11" s="44">
        <f t="shared" ref="R11:R18" si="11">IF(AND(N11=""),"",IF(AND(P11=""),"",IF(AND(Q11=""),"",SUM(P11+Q11))))</f>
        <v>309</v>
      </c>
      <c r="S11" s="45">
        <f t="shared" si="2"/>
        <v>1318</v>
      </c>
      <c r="T11" s="62"/>
      <c r="U11" s="63"/>
      <c r="Z11" s="1">
        <v>30</v>
      </c>
      <c r="AD11" s="4"/>
    </row>
    <row r="12" spans="1:41" ht="18" customHeight="1">
      <c r="A12" s="31">
        <v>3</v>
      </c>
      <c r="B12" s="6" t="s">
        <v>21</v>
      </c>
      <c r="C12" s="43">
        <f t="shared" ref="C12:C15" si="12">C11</f>
        <v>40100</v>
      </c>
      <c r="D12" s="44">
        <f t="shared" si="3"/>
        <v>1604</v>
      </c>
      <c r="E12" s="44">
        <f t="shared" ref="E12:E18" si="13">ROUND((C12+D12)/12,0)</f>
        <v>3475</v>
      </c>
      <c r="F12" s="44">
        <f t="shared" si="4"/>
        <v>45179</v>
      </c>
      <c r="G12" s="43">
        <f t="shared" ref="G12:G15" si="14">G11</f>
        <v>16080</v>
      </c>
      <c r="H12" s="44">
        <f t="shared" si="5"/>
        <v>21869</v>
      </c>
      <c r="I12" s="44">
        <f t="shared" si="6"/>
        <v>3162</v>
      </c>
      <c r="J12" s="44">
        <f t="shared" si="7"/>
        <v>41111</v>
      </c>
      <c r="K12" s="43">
        <f t="shared" si="8"/>
        <v>24020</v>
      </c>
      <c r="L12" s="43">
        <f t="shared" si="8"/>
        <v>-20265</v>
      </c>
      <c r="M12" s="43">
        <f t="shared" si="8"/>
        <v>313</v>
      </c>
      <c r="N12" s="44">
        <f t="shared" si="9"/>
        <v>4068</v>
      </c>
      <c r="O12" s="43">
        <f t="shared" si="0"/>
        <v>1627</v>
      </c>
      <c r="P12" s="75">
        <f t="shared" si="1"/>
        <v>163</v>
      </c>
      <c r="Q12" s="75">
        <f t="shared" si="10"/>
        <v>146</v>
      </c>
      <c r="R12" s="44">
        <f t="shared" si="11"/>
        <v>309</v>
      </c>
      <c r="S12" s="45">
        <f t="shared" si="2"/>
        <v>1318</v>
      </c>
      <c r="T12" s="62"/>
      <c r="U12" s="63"/>
      <c r="Z12" s="1">
        <v>40</v>
      </c>
      <c r="AB12" s="2"/>
      <c r="AD12" s="4"/>
      <c r="AF12" s="3"/>
      <c r="AG12" s="3"/>
      <c r="AH12" s="3"/>
      <c r="AI12" s="3"/>
      <c r="AJ12" s="3"/>
    </row>
    <row r="13" spans="1:41" ht="18" customHeight="1">
      <c r="A13" s="31">
        <v>4</v>
      </c>
      <c r="B13" s="6" t="s">
        <v>22</v>
      </c>
      <c r="C13" s="43">
        <f t="shared" si="12"/>
        <v>40100</v>
      </c>
      <c r="D13" s="44">
        <f t="shared" si="3"/>
        <v>1604</v>
      </c>
      <c r="E13" s="44">
        <f t="shared" si="13"/>
        <v>3475</v>
      </c>
      <c r="F13" s="44">
        <f t="shared" si="4"/>
        <v>45179</v>
      </c>
      <c r="G13" s="43">
        <f t="shared" si="14"/>
        <v>16080</v>
      </c>
      <c r="H13" s="44">
        <f t="shared" si="5"/>
        <v>21869</v>
      </c>
      <c r="I13" s="44">
        <f t="shared" si="6"/>
        <v>3162</v>
      </c>
      <c r="J13" s="44">
        <f t="shared" si="7"/>
        <v>41111</v>
      </c>
      <c r="K13" s="46">
        <f t="shared" si="8"/>
        <v>24020</v>
      </c>
      <c r="L13" s="46">
        <f t="shared" si="8"/>
        <v>-20265</v>
      </c>
      <c r="M13" s="43">
        <f t="shared" si="8"/>
        <v>313</v>
      </c>
      <c r="N13" s="44">
        <f t="shared" si="9"/>
        <v>4068</v>
      </c>
      <c r="O13" s="43">
        <f t="shared" si="0"/>
        <v>1627</v>
      </c>
      <c r="P13" s="75">
        <f t="shared" si="1"/>
        <v>163</v>
      </c>
      <c r="Q13" s="75">
        <f t="shared" si="10"/>
        <v>146</v>
      </c>
      <c r="R13" s="39">
        <f t="shared" si="11"/>
        <v>309</v>
      </c>
      <c r="S13" s="45">
        <f t="shared" si="2"/>
        <v>1318</v>
      </c>
      <c r="T13" s="62"/>
      <c r="U13" s="63"/>
      <c r="AF13" s="67"/>
      <c r="AG13" s="3"/>
      <c r="AH13" s="3"/>
      <c r="AI13" s="3"/>
      <c r="AJ13" s="68"/>
    </row>
    <row r="14" spans="1:41" ht="18" customHeight="1">
      <c r="A14" s="31">
        <v>5</v>
      </c>
      <c r="B14" s="6" t="s">
        <v>23</v>
      </c>
      <c r="C14" s="43">
        <f t="shared" si="12"/>
        <v>40100</v>
      </c>
      <c r="D14" s="44">
        <f t="shared" si="3"/>
        <v>1604</v>
      </c>
      <c r="E14" s="44">
        <f t="shared" si="13"/>
        <v>3475</v>
      </c>
      <c r="F14" s="44">
        <f t="shared" si="4"/>
        <v>45179</v>
      </c>
      <c r="G14" s="43">
        <f t="shared" si="14"/>
        <v>16080</v>
      </c>
      <c r="H14" s="44">
        <f t="shared" si="5"/>
        <v>21869</v>
      </c>
      <c r="I14" s="44">
        <f t="shared" si="6"/>
        <v>3162</v>
      </c>
      <c r="J14" s="44">
        <f t="shared" si="7"/>
        <v>41111</v>
      </c>
      <c r="K14" s="46">
        <f t="shared" si="8"/>
        <v>24020</v>
      </c>
      <c r="L14" s="46">
        <f t="shared" si="8"/>
        <v>-20265</v>
      </c>
      <c r="M14" s="43">
        <f t="shared" si="8"/>
        <v>313</v>
      </c>
      <c r="N14" s="44">
        <f t="shared" si="9"/>
        <v>4068</v>
      </c>
      <c r="O14" s="43">
        <f t="shared" si="0"/>
        <v>1627</v>
      </c>
      <c r="P14" s="75">
        <f t="shared" si="1"/>
        <v>163</v>
      </c>
      <c r="Q14" s="75">
        <f t="shared" si="10"/>
        <v>146</v>
      </c>
      <c r="R14" s="39">
        <f t="shared" si="11"/>
        <v>309</v>
      </c>
      <c r="S14" s="45">
        <f t="shared" si="2"/>
        <v>1318</v>
      </c>
      <c r="T14" s="62"/>
      <c r="U14" s="63"/>
      <c r="AB14" s="2"/>
      <c r="AF14" s="3"/>
      <c r="AG14" s="3"/>
      <c r="AH14" s="3"/>
      <c r="AI14" s="3"/>
      <c r="AJ14" s="3"/>
    </row>
    <row r="15" spans="1:41" ht="18" customHeight="1">
      <c r="A15" s="31">
        <v>6</v>
      </c>
      <c r="B15" s="6" t="s">
        <v>24</v>
      </c>
      <c r="C15" s="43">
        <f t="shared" si="12"/>
        <v>40100</v>
      </c>
      <c r="D15" s="44">
        <f t="shared" si="3"/>
        <v>1604</v>
      </c>
      <c r="E15" s="44">
        <f t="shared" si="13"/>
        <v>3475</v>
      </c>
      <c r="F15" s="44">
        <f t="shared" si="4"/>
        <v>45179</v>
      </c>
      <c r="G15" s="43">
        <f t="shared" si="14"/>
        <v>16080</v>
      </c>
      <c r="H15" s="44">
        <f t="shared" si="5"/>
        <v>21869</v>
      </c>
      <c r="I15" s="44">
        <f t="shared" si="6"/>
        <v>3162</v>
      </c>
      <c r="J15" s="44">
        <f t="shared" si="7"/>
        <v>41111</v>
      </c>
      <c r="K15" s="46">
        <f t="shared" si="8"/>
        <v>24020</v>
      </c>
      <c r="L15" s="46">
        <f t="shared" si="8"/>
        <v>-20265</v>
      </c>
      <c r="M15" s="43">
        <f t="shared" si="8"/>
        <v>313</v>
      </c>
      <c r="N15" s="44">
        <f t="shared" si="9"/>
        <v>4068</v>
      </c>
      <c r="O15" s="43">
        <f t="shared" si="0"/>
        <v>1627</v>
      </c>
      <c r="P15" s="75">
        <f t="shared" si="1"/>
        <v>163</v>
      </c>
      <c r="Q15" s="75">
        <f t="shared" si="10"/>
        <v>146</v>
      </c>
      <c r="R15" s="39">
        <f t="shared" si="11"/>
        <v>309</v>
      </c>
      <c r="S15" s="45">
        <f t="shared" si="2"/>
        <v>1318</v>
      </c>
      <c r="T15" s="62"/>
      <c r="U15" s="63"/>
      <c r="Z15" s="18">
        <f>IF(AND($T$4=""),"",IF(AND($AC$4=$AB$6),SUM(O10:O20),SUM(O10:O20)))</f>
        <v>14655</v>
      </c>
      <c r="AF15" s="3"/>
      <c r="AG15" s="3"/>
      <c r="AH15" s="3"/>
      <c r="AI15" s="3"/>
      <c r="AJ15" s="3"/>
    </row>
    <row r="16" spans="1:41" ht="18" customHeight="1">
      <c r="A16" s="31">
        <v>7</v>
      </c>
      <c r="B16" s="6" t="s">
        <v>25</v>
      </c>
      <c r="C16" s="43">
        <f>MROUND(C15*1.03,100)</f>
        <v>41300</v>
      </c>
      <c r="D16" s="44">
        <f>ROUND((C16*5%),0)</f>
        <v>2065</v>
      </c>
      <c r="E16" s="44">
        <f t="shared" si="13"/>
        <v>3614</v>
      </c>
      <c r="F16" s="44">
        <f t="shared" si="4"/>
        <v>46979</v>
      </c>
      <c r="G16" s="43">
        <f>ROUNDUP(ROUND(G15*1.03,),-1)</f>
        <v>16570</v>
      </c>
      <c r="H16" s="44">
        <f>ROUND((G16*139%),0)</f>
        <v>23032</v>
      </c>
      <c r="I16" s="44">
        <f t="shared" si="6"/>
        <v>3300</v>
      </c>
      <c r="J16" s="44">
        <f t="shared" si="7"/>
        <v>42902</v>
      </c>
      <c r="K16" s="43">
        <f t="shared" si="8"/>
        <v>24730</v>
      </c>
      <c r="L16" s="43">
        <f t="shared" si="8"/>
        <v>-20967</v>
      </c>
      <c r="M16" s="43">
        <f t="shared" si="8"/>
        <v>314</v>
      </c>
      <c r="N16" s="44">
        <f t="shared" si="9"/>
        <v>4077</v>
      </c>
      <c r="O16" s="43">
        <f t="shared" si="0"/>
        <v>1631</v>
      </c>
      <c r="P16" s="75">
        <f t="shared" si="1"/>
        <v>163</v>
      </c>
      <c r="Q16" s="75">
        <f t="shared" si="10"/>
        <v>147</v>
      </c>
      <c r="R16" s="44">
        <f t="shared" si="11"/>
        <v>310</v>
      </c>
      <c r="S16" s="45">
        <f t="shared" si="2"/>
        <v>1321</v>
      </c>
      <c r="T16" s="62"/>
      <c r="U16" s="63"/>
      <c r="AA16" s="1" t="str">
        <f>"( Rs. "&amp;LOOKUP(IF(INT(RIGHT(Z15,7)/100000)&gt;19,INT(RIGHT(Z15,7)/1000000),IF(INT(RIGHT(Z15,7)/100000)&gt;=10,INT(RIGHT(Z15,7)/100000),0)),{0,1,2,3,4,5,6,7,8,9,10,11,12,13,14,15,16,17,18,19},{""," TEN "," TWENTY "," THIRTY "," FOURTY "," FIFTY "," SIXTY "," SEVENTY "," EIGHTY "," NINETY "," TEN "," ELEVEN "," TWELVE "," THIRTEEN "," FOURTEEN "," FIFTEEN "," SIXTEEN"," SEVENTEEN"," EIGHTEEN "," NINETEEN "})&amp;IF((IF(INT(RIGHT(Z15,7)/100000)&gt;19,INT(RIGHT(Z15,7)/1000000),IF(INT(RIGHT(Z15,7)/100000)&gt;=10,INT(RIGHT(Z15,7)/100000),0))+IF(INT(RIGHT(Z15,7)/100000)&gt;19,INT(RIGHT(Z15,6)/100000),IF(INT(RIGHT(Z15,7)/100000)&gt;10,0,INT(RIGHT(Z15,6)/100000))))&gt;0,LOOKUP(IF(INT(RIGHT(Z15,7)/100000)&gt;19,INT(RIGHT(Z15,6)/100000),IF(INT(RIGHT(Z15,7)/100000)&gt;10,0,INT(RIGHT(Z15,6)/100000))),{0,1,2,3,4,5,6,7,8,9,10,11,12,13,14,15,16,17,18,19},{""," ONE "," TWO "," THREE "," FOUR "," FIVE "," SIX "," SEVEN "," EIGHT "," NINE "," TEN "," ELEVEN "," TWELVE "," THIRTEEN "," FOURTEEN "," FIFTEEN "," SIXTEEN"," SEVENTEEN"," EIGHTEEN "," NINETEEN "})&amp;" Lac. "," ")&amp;LOOKUP(IF(INT(RIGHT(Z15,5)/1000)&gt;19,INT(RIGHT(Z15,5)/10000),IF(INT(RIGHT(Z15,5)/1000)&gt;=10,INT(RIGHT(Z15,5)/1000),0)),{0,1,2,3,4,5,6,7,8,9,10,11,12,13,14,15,16,17,18,19},{""," TEN "," TWENTY "," THIRTY "," FOURTY "," FIFTY "," SIXTY "," SEVENTY "," EIGHTY "," NINETY "," TEN "," ELEVEN "," TWELVE "," THIRTEEN "," FOURTEEN "," FIFTEEN "," SIXTEEN"," SEVENTEEN"," EIGHTEEN "," NINETEEN "})&amp;IF((IF(INT(RIGHT(Z15,5)/1000)&gt;19,INT(RIGHT(Z15,4)/1000),IF(INT(RIGHT(Z15,5)/1000)&gt;10,0,INT(RIGHT(Z15,4)/1000)))+IF(INT(RIGHT(Z15,5)/1000)&gt;19,INT(RIGHT(Z15,5)/10000),IF(INT(RIGHT(Z15,5)/1000)&gt;=10,INT(RIGHT(Z15,5)/1000),0)))&gt;0,LOOKUP(IF(INT(RIGHT(Z15,5)/1000)&gt;19,INT(RIGHT(Z15,4)/1000),IF(INT(RIGHT(Z15,5)/1000)&gt;10,0,INT(RIGHT(Z15,4)/1000))),{0,1,2,3,4,5,6,7,8,9,10,11,12,13,14,15,16,17,18,19},{""," ONE "," TWO "," THREE "," FOUR "," FIVE "," SIX "," SEVEN "," EIGHT "," NINE "," TEN "," ELEVEN "," TWELVE "," THIRTEEN "," FOURTEEN "," FIFTEEN "," SIXTEEN"," SEVENTEEN"," EIGHTEEN "," NINETEEN "})&amp;" THOUSAND "," ")&amp;IF((INT((RIGHT(Z15,3))/100))&gt;0,LOOKUP(INT((RIGHT(Z15,3))/100),{0,1,2,3,4,5,6,7,8,9,10,11,12,13,14,15,16,17,18,19},{""," ONE "," TWO "," THREE "," FOUR "," FIVE "," SIX "," SEVEN "," EIGHT "," NINE "," TEN "," ELEVEN "," TWELVE "," THIRTEEN "," FOURTEEN "," FIFTEEN "," SIXTEEN"," SEVENTEEN"," EIGHTEEN "," NINETEEN "})&amp;" HUNDRED "," ")&amp;LOOKUP(IF(INT(RIGHT(Z15,2))&gt;19,INT(RIGHT(Z15,2)/10),IF(INT(RIGHT(Z15,2))&gt;=10,INT(RIGHT(Z15,2)),0)),{0,1,2,3,4,5,6,7,8,9,10,11,12,13,14,15,16,17,18,19},{""," TEN "," TWENTY "," THIRTY "," FOURTY "," FIFTY "," SIXTY "," SEVENTY "," EIGHTY "," NINETY "," TEN "," ELEVEN "," TWELVE "," THIRTEEN "," FOURTEEN "," FIFTEEN "," SIXTEEN"," SEVENTEEN"," EIGHTEEN "," NINETEEN "})&amp;LOOKUP(IF(INT(RIGHT(Z15,2))&lt;10,INT(RIGHT(Z15,1)),IF(INT(RIGHT(Z15,2))&lt;20,0,INT(RIGHT(Z15,1)))),{0,1,2,3,4,5,6,7,8,9,10,11,12,13,14,15,16,17,18,19},{""," ONE "," TWO "," THREE "," FOUR "," FIVE "," SIX "," SEVEN "," EIGHT "," NINE "," TEN "," ELEVEN "," TWELVE "," THIRTEEN "," FOURTEEN "," FIFTEEN "," SIXTEEN"," SEVENTEEN"," EIGHTEEN "," NINETEEN "})&amp;" Only)"</f>
        <v>( Rs.   FOURTEEN  THOUSAND  SIX  HUNDRED  FIFTY  FIVE  Only)</v>
      </c>
      <c r="AB16" s="2"/>
      <c r="AF16" s="3"/>
      <c r="AG16" s="3"/>
      <c r="AH16" s="3"/>
      <c r="AI16" s="3"/>
      <c r="AJ16" s="3"/>
    </row>
    <row r="17" spans="1:36" ht="18" customHeight="1">
      <c r="A17" s="31">
        <v>8</v>
      </c>
      <c r="B17" s="6" t="s">
        <v>26</v>
      </c>
      <c r="C17" s="43">
        <f>C16</f>
        <v>41300</v>
      </c>
      <c r="D17" s="44">
        <f t="shared" ref="D17:D18" si="15">ROUND((C17*5%),0)</f>
        <v>2065</v>
      </c>
      <c r="E17" s="44">
        <f t="shared" si="13"/>
        <v>3614</v>
      </c>
      <c r="F17" s="44">
        <f t="shared" si="4"/>
        <v>46979</v>
      </c>
      <c r="G17" s="43">
        <f>G16</f>
        <v>16570</v>
      </c>
      <c r="H17" s="44">
        <f t="shared" ref="H17:H18" si="16">ROUND((G17*139%),0)</f>
        <v>23032</v>
      </c>
      <c r="I17" s="44">
        <f t="shared" si="6"/>
        <v>3300</v>
      </c>
      <c r="J17" s="44">
        <f t="shared" si="7"/>
        <v>42902</v>
      </c>
      <c r="K17" s="43">
        <f t="shared" si="8"/>
        <v>24730</v>
      </c>
      <c r="L17" s="43">
        <f t="shared" si="8"/>
        <v>-20967</v>
      </c>
      <c r="M17" s="43">
        <f t="shared" si="8"/>
        <v>314</v>
      </c>
      <c r="N17" s="44">
        <f t="shared" si="9"/>
        <v>4077</v>
      </c>
      <c r="O17" s="43">
        <f t="shared" si="0"/>
        <v>1631</v>
      </c>
      <c r="P17" s="75">
        <f t="shared" si="1"/>
        <v>163</v>
      </c>
      <c r="Q17" s="75">
        <f t="shared" si="10"/>
        <v>147</v>
      </c>
      <c r="R17" s="44">
        <f t="shared" si="11"/>
        <v>310</v>
      </c>
      <c r="S17" s="45">
        <f t="shared" si="2"/>
        <v>1321</v>
      </c>
      <c r="T17" s="62"/>
      <c r="U17" s="63"/>
      <c r="Z17" s="1">
        <f>IF(AND($T$4=""),"",N22)</f>
        <v>11871</v>
      </c>
      <c r="AA17" s="1" t="str">
        <f>"( Rs. "&amp;LOOKUP(IF(INT(RIGHT(Z17,7)/100000)&gt;19,INT(RIGHT(Z17,7)/1000000),IF(INT(RIGHT(Z17,7)/100000)&gt;=10,INT(RIGHT(Z17,7)/100000),0)),{0,1,2,3,4,5,6,7,8,9,10,11,12,13,14,15,16,17,18,19},{""," TEN "," TWENTY "," THIRTY "," FOURTY "," FIFTY "," SIXTY "," SEVENTY "," EIGHTY "," NINETY "," TEN "," ELEVEN "," TWELVE "," THIRTEEN "," FOURTEEN "," FIFTEEN "," SIXTEEN"," SEVENTEEN"," EIGHTEEN "," NINETEEN "})&amp;IF((IF(INT(RIGHT(Z17,7)/100000)&gt;19,INT(RIGHT(Z17,7)/1000000),IF(INT(RIGHT(Z17,7)/100000)&gt;=10,INT(RIGHT(Z17,7)/100000),0))+IF(INT(RIGHT(Z17,7)/100000)&gt;19,INT(RIGHT(Z17,6)/100000),IF(INT(RIGHT(Z17,7)/100000)&gt;10,0,INT(RIGHT(Z17,6)/100000))))&gt;0,LOOKUP(IF(INT(RIGHT(Z17,7)/100000)&gt;19,INT(RIGHT(Z17,6)/100000),IF(INT(RIGHT(Z17,7)/100000)&gt;10,0,INT(RIGHT(Z17,6)/100000))),{0,1,2,3,4,5,6,7,8,9,10,11,12,13,14,15,16,17,18,19},{""," ONE "," TWO "," THREE "," FOUR "," FIVE "," SIX "," SEVEN "," EIGHT "," NINE "," TEN "," ELEVEN "," TWELVE "," THIRTEEN "," FOURTEEN "," FIFTEEN "," SIXTEEN"," SEVENTEEN"," EIGHTEEN "," NINETEEN "})&amp;" Lac. "," ")&amp;LOOKUP(IF(INT(RIGHT(Z17,5)/1000)&gt;19,INT(RIGHT(Z17,5)/10000),IF(INT(RIGHT(Z17,5)/1000)&gt;=10,INT(RIGHT(Z17,5)/1000),0)),{0,1,2,3,4,5,6,7,8,9,10,11,12,13,14,15,16,17,18,19},{""," TEN "," TWENTY "," THIRTY "," FOURTY "," FIFTY "," SIXTY "," SEVENTY "," EIGHTY "," NINETY "," TEN "," ELEVEN "," TWELVE "," THIRTEEN "," FOURTEEN "," FIFTEEN "," SIXTEEN"," SEVENTEEN"," EIGHTEEN "," NINETEEN "})&amp;IF((IF(INT(RIGHT(Z17,5)/1000)&gt;19,INT(RIGHT(Z17,4)/1000),IF(INT(RIGHT(Z17,5)/1000)&gt;10,0,INT(RIGHT(Z17,4)/1000)))+IF(INT(RIGHT(Z17,5)/1000)&gt;19,INT(RIGHT(Z17,5)/10000),IF(INT(RIGHT(Z17,5)/1000)&gt;=10,INT(RIGHT(Z17,5)/1000),0)))&gt;0,LOOKUP(IF(INT(RIGHT(Z17,5)/1000)&gt;19,INT(RIGHT(Z17,4)/1000),IF(INT(RIGHT(Z17,5)/1000)&gt;10,0,INT(RIGHT(Z17,4)/1000))),{0,1,2,3,4,5,6,7,8,9,10,11,12,13,14,15,16,17,18,19},{""," ONE "," TWO "," THREE "," FOUR "," FIVE "," SIX "," SEVEN "," EIGHT "," NINE "," TEN "," ELEVEN "," TWELVE "," THIRTEEN "," FOURTEEN "," FIFTEEN "," SIXTEEN"," SEVENTEEN"," EIGHTEEN "," NINETEEN "})&amp;" THOUSAND "," ")&amp;IF((INT((RIGHT(Z17,3))/100))&gt;0,LOOKUP(INT((RIGHT(Z17,3))/100),{0,1,2,3,4,5,6,7,8,9,10,11,12,13,14,15,16,17,18,19},{""," ONE "," TWO "," THREE "," FOUR "," FIVE "," SIX "," SEVEN "," EIGHT "," NINE "," TEN "," ELEVEN "," TWELVE "," THIRTEEN "," FOURTEEN "," FIFTEEN "," SIXTEEN"," SEVENTEEN"," EIGHTEEN "," NINETEEN "})&amp;" HUNDRED "," ")&amp;LOOKUP(IF(INT(RIGHT(Z17,2))&gt;19,INT(RIGHT(Z17,2)/10),IF(INT(RIGHT(Z17,2))&gt;=10,INT(RIGHT(Z17,2)),0)),{0,1,2,3,4,5,6,7,8,9,10,11,12,13,14,15,16,17,18,19},{""," TEN "," TWENTY "," THIRTY "," FOURTY "," FIFTY "," SIXTY "," SEVENTY "," EIGHTY "," NINETY "," TEN "," ELEVEN "," TWELVE "," THIRTEEN "," FOURTEEN "," FIFTEEN "," SIXTEEN"," SEVENTEEN"," EIGHTEEN "," NINETEEN "})&amp;LOOKUP(IF(INT(RIGHT(Z17,2))&lt;10,INT(RIGHT(Z17,1)),IF(INT(RIGHT(Z17,2))&lt;20,0,INT(RIGHT(Z17,1)))),{0,1,2,3,4,5,6,7,8,9,10,11,12,13,14,15,16,17,18,19},{""," ONE "," TWO "," THREE "," FOUR "," FIVE "," SIX "," SEVEN "," EIGHT "," NINE "," TEN "," ELEVEN "," TWELVE "," THIRTEEN "," FOURTEEN "," FIFTEEN "," SIXTEEN"," SEVENTEEN"," EIGHTEEN "," NINETEEN "})&amp;" Only)"</f>
        <v>( Rs.   ELEVEN  THOUSAND  EIGHT  HUNDRED  SEVENTY  ONE  Only)</v>
      </c>
      <c r="AF17" s="3"/>
      <c r="AG17" s="3"/>
      <c r="AH17" s="3"/>
      <c r="AI17" s="3"/>
      <c r="AJ17" s="3"/>
    </row>
    <row r="18" spans="1:36" ht="18" customHeight="1">
      <c r="A18" s="31">
        <v>9</v>
      </c>
      <c r="B18" s="6" t="s">
        <v>27</v>
      </c>
      <c r="C18" s="43">
        <f>C17</f>
        <v>41300</v>
      </c>
      <c r="D18" s="44">
        <f t="shared" si="15"/>
        <v>2065</v>
      </c>
      <c r="E18" s="44">
        <f t="shared" si="13"/>
        <v>3614</v>
      </c>
      <c r="F18" s="44">
        <f t="shared" si="4"/>
        <v>46979</v>
      </c>
      <c r="G18" s="43">
        <f>G17</f>
        <v>16570</v>
      </c>
      <c r="H18" s="44">
        <f t="shared" si="16"/>
        <v>23032</v>
      </c>
      <c r="I18" s="44">
        <f t="shared" si="6"/>
        <v>3300</v>
      </c>
      <c r="J18" s="44">
        <f t="shared" si="7"/>
        <v>42902</v>
      </c>
      <c r="K18" s="46">
        <f t="shared" si="8"/>
        <v>24730</v>
      </c>
      <c r="L18" s="46">
        <f t="shared" si="8"/>
        <v>-20967</v>
      </c>
      <c r="M18" s="43">
        <f t="shared" si="8"/>
        <v>314</v>
      </c>
      <c r="N18" s="44">
        <f t="shared" si="9"/>
        <v>4077</v>
      </c>
      <c r="O18" s="43">
        <f t="shared" si="0"/>
        <v>1631</v>
      </c>
      <c r="P18" s="75">
        <f t="shared" si="1"/>
        <v>163</v>
      </c>
      <c r="Q18" s="75">
        <f t="shared" si="10"/>
        <v>147</v>
      </c>
      <c r="R18" s="39">
        <f t="shared" si="11"/>
        <v>310</v>
      </c>
      <c r="S18" s="45">
        <f t="shared" si="2"/>
        <v>1321</v>
      </c>
      <c r="T18" s="62"/>
      <c r="U18" s="63"/>
      <c r="AB18" s="2"/>
      <c r="AF18" s="3"/>
      <c r="AG18" s="3"/>
      <c r="AH18" s="3"/>
      <c r="AI18" s="3"/>
      <c r="AJ18" s="3"/>
    </row>
    <row r="19" spans="1:36" hidden="1">
      <c r="A19" s="31"/>
      <c r="B19" s="47"/>
      <c r="C19" s="47"/>
      <c r="D19" s="46"/>
      <c r="E19" s="46"/>
      <c r="F19" s="43"/>
      <c r="G19" s="46"/>
      <c r="H19" s="46"/>
      <c r="I19" s="46"/>
      <c r="J19" s="44"/>
      <c r="K19" s="46"/>
      <c r="L19" s="46"/>
      <c r="M19" s="46"/>
      <c r="N19" s="46"/>
      <c r="O19" s="43"/>
      <c r="P19" s="43"/>
      <c r="Q19" s="43"/>
      <c r="R19" s="39"/>
      <c r="S19" s="45"/>
      <c r="T19" s="62"/>
      <c r="U19" s="63"/>
      <c r="AB19" s="2"/>
      <c r="AF19" s="3"/>
      <c r="AG19" s="3"/>
      <c r="AH19" s="3"/>
      <c r="AI19" s="3"/>
      <c r="AJ19" s="3"/>
    </row>
    <row r="20" spans="1:36" hidden="1">
      <c r="A20" s="31"/>
      <c r="B20" s="47"/>
      <c r="C20" s="47"/>
      <c r="D20" s="46"/>
      <c r="E20" s="46"/>
      <c r="F20" s="43"/>
      <c r="G20" s="46"/>
      <c r="H20" s="46"/>
      <c r="I20" s="46"/>
      <c r="J20" s="44"/>
      <c r="K20" s="46"/>
      <c r="L20" s="46"/>
      <c r="M20" s="46"/>
      <c r="N20" s="46"/>
      <c r="O20" s="43"/>
      <c r="P20" s="43"/>
      <c r="Q20" s="43"/>
      <c r="R20" s="39"/>
      <c r="S20" s="45"/>
      <c r="T20" s="62"/>
      <c r="U20" s="66"/>
      <c r="V20" s="3"/>
      <c r="W20" s="15"/>
      <c r="AB20" s="2"/>
      <c r="AF20" s="3"/>
      <c r="AG20" s="3"/>
      <c r="AH20" s="3"/>
      <c r="AI20" s="3"/>
      <c r="AJ20" s="3"/>
    </row>
    <row r="21" spans="1:36" ht="18.75">
      <c r="A21" s="95" t="s">
        <v>28</v>
      </c>
      <c r="B21" s="96"/>
      <c r="C21" s="7">
        <f t="shared" ref="C21:S21" si="17">IF(AND($T$4=""),"",SUM(C10:C20))</f>
        <v>364500</v>
      </c>
      <c r="D21" s="7">
        <f t="shared" si="17"/>
        <v>15819</v>
      </c>
      <c r="E21" s="7">
        <f t="shared" si="17"/>
        <v>31692</v>
      </c>
      <c r="F21" s="7">
        <f t="shared" si="17"/>
        <v>412011</v>
      </c>
      <c r="G21" s="16">
        <f t="shared" si="17"/>
        <v>146190</v>
      </c>
      <c r="H21" s="16">
        <f t="shared" si="17"/>
        <v>200310</v>
      </c>
      <c r="I21" s="16">
        <f t="shared" si="17"/>
        <v>28872</v>
      </c>
      <c r="J21" s="16">
        <f t="shared" si="17"/>
        <v>375372</v>
      </c>
      <c r="K21" s="16">
        <f t="shared" si="17"/>
        <v>218310</v>
      </c>
      <c r="L21" s="16">
        <f t="shared" si="17"/>
        <v>-184491</v>
      </c>
      <c r="M21" s="16">
        <f t="shared" si="17"/>
        <v>2820</v>
      </c>
      <c r="N21" s="16">
        <f t="shared" si="17"/>
        <v>36639</v>
      </c>
      <c r="O21" s="16">
        <f t="shared" si="17"/>
        <v>14655</v>
      </c>
      <c r="P21" s="16">
        <f t="shared" si="17"/>
        <v>1467</v>
      </c>
      <c r="Q21" s="16">
        <f t="shared" si="17"/>
        <v>1317</v>
      </c>
      <c r="R21" s="16">
        <f t="shared" si="17"/>
        <v>2784</v>
      </c>
      <c r="S21" s="17">
        <f t="shared" si="17"/>
        <v>11871</v>
      </c>
      <c r="T21" s="97"/>
      <c r="U21" s="98"/>
      <c r="AF21" s="3"/>
      <c r="AG21" s="3"/>
      <c r="AH21" s="3"/>
      <c r="AI21" s="3"/>
      <c r="AJ21" s="3"/>
    </row>
    <row r="22" spans="1:36" ht="17.25">
      <c r="A22" s="32"/>
      <c r="B22" s="40" t="s">
        <v>44</v>
      </c>
      <c r="C22" s="130" t="str">
        <f>IF(AND(T$4=""),"",IF(AND(AF7&lt;=AF8),"01-01-2017",AF7))</f>
        <v>01-01-2017</v>
      </c>
      <c r="D22" s="130"/>
      <c r="E22" s="57"/>
      <c r="F22" s="101" t="s">
        <v>43</v>
      </c>
      <c r="G22" s="101"/>
      <c r="H22" s="101"/>
      <c r="I22" s="101"/>
      <c r="J22" s="101"/>
      <c r="K22" s="101"/>
      <c r="L22" s="101"/>
      <c r="M22" s="64"/>
      <c r="N22" s="100">
        <f>IF(AND(T4=""),"",IF(AND(AC4=$AB$7),S21,P21))</f>
        <v>11871</v>
      </c>
      <c r="O22" s="100"/>
      <c r="P22" s="99" t="str">
        <f>IF(AND(T$4=""),"",IF(AND(AC4=$AB$7),"dk udn Hkqxrku fd;k x;k A","jkf'k thih,Q esa tek A"))</f>
        <v>dk udn Hkqxrku fd;k x;k A</v>
      </c>
      <c r="Q22" s="99"/>
      <c r="R22" s="99"/>
      <c r="S22" s="99"/>
      <c r="T22" s="9"/>
      <c r="U22" s="33"/>
      <c r="X22" s="21"/>
      <c r="AF22" s="3"/>
      <c r="AG22" s="3"/>
      <c r="AH22" s="3"/>
      <c r="AI22" s="3"/>
      <c r="AJ22" s="3"/>
    </row>
    <row r="23" spans="1:36" ht="18.75">
      <c r="A23" s="24"/>
      <c r="B23" s="3"/>
      <c r="C23" s="3"/>
      <c r="D23" s="104"/>
      <c r="E23" s="104"/>
      <c r="F23" s="104"/>
      <c r="G23" s="104"/>
      <c r="H23" s="104"/>
      <c r="I23" s="60"/>
      <c r="J23" s="3"/>
      <c r="K23" s="3"/>
      <c r="L23" s="105" t="s">
        <v>33</v>
      </c>
      <c r="M23" s="105"/>
      <c r="N23" s="105"/>
      <c r="O23" s="105"/>
      <c r="P23" s="105"/>
      <c r="Q23" s="106">
        <f>IF(AND($T$4=""),"",O21)</f>
        <v>14655</v>
      </c>
      <c r="R23" s="106"/>
      <c r="S23" s="107" t="s">
        <v>36</v>
      </c>
      <c r="T23" s="107"/>
      <c r="U23" s="108"/>
      <c r="AF23" s="3"/>
      <c r="AG23" s="3"/>
      <c r="AH23" s="3"/>
      <c r="AI23" s="3"/>
      <c r="AJ23" s="3"/>
    </row>
    <row r="24" spans="1:36" ht="21" customHeight="1">
      <c r="A24" s="24"/>
      <c r="B24" s="109" t="str">
        <f>IF(AND($T$4=""),"",IF(AND(G4=""),"",IF(AND(F7=""),"",F7)))</f>
        <v>Third installment of Arrear on 01-10-2018 (40% Amount)</v>
      </c>
      <c r="C24" s="109"/>
      <c r="D24" s="109"/>
      <c r="E24" s="109"/>
      <c r="F24" s="109"/>
      <c r="G24" s="109"/>
      <c r="H24" s="109"/>
      <c r="I24" s="109"/>
      <c r="J24" s="109"/>
      <c r="K24" s="109"/>
      <c r="L24" s="105" t="str">
        <f>IF(AND(T4=""),"",IF(AND(AC4=$AB$7),",u-ih-,l- dVkSrh","jkf'k thih,Q esa tek A"))</f>
        <v>,u-ih-,l- dVkSrh</v>
      </c>
      <c r="M24" s="105"/>
      <c r="N24" s="105"/>
      <c r="O24" s="105"/>
      <c r="P24" s="105"/>
      <c r="Q24" s="106">
        <f>IF(AND($T$4=""),"",P21)</f>
        <v>1467</v>
      </c>
      <c r="R24" s="106"/>
      <c r="S24" s="110" t="str">
        <f>IF(AND($T$4=""),"",AA17)</f>
        <v>( Rs.   ELEVEN  THOUSAND  EIGHT  HUNDRED  SEVENTY  ONE  Only)</v>
      </c>
      <c r="T24" s="110"/>
      <c r="U24" s="111"/>
      <c r="AF24" s="3"/>
      <c r="AG24" s="3"/>
      <c r="AH24" s="3"/>
      <c r="AI24" s="3"/>
      <c r="AJ24" s="3"/>
    </row>
    <row r="25" spans="1:36" ht="21" customHeight="1">
      <c r="A25" s="24"/>
      <c r="B25" s="58"/>
      <c r="C25" s="112"/>
      <c r="D25" s="112"/>
      <c r="E25" s="112"/>
      <c r="F25" s="112"/>
      <c r="G25" s="112"/>
      <c r="H25" s="112"/>
      <c r="I25" s="59"/>
      <c r="J25" s="5"/>
      <c r="K25" s="5"/>
      <c r="L25" s="105" t="s">
        <v>34</v>
      </c>
      <c r="M25" s="105"/>
      <c r="N25" s="105"/>
      <c r="O25" s="105"/>
      <c r="P25" s="105"/>
      <c r="Q25" s="106">
        <f>IF(AND($T$4=""),"",Q21)</f>
        <v>1317</v>
      </c>
      <c r="R25" s="106"/>
      <c r="S25" s="110"/>
      <c r="T25" s="110"/>
      <c r="U25" s="111"/>
    </row>
    <row r="26" spans="1:36" ht="15.75">
      <c r="A26" s="34"/>
      <c r="B26" s="10"/>
      <c r="C26" s="117"/>
      <c r="D26" s="117"/>
      <c r="E26" s="117"/>
      <c r="F26" s="117"/>
      <c r="G26" s="117"/>
      <c r="H26" s="117"/>
      <c r="I26" s="61"/>
      <c r="J26" s="11"/>
      <c r="K26" s="11"/>
      <c r="L26" s="118" t="s">
        <v>35</v>
      </c>
      <c r="M26" s="118"/>
      <c r="N26" s="118"/>
      <c r="O26" s="118"/>
      <c r="P26" s="118"/>
      <c r="Q26" s="119">
        <f>IF(AND(AC4=$AB$7),SUM(Q23-Q24-Q25),0)</f>
        <v>11871</v>
      </c>
      <c r="R26" s="119"/>
      <c r="S26" s="120" t="str">
        <f>IF(AND(T$4=""),"",IF(AND(AC4=$AB$7),"dk udn Hkqxrku fd;k x;k","jkf'k thih,Q esa tek"))</f>
        <v>dk udn Hkqxrku fd;k x;k</v>
      </c>
      <c r="T26" s="120"/>
      <c r="U26" s="121"/>
    </row>
    <row r="27" spans="1:36" ht="18.75">
      <c r="A27" s="24"/>
      <c r="B27" s="58"/>
      <c r="C27" s="112"/>
      <c r="D27" s="112"/>
      <c r="E27" s="112"/>
      <c r="F27" s="112"/>
      <c r="G27" s="112"/>
      <c r="H27" s="112"/>
      <c r="I27" s="59"/>
      <c r="J27" s="5"/>
      <c r="K27" s="5"/>
      <c r="L27" s="5"/>
      <c r="M27" s="5"/>
      <c r="N27" s="8"/>
      <c r="O27" s="8"/>
      <c r="P27" s="3"/>
      <c r="Q27" s="3"/>
      <c r="R27" s="37"/>
      <c r="S27" s="37"/>
      <c r="T27" s="37"/>
      <c r="U27" s="38"/>
    </row>
    <row r="28" spans="1:36" ht="19.5" customHeight="1">
      <c r="A28" s="24"/>
      <c r="B28" s="58"/>
      <c r="C28" s="59"/>
      <c r="D28" s="59"/>
      <c r="E28" s="59"/>
      <c r="F28" s="59"/>
      <c r="G28" s="59"/>
      <c r="H28" s="59"/>
      <c r="I28" s="59"/>
      <c r="J28" s="5"/>
      <c r="K28" s="5"/>
      <c r="L28" s="5"/>
      <c r="M28" s="5"/>
      <c r="N28" s="8"/>
      <c r="O28" s="8"/>
      <c r="P28" s="3"/>
      <c r="Q28" s="3"/>
      <c r="R28" s="37"/>
      <c r="S28" s="128" t="s">
        <v>50</v>
      </c>
      <c r="T28" s="128"/>
      <c r="U28" s="129"/>
    </row>
    <row r="29" spans="1:36" ht="15.75">
      <c r="A29" s="24"/>
      <c r="B29" s="3"/>
      <c r="C29" s="3"/>
      <c r="D29" s="3"/>
      <c r="E29" s="3"/>
      <c r="F29" s="3"/>
      <c r="G29" s="3"/>
      <c r="H29" s="3"/>
      <c r="I29" s="3"/>
      <c r="J29" s="3"/>
      <c r="K29" s="3"/>
      <c r="L29" s="3"/>
      <c r="M29" s="3"/>
      <c r="N29" s="3"/>
      <c r="O29" s="3"/>
      <c r="P29" s="3"/>
      <c r="Q29" s="3"/>
      <c r="R29" s="3"/>
      <c r="S29" s="124" t="s">
        <v>38</v>
      </c>
      <c r="T29" s="124"/>
      <c r="U29" s="125"/>
    </row>
    <row r="30" spans="1:36" ht="16.5" thickBot="1">
      <c r="A30" s="35"/>
      <c r="B30" s="36"/>
      <c r="C30" s="36"/>
      <c r="D30" s="36"/>
      <c r="E30" s="36"/>
      <c r="F30" s="36"/>
      <c r="G30" s="36"/>
      <c r="H30" s="36"/>
      <c r="I30" s="36"/>
      <c r="J30" s="36"/>
      <c r="K30" s="36"/>
      <c r="L30" s="36"/>
      <c r="M30" s="36"/>
      <c r="N30" s="36"/>
      <c r="O30" s="36"/>
      <c r="P30" s="36"/>
      <c r="Q30" s="36"/>
      <c r="R30" s="36"/>
      <c r="S30" s="126" t="s">
        <v>39</v>
      </c>
      <c r="T30" s="126"/>
      <c r="U30" s="127"/>
    </row>
  </sheetData>
  <sheetProtection password="CF29" sheet="1" objects="1" scenarios="1" formatCells="0" formatColumns="0"/>
  <mergeCells count="46">
    <mergeCell ref="B2:T2"/>
    <mergeCell ref="B3:T3"/>
    <mergeCell ref="C4:F4"/>
    <mergeCell ref="G4:J4"/>
    <mergeCell ref="K4:L4"/>
    <mergeCell ref="N4:Q4"/>
    <mergeCell ref="R4:S4"/>
    <mergeCell ref="V4:W4"/>
    <mergeCell ref="B5:T5"/>
    <mergeCell ref="C6:S6"/>
    <mergeCell ref="F7:P7"/>
    <mergeCell ref="A8:A9"/>
    <mergeCell ref="B8:B9"/>
    <mergeCell ref="C8:F8"/>
    <mergeCell ref="G8:J8"/>
    <mergeCell ref="K8:N8"/>
    <mergeCell ref="O8:O9"/>
    <mergeCell ref="P8:R8"/>
    <mergeCell ref="S8:S9"/>
    <mergeCell ref="T8:T9"/>
    <mergeCell ref="U8:U9"/>
    <mergeCell ref="A21:B21"/>
    <mergeCell ref="T21:U21"/>
    <mergeCell ref="C22:D22"/>
    <mergeCell ref="F22:L22"/>
    <mergeCell ref="N22:O22"/>
    <mergeCell ref="P22:S22"/>
    <mergeCell ref="D23:H23"/>
    <mergeCell ref="L23:P23"/>
    <mergeCell ref="Q23:R23"/>
    <mergeCell ref="S23:U23"/>
    <mergeCell ref="B24:K24"/>
    <mergeCell ref="L24:P24"/>
    <mergeCell ref="Q24:R24"/>
    <mergeCell ref="S24:U25"/>
    <mergeCell ref="C25:H25"/>
    <mergeCell ref="L25:P25"/>
    <mergeCell ref="Q25:R25"/>
    <mergeCell ref="S29:U29"/>
    <mergeCell ref="S30:U30"/>
    <mergeCell ref="C26:H26"/>
    <mergeCell ref="L26:P26"/>
    <mergeCell ref="Q26:R26"/>
    <mergeCell ref="S26:U26"/>
    <mergeCell ref="C27:H27"/>
    <mergeCell ref="S28:U28"/>
  </mergeCells>
  <dataValidations count="2">
    <dataValidation type="list" allowBlank="1" showInputMessage="1" showErrorMessage="1" sqref="T4">
      <formula1>$AB$6:$AB$8</formula1>
    </dataValidation>
    <dataValidation type="list" allowBlank="1" showInputMessage="1" showErrorMessage="1" sqref="F7">
      <formula1>$AA$1:$AA$4</formula1>
    </dataValidation>
  </dataValidations>
  <pageMargins left="0.7" right="0.45" top="0.75" bottom="0.75" header="0.3" footer="0.3"/>
  <pageSetup paperSize="9" scale="8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Unlock Sheet 100%</vt:lpstr>
      <vt:lpstr>Unlock Arrear Sheet 40%</vt:lpstr>
      <vt:lpstr>'Unlock Arrear Sheet 40%'!Print_Area</vt:lpstr>
      <vt:lpstr>'Unlock Sheet 100%'!Print_Area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2018-09-29T11:39:23Z</dcterms:modified>
</cp:coreProperties>
</file>