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For 7pay Fixation Arrear module" sheetId="8" r:id="rId2"/>
    <sheet name="For salary Arrear Module" sheetId="14" r:id="rId3"/>
    <sheet name="7th pay Surr. Arrea" sheetId="10" r:id="rId4"/>
    <sheet name="Unlock Sheet" sheetId="15" r:id="rId5"/>
  </sheets>
  <definedNames>
    <definedName name="_xlnm.Print_Area" localSheetId="3">'7th pay Surr. Arrea'!$A$2:$R$22</definedName>
    <definedName name="_xlnm.Print_Area" localSheetId="1">'For 7pay Fixation Arrear module'!$A$2:$R$30</definedName>
  </definedNames>
  <calcPr calcId="124519"/>
</workbook>
</file>

<file path=xl/calcChain.xml><?xml version="1.0" encoding="utf-8"?>
<calcChain xmlns="http://schemas.openxmlformats.org/spreadsheetml/2006/main">
  <c r="O19" i="14"/>
  <c r="O20"/>
  <c r="M4"/>
  <c r="P28" i="15"/>
  <c r="AG13"/>
  <c r="AI13" s="1"/>
  <c r="AE13"/>
  <c r="AC13"/>
  <c r="AC7"/>
  <c r="C22" s="1"/>
  <c r="AN4"/>
  <c r="AM4"/>
  <c r="AL4"/>
  <c r="AK4"/>
  <c r="AJ4"/>
  <c r="AI4"/>
  <c r="AH4"/>
  <c r="AG4"/>
  <c r="AF4"/>
  <c r="AE4"/>
  <c r="AF13" s="1"/>
  <c r="AD4"/>
  <c r="AC4"/>
  <c r="AB4"/>
  <c r="AA4"/>
  <c r="Z4"/>
  <c r="P26" s="1"/>
  <c r="K4"/>
  <c r="F4"/>
  <c r="B24" s="1"/>
  <c r="B3"/>
  <c r="H9" i="14"/>
  <c r="D9"/>
  <c r="G10"/>
  <c r="G11" s="1"/>
  <c r="H11" s="1"/>
  <c r="C10"/>
  <c r="C11" s="1"/>
  <c r="C12" s="1"/>
  <c r="C13" s="1"/>
  <c r="D13" s="1"/>
  <c r="G4"/>
  <c r="B24" s="1"/>
  <c r="AH11"/>
  <c r="AH12" s="1"/>
  <c r="AH13" s="1"/>
  <c r="AH14" s="1"/>
  <c r="AI11"/>
  <c r="AI12" s="1"/>
  <c r="AI13" s="1"/>
  <c r="AI14" s="1"/>
  <c r="AJ11"/>
  <c r="AJ12" s="1"/>
  <c r="AJ13" s="1"/>
  <c r="AJ14" s="1"/>
  <c r="AK11"/>
  <c r="AK12" s="1"/>
  <c r="AK13" s="1"/>
  <c r="AK14" s="1"/>
  <c r="AL11"/>
  <c r="AL12" s="1"/>
  <c r="AL13" s="1"/>
  <c r="AL14" s="1"/>
  <c r="AM11"/>
  <c r="AM12" s="1"/>
  <c r="AM13" s="1"/>
  <c r="AM14" s="1"/>
  <c r="AN11"/>
  <c r="AN12" s="1"/>
  <c r="AN13" s="1"/>
  <c r="AN14" s="1"/>
  <c r="AO11"/>
  <c r="AO12" s="1"/>
  <c r="AO13" s="1"/>
  <c r="AO14" s="1"/>
  <c r="AP11"/>
  <c r="AP12" s="1"/>
  <c r="AP13" s="1"/>
  <c r="AP14" s="1"/>
  <c r="AQ11"/>
  <c r="AQ12" s="1"/>
  <c r="AQ13" s="1"/>
  <c r="AQ14" s="1"/>
  <c r="R28"/>
  <c r="AE7"/>
  <c r="D22" s="1"/>
  <c r="AP4"/>
  <c r="AO4"/>
  <c r="AN4"/>
  <c r="AM4"/>
  <c r="AL4"/>
  <c r="AK4"/>
  <c r="AJ4"/>
  <c r="AI4"/>
  <c r="AH4"/>
  <c r="AG4"/>
  <c r="AF4"/>
  <c r="AE4"/>
  <c r="AD4"/>
  <c r="AC4"/>
  <c r="AB4"/>
  <c r="R26" s="1"/>
  <c r="B3"/>
  <c r="B10" i="10"/>
  <c r="C10"/>
  <c r="F10"/>
  <c r="AC10"/>
  <c r="AE10"/>
  <c r="AG10"/>
  <c r="AH10" s="1"/>
  <c r="P20"/>
  <c r="AC7"/>
  <c r="C14" s="1"/>
  <c r="AN4"/>
  <c r="AM4"/>
  <c r="AL4"/>
  <c r="AK4"/>
  <c r="AJ4"/>
  <c r="AI4"/>
  <c r="AH4"/>
  <c r="AG4"/>
  <c r="AF4"/>
  <c r="AE4"/>
  <c r="AD10" s="1"/>
  <c r="AD4"/>
  <c r="AC4"/>
  <c r="AB4"/>
  <c r="AA4"/>
  <c r="Z4"/>
  <c r="P18" s="1"/>
  <c r="K4"/>
  <c r="F4"/>
  <c r="B16" s="1"/>
  <c r="B3"/>
  <c r="B3" i="8"/>
  <c r="P28"/>
  <c r="AC7"/>
  <c r="C22" s="1"/>
  <c r="Z4"/>
  <c r="P26" s="1"/>
  <c r="AG13"/>
  <c r="AI13" s="1"/>
  <c r="AE13"/>
  <c r="AC13"/>
  <c r="AN4"/>
  <c r="AM4"/>
  <c r="AL4"/>
  <c r="AK4"/>
  <c r="AJ4"/>
  <c r="AI4"/>
  <c r="AH4"/>
  <c r="AG4"/>
  <c r="AF4"/>
  <c r="AE4"/>
  <c r="AD4"/>
  <c r="AC4"/>
  <c r="AB4"/>
  <c r="AA4"/>
  <c r="K4"/>
  <c r="F4"/>
  <c r="L8" s="1"/>
  <c r="M9" i="15" l="1"/>
  <c r="AD13"/>
  <c r="AH13"/>
  <c r="AF14"/>
  <c r="J24"/>
  <c r="L8"/>
  <c r="V10"/>
  <c r="M22"/>
  <c r="D12" i="14"/>
  <c r="O22"/>
  <c r="D10"/>
  <c r="D11"/>
  <c r="I11" s="1"/>
  <c r="O9"/>
  <c r="H10"/>
  <c r="L10" i="10"/>
  <c r="G12" i="14"/>
  <c r="H12" s="1"/>
  <c r="X18" i="10"/>
  <c r="D10" s="1"/>
  <c r="C14" i="14"/>
  <c r="AQ15"/>
  <c r="AO15"/>
  <c r="AM15"/>
  <c r="AK15"/>
  <c r="AI15"/>
  <c r="AP15"/>
  <c r="AN15"/>
  <c r="AL15"/>
  <c r="AJ15"/>
  <c r="AH15"/>
  <c r="AH16" s="1"/>
  <c r="AH17" s="1"/>
  <c r="L24"/>
  <c r="N8"/>
  <c r="X10"/>
  <c r="X20" i="10"/>
  <c r="G10" s="1"/>
  <c r="W9"/>
  <c r="AI10"/>
  <c r="AJ10" s="1"/>
  <c r="AF10"/>
  <c r="M9"/>
  <c r="J16"/>
  <c r="L8"/>
  <c r="M14"/>
  <c r="B24" i="8"/>
  <c r="M9"/>
  <c r="AF13"/>
  <c r="AF14" s="1"/>
  <c r="AF15" s="1"/>
  <c r="AF16" s="1"/>
  <c r="AF17" s="1"/>
  <c r="M22"/>
  <c r="AD13"/>
  <c r="AD14" s="1"/>
  <c r="AD15" s="1"/>
  <c r="AH13"/>
  <c r="V10"/>
  <c r="J24"/>
  <c r="E10" i="14" l="1"/>
  <c r="F10" s="1"/>
  <c r="I10"/>
  <c r="F11" i="15"/>
  <c r="AJ13"/>
  <c r="AD14"/>
  <c r="AF15"/>
  <c r="C15" i="14"/>
  <c r="D14"/>
  <c r="E11"/>
  <c r="G13"/>
  <c r="H13" s="1"/>
  <c r="I12"/>
  <c r="E13"/>
  <c r="E12"/>
  <c r="AD11" i="10"/>
  <c r="AD12" s="1"/>
  <c r="AD13" s="1"/>
  <c r="AF11"/>
  <c r="AF12" s="1"/>
  <c r="F14" i="8"/>
  <c r="F13"/>
  <c r="AJ13"/>
  <c r="F10" s="1"/>
  <c r="AD16"/>
  <c r="C11"/>
  <c r="AF18"/>
  <c r="AF19" s="1"/>
  <c r="F11"/>
  <c r="D15" i="14" l="1"/>
  <c r="I10" i="15"/>
  <c r="C11"/>
  <c r="AD15"/>
  <c r="F12"/>
  <c r="AF16"/>
  <c r="G14" i="14"/>
  <c r="H14" s="1"/>
  <c r="I13"/>
  <c r="AF20" i="8"/>
  <c r="E14" i="14"/>
  <c r="C16"/>
  <c r="C12" i="8"/>
  <c r="D12" s="1"/>
  <c r="E12" s="1"/>
  <c r="F12"/>
  <c r="AF13" i="10"/>
  <c r="C10" i="8"/>
  <c r="C13"/>
  <c r="AD17"/>
  <c r="F15"/>
  <c r="D11"/>
  <c r="E11" s="1"/>
  <c r="I11"/>
  <c r="G11"/>
  <c r="D16" i="14" l="1"/>
  <c r="D10" i="15"/>
  <c r="E10" s="1"/>
  <c r="G10"/>
  <c r="I11"/>
  <c r="G11"/>
  <c r="H11" s="1"/>
  <c r="D11"/>
  <c r="F13"/>
  <c r="AF17"/>
  <c r="C12"/>
  <c r="AD16"/>
  <c r="H10"/>
  <c r="I10" i="8"/>
  <c r="G15" i="14"/>
  <c r="H15" s="1"/>
  <c r="I14"/>
  <c r="E15"/>
  <c r="C17"/>
  <c r="H11" i="8"/>
  <c r="G12"/>
  <c r="I12"/>
  <c r="D10"/>
  <c r="E10" s="1"/>
  <c r="G10"/>
  <c r="H10" s="1"/>
  <c r="J11"/>
  <c r="K11" s="1"/>
  <c r="L11" s="1"/>
  <c r="F16"/>
  <c r="C14"/>
  <c r="AD18"/>
  <c r="AD19" s="1"/>
  <c r="D13"/>
  <c r="I13"/>
  <c r="G13"/>
  <c r="H13" s="1"/>
  <c r="D17" i="14" l="1"/>
  <c r="J10" i="15"/>
  <c r="K10" s="1"/>
  <c r="L10" s="1"/>
  <c r="M10" s="1"/>
  <c r="N10" s="1"/>
  <c r="J11"/>
  <c r="K11" s="1"/>
  <c r="L11" s="1"/>
  <c r="E11"/>
  <c r="I12"/>
  <c r="G12"/>
  <c r="D12"/>
  <c r="C13"/>
  <c r="AD17"/>
  <c r="F14"/>
  <c r="AF18"/>
  <c r="I15" i="14"/>
  <c r="G16"/>
  <c r="H16" s="1"/>
  <c r="X11"/>
  <c r="X12" s="1"/>
  <c r="X13" s="1"/>
  <c r="X14" s="1"/>
  <c r="Z11"/>
  <c r="Z12" s="1"/>
  <c r="Z13" s="1"/>
  <c r="Z14" s="1"/>
  <c r="AD20" i="8"/>
  <c r="AD21" s="1"/>
  <c r="E16" i="14"/>
  <c r="C18"/>
  <c r="H12" i="8"/>
  <c r="AH18" i="14"/>
  <c r="J12" i="8"/>
  <c r="E10" i="10"/>
  <c r="I10"/>
  <c r="F13"/>
  <c r="J10" i="8"/>
  <c r="K10" s="1"/>
  <c r="M11"/>
  <c r="J13"/>
  <c r="E13"/>
  <c r="K13"/>
  <c r="L13" s="1"/>
  <c r="I14"/>
  <c r="G14"/>
  <c r="D14"/>
  <c r="C15"/>
  <c r="F17"/>
  <c r="AF21"/>
  <c r="F18" s="1"/>
  <c r="L10" l="1"/>
  <c r="M10" s="1"/>
  <c r="D18" i="14"/>
  <c r="AL10" i="15"/>
  <c r="I13"/>
  <c r="G13"/>
  <c r="H13" s="1"/>
  <c r="D13"/>
  <c r="M11"/>
  <c r="N11" s="1"/>
  <c r="J12"/>
  <c r="E12"/>
  <c r="F15"/>
  <c r="AF19"/>
  <c r="C14"/>
  <c r="AD18"/>
  <c r="H12"/>
  <c r="O10"/>
  <c r="I16" i="14"/>
  <c r="G17"/>
  <c r="H17" s="1"/>
  <c r="AA11"/>
  <c r="Y11"/>
  <c r="Y12" s="1"/>
  <c r="Y13" s="1"/>
  <c r="Y14" s="1"/>
  <c r="E18"/>
  <c r="E17"/>
  <c r="AA12"/>
  <c r="AA13" s="1"/>
  <c r="AA14" s="1"/>
  <c r="X15"/>
  <c r="Z15"/>
  <c r="K12" i="8"/>
  <c r="AH19" i="14"/>
  <c r="L12" i="8"/>
  <c r="J10" i="10"/>
  <c r="K10" s="1"/>
  <c r="H10"/>
  <c r="H13" s="1"/>
  <c r="F21" i="8"/>
  <c r="N11"/>
  <c r="M13"/>
  <c r="J14"/>
  <c r="K14" s="1"/>
  <c r="C16"/>
  <c r="E14"/>
  <c r="D15"/>
  <c r="E15" s="1"/>
  <c r="I15"/>
  <c r="G15"/>
  <c r="H15" s="1"/>
  <c r="H14"/>
  <c r="J13" i="15" l="1"/>
  <c r="O11"/>
  <c r="P11" s="1"/>
  <c r="P10"/>
  <c r="C15"/>
  <c r="AD19"/>
  <c r="I14"/>
  <c r="G14"/>
  <c r="D14"/>
  <c r="K13"/>
  <c r="L13" s="1"/>
  <c r="E13"/>
  <c r="F16"/>
  <c r="AF20"/>
  <c r="K12"/>
  <c r="L14" i="8"/>
  <c r="M14" s="1"/>
  <c r="N10"/>
  <c r="I17" i="14"/>
  <c r="G18"/>
  <c r="H18" s="1"/>
  <c r="AC11"/>
  <c r="AC12" s="1"/>
  <c r="AC13" s="1"/>
  <c r="AC14" s="1"/>
  <c r="AB11"/>
  <c r="AB12" s="1"/>
  <c r="AB13" s="1"/>
  <c r="AB14" s="1"/>
  <c r="AA15"/>
  <c r="Y15"/>
  <c r="Z16" s="1"/>
  <c r="M12" i="8"/>
  <c r="AH20" i="14"/>
  <c r="M10" i="10"/>
  <c r="N10" s="1"/>
  <c r="E13"/>
  <c r="C13"/>
  <c r="N13" i="8"/>
  <c r="J15"/>
  <c r="D16"/>
  <c r="E16" s="1"/>
  <c r="I16"/>
  <c r="G16"/>
  <c r="C17"/>
  <c r="C18"/>
  <c r="L12" i="15" l="1"/>
  <c r="F17"/>
  <c r="AF21"/>
  <c r="F18" s="1"/>
  <c r="J14"/>
  <c r="K14" s="1"/>
  <c r="L14" s="1"/>
  <c r="C16"/>
  <c r="AD20"/>
  <c r="M13"/>
  <c r="H14"/>
  <c r="I15"/>
  <c r="G15"/>
  <c r="H15" s="1"/>
  <c r="D15"/>
  <c r="E14"/>
  <c r="I18" i="14"/>
  <c r="AD11"/>
  <c r="AD12" s="1"/>
  <c r="AD13" s="1"/>
  <c r="AD14" s="1"/>
  <c r="AC15"/>
  <c r="AB15"/>
  <c r="N12" i="8"/>
  <c r="AH21" i="14"/>
  <c r="O10" i="10"/>
  <c r="P10" s="1"/>
  <c r="N13"/>
  <c r="N17" s="1"/>
  <c r="M13"/>
  <c r="G13"/>
  <c r="K13"/>
  <c r="I13"/>
  <c r="J13"/>
  <c r="D13"/>
  <c r="N14" i="8"/>
  <c r="I18"/>
  <c r="G18"/>
  <c r="H18" s="1"/>
  <c r="D18"/>
  <c r="H16"/>
  <c r="C21"/>
  <c r="K15"/>
  <c r="L15" s="1"/>
  <c r="D17"/>
  <c r="E17" s="1"/>
  <c r="I17"/>
  <c r="G17"/>
  <c r="H17" s="1"/>
  <c r="J16"/>
  <c r="K16" s="1"/>
  <c r="L16" s="1"/>
  <c r="J15" i="15" l="1"/>
  <c r="N13"/>
  <c r="O13" s="1"/>
  <c r="P13" s="1"/>
  <c r="C17"/>
  <c r="AD21"/>
  <c r="C18" s="1"/>
  <c r="K15"/>
  <c r="L15"/>
  <c r="D16"/>
  <c r="I16"/>
  <c r="G16"/>
  <c r="E16"/>
  <c r="M14"/>
  <c r="N14"/>
  <c r="F21"/>
  <c r="E15"/>
  <c r="M12"/>
  <c r="N12" s="1"/>
  <c r="AE11" i="14"/>
  <c r="AE12" s="1"/>
  <c r="AE13" s="1"/>
  <c r="AE14" s="1"/>
  <c r="AD15"/>
  <c r="H21"/>
  <c r="N16" i="10"/>
  <c r="P13"/>
  <c r="K14" s="1"/>
  <c r="X15" s="1"/>
  <c r="X16" s="1"/>
  <c r="P16" s="1"/>
  <c r="L13"/>
  <c r="N15" s="1"/>
  <c r="N18" s="1"/>
  <c r="O13"/>
  <c r="I21" i="8"/>
  <c r="J18"/>
  <c r="M15"/>
  <c r="M16"/>
  <c r="D21"/>
  <c r="G21"/>
  <c r="E18"/>
  <c r="E21" s="1"/>
  <c r="K18"/>
  <c r="L18" s="1"/>
  <c r="J17"/>
  <c r="H21"/>
  <c r="O14" i="15" l="1"/>
  <c r="P14" s="1"/>
  <c r="J16"/>
  <c r="K16"/>
  <c r="I17"/>
  <c r="G17"/>
  <c r="H17" s="1"/>
  <c r="D17"/>
  <c r="C21"/>
  <c r="O12"/>
  <c r="H16"/>
  <c r="M15"/>
  <c r="N15"/>
  <c r="I18"/>
  <c r="G18"/>
  <c r="H18" s="1"/>
  <c r="D18"/>
  <c r="AE15" i="14"/>
  <c r="J21" i="8"/>
  <c r="N16"/>
  <c r="N15"/>
  <c r="M18"/>
  <c r="K17"/>
  <c r="L17" s="1"/>
  <c r="J17" i="15" l="1"/>
  <c r="K17" s="1"/>
  <c r="J18"/>
  <c r="D21"/>
  <c r="K18"/>
  <c r="L18" s="1"/>
  <c r="I21"/>
  <c r="P12"/>
  <c r="E18"/>
  <c r="E17"/>
  <c r="H21"/>
  <c r="O15"/>
  <c r="P15" s="1"/>
  <c r="G21"/>
  <c r="L16"/>
  <c r="K21" i="8"/>
  <c r="N18"/>
  <c r="M17"/>
  <c r="M21" s="1"/>
  <c r="K21" i="15" l="1"/>
  <c r="J21"/>
  <c r="M18"/>
  <c r="E21"/>
  <c r="M16"/>
  <c r="L17"/>
  <c r="L21" i="8"/>
  <c r="N23" s="1"/>
  <c r="W15"/>
  <c r="N17"/>
  <c r="W15" i="15" l="1"/>
  <c r="X16" s="1"/>
  <c r="M17"/>
  <c r="O16"/>
  <c r="N18"/>
  <c r="L21"/>
  <c r="N23" s="1"/>
  <c r="N16"/>
  <c r="AL10" i="8"/>
  <c r="O10"/>
  <c r="P10" s="1"/>
  <c r="P16" i="15" l="1"/>
  <c r="O18"/>
  <c r="P18" s="1"/>
  <c r="N17"/>
  <c r="N21" s="1"/>
  <c r="N25" s="1"/>
  <c r="M21"/>
  <c r="N24" s="1"/>
  <c r="N21" i="8"/>
  <c r="N25" s="1"/>
  <c r="N24"/>
  <c r="O14"/>
  <c r="P14" s="1"/>
  <c r="O11"/>
  <c r="P11" s="1"/>
  <c r="O17"/>
  <c r="P17" s="1"/>
  <c r="O18"/>
  <c r="P18" s="1"/>
  <c r="O15"/>
  <c r="P15" s="1"/>
  <c r="O13"/>
  <c r="P13" s="1"/>
  <c r="O12"/>
  <c r="O16"/>
  <c r="P16" s="1"/>
  <c r="N26" i="15" l="1"/>
  <c r="O17"/>
  <c r="AF11" i="14"/>
  <c r="AF12" s="1"/>
  <c r="AF13" s="1"/>
  <c r="AF14" s="1"/>
  <c r="P12" i="8"/>
  <c r="N26"/>
  <c r="O21"/>
  <c r="P17" i="15" l="1"/>
  <c r="P21" s="1"/>
  <c r="K22" s="1"/>
  <c r="W17" s="1"/>
  <c r="X17" s="1"/>
  <c r="P24" s="1"/>
  <c r="O21"/>
  <c r="AG11" i="14"/>
  <c r="AG12" s="1"/>
  <c r="AG13" s="1"/>
  <c r="AG14" s="1"/>
  <c r="AF15"/>
  <c r="AF16" s="1"/>
  <c r="AF17" s="1"/>
  <c r="P21" i="8"/>
  <c r="K22" s="1"/>
  <c r="W17" s="1"/>
  <c r="X17" s="1"/>
  <c r="AG15" i="14" l="1"/>
  <c r="X16" i="8"/>
  <c r="K11" i="14" l="1"/>
  <c r="J11"/>
  <c r="F11"/>
  <c r="P24" i="8"/>
  <c r="O11" i="14" l="1"/>
  <c r="L11"/>
  <c r="M11" s="1"/>
  <c r="N11" l="1"/>
  <c r="K12"/>
  <c r="F12"/>
  <c r="P11" l="1"/>
  <c r="Q11" s="1"/>
  <c r="R11" s="1"/>
  <c r="AF18"/>
  <c r="J12"/>
  <c r="K13"/>
  <c r="J13"/>
  <c r="L12"/>
  <c r="M12" s="1"/>
  <c r="O12" s="1"/>
  <c r="N12" l="1"/>
  <c r="L13"/>
  <c r="M13" s="1"/>
  <c r="O13" s="1"/>
  <c r="AF19"/>
  <c r="K14"/>
  <c r="J14"/>
  <c r="F14"/>
  <c r="F13"/>
  <c r="P12" l="1"/>
  <c r="Q12" s="1"/>
  <c r="R12" s="1"/>
  <c r="N13"/>
  <c r="L14"/>
  <c r="AF20"/>
  <c r="M14"/>
  <c r="O14" s="1"/>
  <c r="J15"/>
  <c r="K15"/>
  <c r="L15"/>
  <c r="N14" l="1"/>
  <c r="P14" s="1"/>
  <c r="Q14" s="1"/>
  <c r="P13"/>
  <c r="Q13" s="1"/>
  <c r="R13" s="1"/>
  <c r="M15"/>
  <c r="O15" s="1"/>
  <c r="K16"/>
  <c r="J16"/>
  <c r="AF21"/>
  <c r="F15"/>
  <c r="N15" l="1"/>
  <c r="R14"/>
  <c r="K18"/>
  <c r="L18"/>
  <c r="F16"/>
  <c r="L16"/>
  <c r="M16" s="1"/>
  <c r="O16" s="1"/>
  <c r="J17"/>
  <c r="K17"/>
  <c r="F17"/>
  <c r="N16" l="1"/>
  <c r="P16" s="1"/>
  <c r="Q16" s="1"/>
  <c r="P15"/>
  <c r="Q15" s="1"/>
  <c r="R15" s="1"/>
  <c r="J18"/>
  <c r="L17"/>
  <c r="M18"/>
  <c r="O18" s="1"/>
  <c r="F18"/>
  <c r="N18" l="1"/>
  <c r="R16"/>
  <c r="M17"/>
  <c r="O17" s="1"/>
  <c r="P18" l="1"/>
  <c r="Q18" s="1"/>
  <c r="R18" s="1"/>
  <c r="N17"/>
  <c r="P17" l="1"/>
  <c r="Q17" s="1"/>
  <c r="R17" s="1"/>
  <c r="E21"/>
  <c r="D21"/>
  <c r="F21"/>
  <c r="K10"/>
  <c r="I21"/>
  <c r="K21" l="1"/>
  <c r="J10"/>
  <c r="J21" s="1"/>
  <c r="L10"/>
  <c r="L21" s="1"/>
  <c r="M10" l="1"/>
  <c r="O10" l="1"/>
  <c r="N10"/>
  <c r="M21"/>
  <c r="P10" l="1"/>
  <c r="P21" s="1"/>
  <c r="P25" s="1"/>
  <c r="N21"/>
  <c r="P23" s="1"/>
  <c r="O21"/>
  <c r="AN10"/>
  <c r="P24" l="1"/>
  <c r="P26" s="1"/>
  <c r="Q10"/>
  <c r="R10" s="1"/>
  <c r="R21" s="1"/>
  <c r="M22" l="1"/>
  <c r="Y17" s="1"/>
  <c r="Z17" s="1"/>
  <c r="R24" s="1"/>
  <c r="Q21"/>
</calcChain>
</file>

<file path=xl/sharedStrings.xml><?xml version="1.0" encoding="utf-8"?>
<sst xmlns="http://schemas.openxmlformats.org/spreadsheetml/2006/main" count="279" uniqueCount="94">
  <si>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</si>
  <si>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</si>
  <si>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</si>
  <si>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</si>
  <si>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</si>
  <si>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</si>
  <si>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</si>
  <si>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</si>
  <si>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</si>
  <si>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</si>
  <si>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</si>
  <si>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</si>
  <si>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</si>
  <si>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</si>
  <si>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</si>
  <si>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</si>
  <si>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</si>
  <si>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</si>
  <si>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</si>
  <si>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</si>
  <si>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</si>
  <si>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</si>
  <si>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</si>
  <si>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</si>
  <si>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</si>
  <si>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</si>
  <si>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</si>
  <si>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</si>
  <si>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</si>
  <si>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in %&amp;</t>
  </si>
  <si>
    <t>HEERA LAL JAT</t>
  </si>
  <si>
    <t>ije~ iwT; xq:nso oklqnso th egkjkt dks ueu</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</si>
  <si>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</si>
  <si>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</si>
  <si>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</si>
  <si>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</si>
  <si>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</si>
  <si>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</si>
  <si>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</si>
  <si>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</si>
  <si>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</si>
  <si>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</si>
  <si>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</si>
  <si>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</si>
  <si>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</si>
  <si>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</si>
  <si>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</si>
  <si>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</si>
  <si>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</si>
  <si>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</si>
  <si>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</si>
  <si>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</si>
  <si>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</si>
  <si>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</si>
  <si>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</si>
  <si>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</si>
  <si>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</si>
  <si>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</si>
  <si>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</si>
  <si>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</si>
  <si>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</si>
  <si>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</si>
  <si>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</si>
  <si>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</si>
  <si>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</si>
  <si>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</si>
  <si>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</si>
  <si>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</si>
  <si>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</si>
  <si>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</si>
  <si>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Deducations</t>
  </si>
  <si>
    <t>Seal and Signature</t>
  </si>
  <si>
    <t>DDO</t>
  </si>
  <si>
    <t>Second installment of Arrear on 01-07-2018 (30% Amount)</t>
  </si>
  <si>
    <t>First installment of Arrear on 01-04-2018 (30% Amount)</t>
  </si>
  <si>
    <t>Third installment of Arrear on 01-10-2018 (40% Amount)</t>
  </si>
  <si>
    <t xml:space="preserve">fnukad </t>
  </si>
  <si>
    <t>Øekad %&amp;</t>
  </si>
  <si>
    <t>Government Senior Secondry School Inderwara (RANI), Pali</t>
  </si>
  <si>
    <t>Mishari lal</t>
  </si>
  <si>
    <t>feJhyky</t>
  </si>
  <si>
    <t>Sr. Teacher</t>
  </si>
  <si>
    <t>6th Pay Basic</t>
  </si>
  <si>
    <t>SELLECT MONTH</t>
  </si>
  <si>
    <r>
      <t xml:space="preserve">ls </t>
    </r>
    <r>
      <rPr>
        <b/>
        <sz val="13"/>
        <color theme="1"/>
        <rFont val="Calibri"/>
        <family val="2"/>
        <scheme val="minor"/>
      </rPr>
      <t>30-09-2017</t>
    </r>
    <r>
      <rPr>
        <b/>
        <sz val="13"/>
        <color theme="1"/>
        <rFont val="Kruti Dev 010"/>
      </rPr>
      <t xml:space="preserve"> rd ljsUMj ,fj;j dh </t>
    </r>
    <r>
      <rPr>
        <b/>
        <sz val="13"/>
        <color theme="1"/>
        <rFont val="Calibri"/>
        <family val="2"/>
        <scheme val="minor"/>
      </rPr>
      <t>30%</t>
    </r>
    <r>
      <rPr>
        <b/>
        <sz val="13"/>
        <color theme="1"/>
        <rFont val="Kruti Dev 010"/>
      </rPr>
      <t xml:space="preserve"> jkf'k </t>
    </r>
  </si>
  <si>
    <t>FIXETION Surrender AREEAR 01.01-17 TO 30.09.17</t>
  </si>
  <si>
    <t>PEERARAM</t>
  </si>
  <si>
    <t>MANGAL SINGH</t>
  </si>
  <si>
    <t>SUBHASH CHANDRA</t>
  </si>
  <si>
    <t>SOHANLAL NARNOLIA</t>
  </si>
  <si>
    <t>UMESH KUMAR</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</si>
  <si>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40%</t>
    </r>
    <r>
      <rPr>
        <b/>
        <sz val="13"/>
        <color theme="1"/>
        <rFont val="Kruti Dev 010"/>
      </rPr>
      <t xml:space="preserve"> jkf'k </t>
    </r>
  </si>
  <si>
    <r>
      <rPr>
        <b/>
        <sz val="11"/>
        <color theme="1"/>
        <rFont val="Calibri"/>
        <family val="2"/>
        <scheme val="minor"/>
      </rPr>
      <t>(40 %</t>
    </r>
    <r>
      <rPr>
        <b/>
        <sz val="11"/>
        <color theme="1"/>
        <rFont val="Kruti Dev 010"/>
      </rPr>
      <t xml:space="preserve"> jkf'k </t>
    </r>
    <r>
      <rPr>
        <b/>
        <sz val="11"/>
        <color theme="1"/>
        <rFont val="Calibri"/>
        <family val="2"/>
        <scheme val="minor"/>
      </rPr>
      <t>)</t>
    </r>
  </si>
  <si>
    <t>Sr. TEACHER</t>
  </si>
</sst>
</file>

<file path=xl/styles.xml><?xml version="1.0" encoding="utf-8"?>
<styleSheet xmlns="http://schemas.openxmlformats.org/spreadsheetml/2006/main">
  <numFmts count="1">
    <numFmt numFmtId="164"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29" fillId="0" borderId="0"/>
    <xf numFmtId="0" fontId="38" fillId="0" borderId="0" applyNumberFormat="0" applyFill="0" applyBorder="0" applyAlignment="0" applyProtection="0">
      <alignment vertical="top"/>
      <protection locked="0"/>
    </xf>
  </cellStyleXfs>
  <cellXfs count="312">
    <xf numFmtId="0" fontId="0" fillId="0" borderId="0" xfId="0"/>
    <xf numFmtId="0" fontId="0" fillId="0" borderId="0" xfId="0" applyProtection="1">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0" fillId="3" borderId="0" xfId="0" applyFont="1" applyFill="1" applyAlignment="1" applyProtection="1">
      <alignment horizontal="center" vertical="center"/>
      <protection hidden="1"/>
    </xf>
    <xf numFmtId="0" fontId="20" fillId="3" borderId="0" xfId="0" applyFont="1" applyFill="1" applyProtection="1">
      <protection hidden="1"/>
    </xf>
    <xf numFmtId="0" fontId="22" fillId="3" borderId="0" xfId="0" applyFont="1" applyFill="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5" fillId="3" borderId="8" xfId="0" applyFont="1" applyFill="1" applyBorder="1" applyAlignment="1" applyProtection="1">
      <alignment vertical="center"/>
      <protection locked="0"/>
    </xf>
    <xf numFmtId="0" fontId="25" fillId="3" borderId="9"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0" fontId="25" fillId="3" borderId="14" xfId="0" applyFont="1" applyFill="1" applyBorder="1" applyAlignment="1" applyProtection="1">
      <alignment vertical="center"/>
      <protection locked="0"/>
    </xf>
    <xf numFmtId="0" fontId="25" fillId="3" borderId="15" xfId="0" applyFont="1" applyFill="1" applyBorder="1" applyAlignment="1" applyProtection="1">
      <alignment vertical="center"/>
      <protection locked="0"/>
    </xf>
    <xf numFmtId="0" fontId="25"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6"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49" fontId="28" fillId="0" borderId="22" xfId="0" applyNumberFormat="1" applyFont="1" applyBorder="1" applyAlignment="1" applyProtection="1">
      <alignment horizontal="center" vertical="center"/>
      <protection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4" fillId="0" borderId="24"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30" fillId="0" borderId="0" xfId="1" applyFont="1" applyFill="1" applyAlignment="1" applyProtection="1">
      <alignment vertical="center" wrapText="1"/>
      <protection hidden="1"/>
    </xf>
    <xf numFmtId="0" fontId="3" fillId="3" borderId="0" xfId="0" applyFont="1" applyFill="1" applyProtection="1">
      <protection hidden="1"/>
    </xf>
    <xf numFmtId="14" fontId="16" fillId="0" borderId="5" xfId="0" applyNumberFormat="1" applyFont="1" applyBorder="1" applyAlignment="1" applyProtection="1">
      <alignment horizontal="center" vertical="center"/>
      <protection locked="0"/>
    </xf>
    <xf numFmtId="14" fontId="0" fillId="0" borderId="0" xfId="0" applyNumberFormat="1" applyProtection="1">
      <protection hidden="1"/>
    </xf>
    <xf numFmtId="1" fontId="13" fillId="0" borderId="22" xfId="0" applyNumberFormat="1" applyFont="1" applyBorder="1" applyAlignment="1" applyProtection="1">
      <alignment horizontal="center" vertical="center"/>
      <protection hidden="1"/>
    </xf>
    <xf numFmtId="1" fontId="14" fillId="0" borderId="22" xfId="0" applyNumberFormat="1" applyFont="1" applyBorder="1" applyAlignment="1" applyProtection="1">
      <alignment horizontal="center" vertical="center"/>
      <protection hidden="1"/>
    </xf>
    <xf numFmtId="1" fontId="0" fillId="0" borderId="0" xfId="0" applyNumberFormat="1" applyProtection="1">
      <protection hidden="1"/>
    </xf>
    <xf numFmtId="0" fontId="3" fillId="0" borderId="0" xfId="0" applyFont="1" applyBorder="1" applyAlignment="1" applyProtection="1">
      <alignment horizontal="left"/>
      <protection hidden="1"/>
    </xf>
    <xf numFmtId="0" fontId="10" fillId="0" borderId="25" xfId="0" applyFont="1" applyBorder="1" applyAlignment="1" applyProtection="1">
      <alignment vertical="center" wrapText="1"/>
      <protection hidden="1"/>
    </xf>
    <xf numFmtId="0" fontId="11" fillId="0" borderId="25" xfId="0" applyFont="1" applyBorder="1" applyAlignment="1" applyProtection="1">
      <alignment vertical="center" wrapText="1"/>
      <protection hidden="1"/>
    </xf>
    <xf numFmtId="0" fontId="46" fillId="0" borderId="0" xfId="0" applyFont="1" applyProtection="1">
      <protection hidden="1"/>
    </xf>
    <xf numFmtId="0" fontId="0" fillId="0" borderId="30" xfId="0" applyBorder="1" applyProtection="1">
      <protection hidden="1"/>
    </xf>
    <xf numFmtId="0" fontId="11" fillId="0" borderId="32" xfId="1" applyFont="1" applyFill="1" applyBorder="1" applyAlignment="1" applyProtection="1">
      <alignment vertical="center"/>
      <protection hidden="1"/>
    </xf>
    <xf numFmtId="0" fontId="0" fillId="0" borderId="33" xfId="0" applyBorder="1" applyProtection="1">
      <protection hidden="1"/>
    </xf>
    <xf numFmtId="0" fontId="11" fillId="0" borderId="34" xfId="1" applyFont="1" applyFill="1" applyBorder="1" applyAlignment="1" applyProtection="1">
      <alignment vertical="center"/>
      <protection hidden="1"/>
    </xf>
    <xf numFmtId="0" fontId="32"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34" xfId="0" applyBorder="1" applyProtection="1">
      <protection hidden="1"/>
    </xf>
    <xf numFmtId="0" fontId="5" fillId="0" borderId="3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8" fillId="0" borderId="35" xfId="0" applyFont="1" applyBorder="1" applyAlignment="1" applyProtection="1">
      <alignment horizontal="center"/>
      <protection hidden="1"/>
    </xf>
    <xf numFmtId="0" fontId="0" fillId="0" borderId="37" xfId="0" applyBorder="1" applyProtection="1">
      <protection hidden="1"/>
    </xf>
    <xf numFmtId="0" fontId="3" fillId="0" borderId="38" xfId="0" applyFont="1" applyBorder="1" applyAlignment="1" applyProtection="1">
      <alignment vertical="center"/>
      <protection hidden="1"/>
    </xf>
    <xf numFmtId="0" fontId="0" fillId="0" borderId="39" xfId="0" applyBorder="1" applyProtection="1">
      <protection hidden="1"/>
    </xf>
    <xf numFmtId="0" fontId="0" fillId="0" borderId="41" xfId="0" applyBorder="1" applyProtection="1">
      <protection hidden="1"/>
    </xf>
    <xf numFmtId="0" fontId="0" fillId="0" borderId="42" xfId="0" applyBorder="1" applyProtection="1">
      <protection hidden="1"/>
    </xf>
    <xf numFmtId="0" fontId="2" fillId="0" borderId="0" xfId="0" applyFont="1" applyBorder="1" applyAlignment="1" applyProtection="1">
      <alignment vertical="center" wrapText="1"/>
      <protection hidden="1"/>
    </xf>
    <xf numFmtId="0" fontId="2" fillId="0" borderId="34" xfId="0" applyFont="1" applyBorder="1" applyAlignment="1" applyProtection="1">
      <alignment vertical="center" wrapText="1"/>
      <protection hidden="1"/>
    </xf>
    <xf numFmtId="14" fontId="16" fillId="0" borderId="6"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hidden="1"/>
    </xf>
    <xf numFmtId="0" fontId="18" fillId="0" borderId="2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7" fillId="0" borderId="22" xfId="0" applyFont="1" applyBorder="1" applyAlignment="1" applyProtection="1">
      <alignment horizontal="center" vertical="center"/>
      <protection hidden="1"/>
    </xf>
    <xf numFmtId="0" fontId="32" fillId="4" borderId="0" xfId="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hidden="1"/>
    </xf>
    <xf numFmtId="1" fontId="12" fillId="0" borderId="22" xfId="0" applyNumberFormat="1"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28" fillId="0" borderId="35" xfId="0" applyFont="1" applyBorder="1" applyAlignment="1" applyProtection="1">
      <alignment horizontal="center" vertical="center"/>
      <protection hidden="1"/>
    </xf>
    <xf numFmtId="0" fontId="16" fillId="5"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hidden="1"/>
    </xf>
    <xf numFmtId="0" fontId="28" fillId="0" borderId="22" xfId="0" applyNumberFormat="1" applyFont="1" applyBorder="1" applyAlignment="1" applyProtection="1">
      <alignment horizontal="center" vertical="center"/>
      <protection hidden="1"/>
    </xf>
    <xf numFmtId="0" fontId="0" fillId="0" borderId="0" xfId="0" applyBorder="1" applyProtection="1">
      <protection locked="0" hidden="1"/>
    </xf>
    <xf numFmtId="0" fontId="0" fillId="0" borderId="0" xfId="0" applyProtection="1">
      <protection locked="0" hidden="1"/>
    </xf>
    <xf numFmtId="0" fontId="18" fillId="0" borderId="23" xfId="0" applyFont="1" applyBorder="1" applyAlignment="1" applyProtection="1">
      <alignment horizontal="right" vertical="center"/>
      <protection locked="0"/>
    </xf>
    <xf numFmtId="0" fontId="7" fillId="0" borderId="22" xfId="0" applyFont="1" applyBorder="1" applyAlignment="1" applyProtection="1">
      <alignment horizontal="center" vertical="center"/>
      <protection locked="0"/>
    </xf>
    <xf numFmtId="0" fontId="11" fillId="0" borderId="25"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28" fillId="0" borderId="35" xfId="0" applyFont="1" applyBorder="1" applyAlignment="1" applyProtection="1">
      <alignment horizontal="center"/>
      <protection locked="0"/>
    </xf>
    <xf numFmtId="49"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0" fillId="0" borderId="0" xfId="0" applyProtection="1">
      <protection locked="0"/>
    </xf>
    <xf numFmtId="0" fontId="0" fillId="0" borderId="30" xfId="0" applyBorder="1" applyProtection="1">
      <protection locked="0"/>
    </xf>
    <xf numFmtId="0" fontId="11" fillId="0" borderId="32" xfId="1" applyFont="1" applyFill="1" applyBorder="1" applyAlignment="1" applyProtection="1">
      <alignment vertical="center"/>
      <protection locked="0"/>
    </xf>
    <xf numFmtId="0" fontId="0" fillId="0" borderId="33" xfId="0" applyBorder="1" applyProtection="1">
      <protection locked="0"/>
    </xf>
    <xf numFmtId="0" fontId="11" fillId="0" borderId="34" xfId="1" applyFont="1" applyFill="1" applyBorder="1" applyAlignment="1" applyProtection="1">
      <alignment vertical="center"/>
      <protection locked="0"/>
    </xf>
    <xf numFmtId="0" fontId="32"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0" fillId="0" borderId="34" xfId="0" applyBorder="1" applyProtection="1">
      <protection locked="0"/>
    </xf>
    <xf numFmtId="0" fontId="5" fillId="0" borderId="3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0" fontId="0" fillId="0" borderId="37" xfId="0" applyBorder="1" applyProtection="1">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39" xfId="0" applyBorder="1" applyProtection="1">
      <protection locked="0"/>
    </xf>
    <xf numFmtId="0" fontId="3" fillId="0" borderId="24" xfId="0" applyFont="1" applyBorder="1" applyAlignment="1" applyProtection="1">
      <alignment horizontal="right" vertical="center"/>
      <protection locked="0"/>
    </xf>
    <xf numFmtId="0" fontId="4" fillId="0" borderId="24"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0" fillId="0" borderId="41" xfId="0" applyBorder="1" applyProtection="1">
      <protection locked="0"/>
    </xf>
    <xf numFmtId="0" fontId="0" fillId="0" borderId="42" xfId="0" applyBorder="1" applyProtection="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hidden="1"/>
    </xf>
    <xf numFmtId="1" fontId="12" fillId="0" borderId="22" xfId="0" applyNumberFormat="1" applyFont="1" applyBorder="1" applyAlignment="1" applyProtection="1">
      <alignment horizontal="center" vertical="center"/>
      <protection locked="0" hidden="1"/>
    </xf>
    <xf numFmtId="0" fontId="11" fillId="0" borderId="22" xfId="0" applyFont="1" applyBorder="1" applyAlignment="1" applyProtection="1">
      <alignment horizontal="center" vertical="center"/>
      <protection locked="0" hidden="1"/>
    </xf>
    <xf numFmtId="0" fontId="12" fillId="0" borderId="22" xfId="0" applyFont="1" applyBorder="1" applyAlignment="1" applyProtection="1">
      <alignment horizontal="center" vertical="center"/>
      <protection locked="0" hidden="1"/>
    </xf>
    <xf numFmtId="0" fontId="12" fillId="2" borderId="22" xfId="0" applyFont="1" applyFill="1" applyBorder="1" applyAlignment="1" applyProtection="1">
      <alignment horizontal="center" vertical="center"/>
      <protection locked="0" hidden="1"/>
    </xf>
    <xf numFmtId="0" fontId="12" fillId="2" borderId="22" xfId="0" applyFont="1" applyFill="1" applyBorder="1" applyAlignment="1" applyProtection="1">
      <alignment horizontal="center" vertical="center" wrapText="1"/>
      <protection locked="0" hidden="1"/>
    </xf>
    <xf numFmtId="0" fontId="13" fillId="0" borderId="22" xfId="0" applyNumberFormat="1" applyFont="1" applyBorder="1" applyAlignment="1" applyProtection="1">
      <alignment horizontal="center" vertical="center"/>
      <protection locked="0" hidden="1"/>
    </xf>
    <xf numFmtId="1" fontId="13" fillId="0" borderId="22" xfId="0" applyNumberFormat="1" applyFont="1" applyBorder="1" applyAlignment="1" applyProtection="1">
      <alignment horizontal="center" vertical="center"/>
      <protection locked="0" hidden="1"/>
    </xf>
    <xf numFmtId="1" fontId="14" fillId="0" borderId="22" xfId="0" applyNumberFormat="1" applyFont="1" applyBorder="1" applyAlignment="1" applyProtection="1">
      <alignment horizontal="center" vertical="center"/>
      <protection locked="0" hidden="1"/>
    </xf>
    <xf numFmtId="0" fontId="3" fillId="0" borderId="0" xfId="0" applyFont="1" applyBorder="1" applyAlignment="1" applyProtection="1">
      <alignment horizontal="left"/>
      <protection locked="0"/>
    </xf>
    <xf numFmtId="0" fontId="3" fillId="0" borderId="0" xfId="0" applyFont="1" applyBorder="1" applyAlignment="1" applyProtection="1">
      <alignment horizontal="right" vertical="center"/>
      <protection locked="0"/>
    </xf>
    <xf numFmtId="0" fontId="28" fillId="6" borderId="22" xfId="0" applyNumberFormat="1" applyFont="1" applyFill="1" applyBorder="1" applyAlignment="1" applyProtection="1">
      <alignment horizontal="center" vertical="center"/>
      <protection locked="0" hidden="1"/>
    </xf>
    <xf numFmtId="1" fontId="12" fillId="6" borderId="22" xfId="0" applyNumberFormat="1" applyFont="1" applyFill="1" applyBorder="1" applyAlignment="1" applyProtection="1">
      <alignment horizontal="center" vertical="center"/>
      <protection locked="0" hidden="1"/>
    </xf>
    <xf numFmtId="0" fontId="28" fillId="0" borderId="22" xfId="0" applyNumberFormat="1" applyFont="1" applyBorder="1" applyAlignment="1" applyProtection="1">
      <alignment horizontal="center" vertical="center"/>
      <protection locked="0" hidden="1"/>
    </xf>
    <xf numFmtId="49" fontId="7" fillId="0" borderId="22" xfId="0" applyNumberFormat="1" applyFont="1" applyBorder="1" applyAlignment="1" applyProtection="1">
      <alignment horizontal="center" vertical="center"/>
      <protection locked="0" hidden="1"/>
    </xf>
    <xf numFmtId="0" fontId="0" fillId="0" borderId="37" xfId="0" applyBorder="1" applyProtection="1">
      <protection locked="0" hidden="1"/>
    </xf>
    <xf numFmtId="0" fontId="18" fillId="0" borderId="23" xfId="0" applyFont="1" applyBorder="1" applyAlignment="1" applyProtection="1">
      <alignment horizontal="right" vertical="center"/>
      <protection locked="0" hidden="1"/>
    </xf>
    <xf numFmtId="0" fontId="3" fillId="0" borderId="23" xfId="0" applyFont="1" applyBorder="1" applyAlignment="1" applyProtection="1">
      <alignment vertical="center"/>
      <protection locked="0" hidden="1"/>
    </xf>
    <xf numFmtId="0" fontId="3" fillId="0" borderId="38" xfId="0" applyFont="1" applyBorder="1" applyAlignment="1" applyProtection="1">
      <alignment vertical="center"/>
      <protection locked="0" hidden="1"/>
    </xf>
    <xf numFmtId="0" fontId="0" fillId="0" borderId="33" xfId="0" applyBorder="1" applyProtection="1">
      <protection locked="0" hidden="1"/>
    </xf>
    <xf numFmtId="0" fontId="3" fillId="0" borderId="0" xfId="0" applyFont="1" applyBorder="1" applyAlignment="1" applyProtection="1">
      <alignment horizontal="right" vertical="center"/>
      <protection locked="0" hidden="1"/>
    </xf>
    <xf numFmtId="0" fontId="4" fillId="0" borderId="0" xfId="0" applyFont="1" applyBorder="1" applyAlignment="1" applyProtection="1">
      <alignment vertical="center"/>
      <protection locked="0" hidden="1"/>
    </xf>
    <xf numFmtId="0" fontId="0" fillId="0" borderId="39" xfId="0" applyBorder="1" applyProtection="1">
      <protection locked="0" hidden="1"/>
    </xf>
    <xf numFmtId="0" fontId="3" fillId="0" borderId="24" xfId="0" applyFont="1" applyBorder="1" applyAlignment="1" applyProtection="1">
      <alignment horizontal="right" vertical="center"/>
      <protection locked="0" hidden="1"/>
    </xf>
    <xf numFmtId="0" fontId="4" fillId="0" borderId="24" xfId="0" applyFont="1" applyBorder="1" applyAlignment="1" applyProtection="1">
      <alignment vertical="center"/>
      <protection locked="0" hidden="1"/>
    </xf>
    <xf numFmtId="0" fontId="16" fillId="0" borderId="0" xfId="0" applyFont="1" applyBorder="1" applyAlignment="1" applyProtection="1">
      <alignment horizontal="left" vertical="center"/>
      <protection locked="0" hidden="1"/>
    </xf>
    <xf numFmtId="0" fontId="2" fillId="0" borderId="0" xfId="0" applyFont="1" applyBorder="1" applyAlignment="1" applyProtection="1">
      <alignment vertical="center" wrapText="1"/>
      <protection locked="0" hidden="1"/>
    </xf>
    <xf numFmtId="0" fontId="2" fillId="0" borderId="34" xfId="0" applyFont="1" applyBorder="1" applyAlignment="1" applyProtection="1">
      <alignment vertical="center" wrapText="1"/>
      <protection locked="0" hidden="1"/>
    </xf>
    <xf numFmtId="0" fontId="3" fillId="0" borderId="0" xfId="0" applyFont="1" applyBorder="1" applyAlignment="1" applyProtection="1">
      <alignment horizontal="left"/>
      <protection locked="0" hidden="1"/>
    </xf>
    <xf numFmtId="0" fontId="0" fillId="0" borderId="41" xfId="0" applyBorder="1" applyProtection="1">
      <protection locked="0" hidden="1"/>
    </xf>
    <xf numFmtId="0" fontId="0" fillId="0" borderId="42" xfId="0" applyBorder="1" applyProtection="1">
      <protection locked="0" hidden="1"/>
    </xf>
    <xf numFmtId="0" fontId="1" fillId="0" borderId="0" xfId="0" applyFont="1" applyBorder="1" applyAlignment="1" applyProtection="1">
      <protection locked="0" hidden="1"/>
    </xf>
    <xf numFmtId="0" fontId="0" fillId="0" borderId="34" xfId="0" applyBorder="1" applyProtection="1">
      <protection locked="0"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protection hidden="1"/>
    </xf>
    <xf numFmtId="0" fontId="19" fillId="3" borderId="0" xfId="0" applyFont="1" applyFill="1" applyAlignment="1" applyProtection="1">
      <alignment horizontal="center"/>
      <protection hidden="1"/>
    </xf>
    <xf numFmtId="0" fontId="21" fillId="3" borderId="0" xfId="0" applyFont="1" applyFill="1" applyAlignment="1" applyProtection="1">
      <alignment horizontal="right" vertical="center"/>
      <protection hidden="1"/>
    </xf>
    <xf numFmtId="0" fontId="21"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right" vertical="center"/>
      <protection hidden="1"/>
    </xf>
    <xf numFmtId="0" fontId="21" fillId="3" borderId="20" xfId="0" applyFont="1" applyFill="1" applyBorder="1" applyAlignment="1" applyProtection="1">
      <alignment horizontal="right" vertical="center"/>
      <protection hidden="1"/>
    </xf>
    <xf numFmtId="0" fontId="24" fillId="3" borderId="19" xfId="0" applyFont="1" applyFill="1" applyBorder="1" applyAlignment="1" applyProtection="1">
      <alignment horizontal="right" vertical="center"/>
      <protection hidden="1"/>
    </xf>
    <xf numFmtId="0" fontId="24" fillId="3" borderId="20" xfId="0" applyFont="1" applyFill="1" applyBorder="1" applyAlignment="1" applyProtection="1">
      <alignment horizontal="right" vertical="center"/>
      <protection hidden="1"/>
    </xf>
    <xf numFmtId="0" fontId="37" fillId="3" borderId="0" xfId="0" applyFont="1" applyFill="1" applyAlignment="1" applyProtection="1">
      <alignment horizontal="center" vertical="center"/>
      <protection hidden="1"/>
    </xf>
    <xf numFmtId="0" fontId="36" fillId="3" borderId="0" xfId="0" applyFont="1" applyFill="1" applyAlignment="1" applyProtection="1">
      <alignment horizontal="center"/>
      <protection hidden="1"/>
    </xf>
    <xf numFmtId="0" fontId="39" fillId="3" borderId="0" xfId="2" applyFont="1" applyFill="1" applyAlignment="1" applyProtection="1">
      <alignment horizontal="center"/>
      <protection hidden="1"/>
    </xf>
    <xf numFmtId="0" fontId="40" fillId="3" borderId="0" xfId="0" applyFont="1" applyFill="1" applyAlignment="1" applyProtection="1">
      <alignment horizontal="center"/>
      <protection hidden="1"/>
    </xf>
    <xf numFmtId="0" fontId="41" fillId="3" borderId="0" xfId="0" applyFont="1" applyFill="1" applyAlignment="1" applyProtection="1">
      <alignment horizontal="center" vertical="center"/>
      <protection hidden="1"/>
    </xf>
    <xf numFmtId="0" fontId="26" fillId="3" borderId="2" xfId="0" applyFont="1" applyFill="1" applyBorder="1" applyAlignment="1" applyProtection="1">
      <alignment horizontal="center" vertical="center" wrapText="1"/>
      <protection hidden="1"/>
    </xf>
    <xf numFmtId="0" fontId="26" fillId="3" borderId="3"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6" fillId="3" borderId="16" xfId="0" applyFont="1" applyFill="1" applyBorder="1" applyAlignment="1" applyProtection="1">
      <alignment horizontal="center" vertical="center" wrapText="1"/>
      <protection hidden="1"/>
    </xf>
    <xf numFmtId="0" fontId="26" fillId="3" borderId="17"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43" fillId="3" borderId="16" xfId="0" applyFont="1" applyFill="1" applyBorder="1" applyAlignment="1" applyProtection="1">
      <alignment horizontal="center" vertical="center" wrapText="1"/>
      <protection hidden="1"/>
    </xf>
    <xf numFmtId="0" fontId="43" fillId="3" borderId="17" xfId="0" applyFont="1" applyFill="1" applyBorder="1" applyAlignment="1" applyProtection="1">
      <alignment horizontal="center" vertical="center" wrapText="1"/>
      <protection hidden="1"/>
    </xf>
    <xf numFmtId="0" fontId="48" fillId="0" borderId="0" xfId="0" applyFont="1" applyBorder="1" applyAlignment="1" applyProtection="1">
      <alignment horizontal="center"/>
      <protection hidden="1"/>
    </xf>
    <xf numFmtId="0" fontId="48" fillId="0" borderId="34" xfId="0" applyFont="1" applyBorder="1" applyAlignment="1" applyProtection="1">
      <alignment horizontal="center"/>
      <protection hidden="1"/>
    </xf>
    <xf numFmtId="0" fontId="48" fillId="0" borderId="42" xfId="0" applyFont="1" applyBorder="1" applyAlignment="1" applyProtection="1">
      <alignment horizontal="center"/>
      <protection hidden="1"/>
    </xf>
    <xf numFmtId="0" fontId="48" fillId="0" borderId="43" xfId="0" applyFont="1" applyBorder="1" applyAlignment="1" applyProtection="1">
      <alignment horizontal="center"/>
      <protection hidden="1"/>
    </xf>
    <xf numFmtId="14" fontId="17" fillId="0" borderId="23" xfId="0" applyNumberFormat="1" applyFont="1" applyBorder="1" applyAlignment="1" applyProtection="1">
      <alignment horizontal="center" vertical="center"/>
      <protection hidden="1"/>
    </xf>
    <xf numFmtId="0" fontId="48" fillId="0" borderId="0" xfId="0" applyFont="1" applyBorder="1" applyAlignment="1" applyProtection="1">
      <alignment horizontal="center" vertical="center" wrapText="1"/>
      <protection locked="0" hidden="1"/>
    </xf>
    <xf numFmtId="0" fontId="48" fillId="0" borderId="34" xfId="0" applyFont="1" applyBorder="1" applyAlignment="1" applyProtection="1">
      <alignment horizontal="center" vertical="center" wrapText="1"/>
      <protection locked="0" hidden="1"/>
    </xf>
    <xf numFmtId="0" fontId="3" fillId="0" borderId="0" xfId="0" applyFont="1" applyBorder="1" applyAlignment="1" applyProtection="1">
      <alignment horizontal="right" vertical="center"/>
      <protection hidden="1"/>
    </xf>
    <xf numFmtId="0" fontId="35" fillId="0" borderId="24"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4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4"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3" fillId="0" borderId="24" xfId="0" applyFont="1" applyBorder="1" applyAlignment="1" applyProtection="1">
      <alignment horizontal="left"/>
      <protection hidden="1"/>
    </xf>
    <xf numFmtId="0" fontId="34" fillId="0" borderId="24" xfId="0" applyFont="1" applyBorder="1" applyAlignment="1" applyProtection="1">
      <alignment horizontal="center"/>
      <protection hidden="1"/>
    </xf>
    <xf numFmtId="49" fontId="7" fillId="0" borderId="35" xfId="0" applyNumberFormat="1" applyFont="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left" vertical="center"/>
      <protection hidden="1"/>
    </xf>
    <xf numFmtId="0" fontId="18" fillId="0" borderId="23" xfId="0" applyFont="1" applyBorder="1" applyAlignment="1" applyProtection="1">
      <alignment horizontal="center" vertical="center"/>
      <protection hidden="1"/>
    </xf>
    <xf numFmtId="0" fontId="31"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textRotation="90"/>
      <protection hidden="1"/>
    </xf>
    <xf numFmtId="0" fontId="11" fillId="0" borderId="36" xfId="0" applyFont="1" applyBorder="1" applyAlignment="1" applyProtection="1">
      <alignment horizontal="center" vertical="center" textRotation="90"/>
      <protection hidden="1"/>
    </xf>
    <xf numFmtId="0" fontId="32" fillId="4" borderId="24"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32" fillId="0" borderId="31"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3" fillId="0" borderId="0" xfId="1" applyFont="1" applyFill="1" applyBorder="1" applyAlignment="1" applyProtection="1">
      <alignment horizontal="right" vertical="center"/>
      <protection hidden="1"/>
    </xf>
    <xf numFmtId="0" fontId="48" fillId="0" borderId="0" xfId="0" applyFont="1" applyBorder="1" applyAlignment="1" applyProtection="1">
      <alignment horizontal="center"/>
      <protection locked="0"/>
    </xf>
    <xf numFmtId="0" fontId="48" fillId="0" borderId="34" xfId="0" applyFont="1" applyBorder="1" applyAlignment="1" applyProtection="1">
      <alignment horizontal="center"/>
      <protection locked="0"/>
    </xf>
    <xf numFmtId="0" fontId="48" fillId="0" borderId="42" xfId="0" applyFont="1" applyBorder="1" applyAlignment="1" applyProtection="1">
      <alignment horizontal="center"/>
      <protection locked="0"/>
    </xf>
    <xf numFmtId="0" fontId="48" fillId="0" borderId="43" xfId="0" applyFont="1" applyBorder="1" applyAlignment="1" applyProtection="1">
      <alignment horizontal="center"/>
      <protection locked="0"/>
    </xf>
    <xf numFmtId="0" fontId="3" fillId="0" borderId="24" xfId="0" applyFont="1" applyBorder="1" applyAlignment="1" applyProtection="1">
      <alignment horizontal="left"/>
      <protection locked="0"/>
    </xf>
    <xf numFmtId="0" fontId="34" fillId="0" borderId="24" xfId="0" applyFont="1" applyBorder="1" applyAlignment="1" applyProtection="1">
      <alignment horizontal="center"/>
      <protection locked="0"/>
    </xf>
    <xf numFmtId="0" fontId="35" fillId="0" borderId="2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3" fillId="0" borderId="0" xfId="0" applyFont="1" applyBorder="1" applyAlignment="1" applyProtection="1">
      <alignment horizontal="left"/>
      <protection locked="0"/>
    </xf>
    <xf numFmtId="0" fontId="48" fillId="0" borderId="0"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15" fillId="0" borderId="0" xfId="0" applyFont="1" applyBorder="1" applyAlignment="1" applyProtection="1">
      <alignment horizontal="center" vertical="top"/>
      <protection locked="0"/>
    </xf>
    <xf numFmtId="0" fontId="34"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49" fontId="7" fillId="0" borderId="35"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7" fillId="0" borderId="3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textRotation="90"/>
      <protection locked="0"/>
    </xf>
    <xf numFmtId="0" fontId="11" fillId="0" borderId="36" xfId="0" applyFont="1" applyBorder="1" applyAlignment="1" applyProtection="1">
      <alignment horizontal="center" vertical="center" textRotation="90"/>
      <protection locked="0"/>
    </xf>
    <xf numFmtId="0" fontId="27" fillId="0" borderId="2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9" fillId="0" borderId="0" xfId="1" applyFont="1" applyFill="1" applyBorder="1" applyAlignment="1" applyProtection="1">
      <alignment horizontal="left" vertical="center" wrapText="1"/>
      <protection locked="0"/>
    </xf>
    <xf numFmtId="0" fontId="32" fillId="0" borderId="31" xfId="1" applyFont="1" applyFill="1" applyBorder="1" applyAlignment="1" applyProtection="1">
      <alignment horizontal="center" vertical="center"/>
      <protection locked="0"/>
    </xf>
    <xf numFmtId="0" fontId="47"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right" vertical="center"/>
      <protection locked="0"/>
    </xf>
    <xf numFmtId="0" fontId="34" fillId="0" borderId="0" xfId="0" applyFont="1" applyBorder="1" applyAlignment="1" applyProtection="1">
      <alignment horizontal="center"/>
      <protection locked="0" hidden="1"/>
    </xf>
    <xf numFmtId="0" fontId="9" fillId="0" borderId="0" xfId="0" applyFont="1" applyBorder="1" applyAlignment="1" applyProtection="1">
      <alignment horizontal="center" vertical="center"/>
      <protection locked="0" hidden="1"/>
    </xf>
    <xf numFmtId="0" fontId="3" fillId="0" borderId="24" xfId="0" applyFont="1" applyBorder="1" applyAlignment="1" applyProtection="1">
      <alignment horizontal="left"/>
      <protection locked="0" hidden="1"/>
    </xf>
    <xf numFmtId="0" fontId="3" fillId="0" borderId="0" xfId="0" applyFont="1" applyBorder="1" applyAlignment="1" applyProtection="1">
      <alignment horizontal="right" vertical="center"/>
      <protection locked="0" hidden="1"/>
    </xf>
    <xf numFmtId="0" fontId="11" fillId="0" borderId="0" xfId="0" applyFont="1" applyBorder="1" applyAlignment="1" applyProtection="1">
      <alignment horizontal="center" vertical="center" wrapText="1"/>
      <protection locked="0" hidden="1"/>
    </xf>
    <xf numFmtId="0" fontId="11" fillId="0" borderId="34" xfId="0" applyFont="1" applyBorder="1" applyAlignment="1" applyProtection="1">
      <alignment horizontal="center" vertical="center" wrapText="1"/>
      <protection locked="0" hidden="1"/>
    </xf>
    <xf numFmtId="0" fontId="34" fillId="0" borderId="24" xfId="0" applyFont="1" applyBorder="1" applyAlignment="1" applyProtection="1">
      <alignment horizontal="center"/>
      <protection locked="0" hidden="1"/>
    </xf>
    <xf numFmtId="0" fontId="35" fillId="0" borderId="24" xfId="0" applyFont="1" applyBorder="1" applyAlignment="1" applyProtection="1">
      <alignment horizontal="center" vertical="center"/>
      <protection locked="0" hidden="1"/>
    </xf>
    <xf numFmtId="0" fontId="42" fillId="0" borderId="24" xfId="0" applyFont="1" applyBorder="1" applyAlignment="1" applyProtection="1">
      <alignment horizontal="center" vertical="center"/>
      <protection locked="0" hidden="1"/>
    </xf>
    <xf numFmtId="0" fontId="42" fillId="0" borderId="40" xfId="0" applyFont="1" applyBorder="1" applyAlignment="1" applyProtection="1">
      <alignment horizontal="center" vertical="center"/>
      <protection locked="0" hidden="1"/>
    </xf>
    <xf numFmtId="0" fontId="4" fillId="0" borderId="0" xfId="0" applyFont="1" applyBorder="1" applyAlignment="1" applyProtection="1">
      <alignment horizontal="center"/>
      <protection locked="0" hidden="1"/>
    </xf>
    <xf numFmtId="0" fontId="3" fillId="0" borderId="0" xfId="0" applyFont="1" applyBorder="1" applyAlignment="1" applyProtection="1">
      <alignment horizontal="left"/>
      <protection locked="0" hidden="1"/>
    </xf>
    <xf numFmtId="0" fontId="48" fillId="0" borderId="42" xfId="0" applyFont="1" applyBorder="1" applyAlignment="1" applyProtection="1">
      <alignment horizontal="center"/>
      <protection locked="0" hidden="1"/>
    </xf>
    <xf numFmtId="0" fontId="48" fillId="0" borderId="43" xfId="0" applyFont="1" applyBorder="1" applyAlignment="1" applyProtection="1">
      <alignment horizontal="center"/>
      <protection locked="0" hidden="1"/>
    </xf>
    <xf numFmtId="14" fontId="17" fillId="0" borderId="23" xfId="0" applyNumberFormat="1" applyFont="1" applyBorder="1" applyAlignment="1" applyProtection="1">
      <alignment horizontal="center" vertical="center"/>
      <protection locked="0" hidden="1"/>
    </xf>
    <xf numFmtId="0" fontId="18" fillId="0" borderId="23" xfId="0" applyFont="1" applyBorder="1" applyAlignment="1" applyProtection="1">
      <alignment horizontal="center" vertical="center"/>
      <protection locked="0" hidden="1"/>
    </xf>
    <xf numFmtId="164" fontId="17" fillId="0" borderId="23" xfId="0" applyNumberFormat="1" applyFont="1" applyBorder="1" applyAlignment="1" applyProtection="1">
      <alignment horizontal="center" vertical="center"/>
      <protection locked="0" hidden="1"/>
    </xf>
    <xf numFmtId="164" fontId="18" fillId="0" borderId="23" xfId="0" applyNumberFormat="1" applyFont="1" applyBorder="1" applyAlignment="1" applyProtection="1">
      <alignment horizontal="left" vertical="center"/>
      <protection locked="0" hidden="1"/>
    </xf>
    <xf numFmtId="0" fontId="15" fillId="0" borderId="0" xfId="0" applyFont="1" applyBorder="1" applyAlignment="1" applyProtection="1">
      <alignment horizontal="center" vertical="top"/>
      <protection locked="0" hidden="1"/>
    </xf>
    <xf numFmtId="0" fontId="33" fillId="0" borderId="0" xfId="0" applyFont="1" applyBorder="1" applyAlignment="1" applyProtection="1">
      <alignment horizontal="center" vertical="center" wrapText="1"/>
      <protection locked="0" hidden="1"/>
    </xf>
    <xf numFmtId="0" fontId="33" fillId="0" borderId="34" xfId="0" applyFont="1" applyBorder="1" applyAlignment="1" applyProtection="1">
      <alignment horizontal="center" vertical="center" wrapText="1"/>
      <protection locked="0" hidden="1"/>
    </xf>
    <xf numFmtId="0" fontId="48" fillId="0" borderId="0" xfId="0" applyFont="1" applyBorder="1" applyAlignment="1" applyProtection="1">
      <alignment horizontal="center"/>
      <protection locked="0" hidden="1"/>
    </xf>
    <xf numFmtId="0" fontId="48" fillId="0" borderId="34" xfId="0" applyFont="1" applyBorder="1" applyAlignment="1" applyProtection="1">
      <alignment horizontal="center"/>
      <protection locked="0"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581025</xdr:colOff>
      <xdr:row>4</xdr:row>
      <xdr:rowOff>104775</xdr:rowOff>
    </xdr:from>
    <xdr:to>
      <xdr:col>46</xdr:col>
      <xdr:colOff>428625</xdr:colOff>
      <xdr:row>7</xdr:row>
      <xdr:rowOff>22098</xdr:rowOff>
    </xdr:to>
    <xdr:sp macro="" textlink="">
      <xdr:nvSpPr>
        <xdr:cNvPr id="2" name="Oval Callout 1"/>
        <xdr:cNvSpPr/>
      </xdr:nvSpPr>
      <xdr:spPr>
        <a:xfrm>
          <a:off x="11087100" y="942975"/>
          <a:ext cx="3505200" cy="612648"/>
        </a:xfrm>
        <a:prstGeom prst="wedgeEllipseCallout">
          <a:avLst>
            <a:gd name="adj1" fmla="val -78201"/>
            <a:gd name="adj2" fmla="val 2207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41</xdr:col>
      <xdr:colOff>190500</xdr:colOff>
      <xdr:row>0</xdr:row>
      <xdr:rowOff>114300</xdr:rowOff>
    </xdr:from>
    <xdr:to>
      <xdr:col>45</xdr:col>
      <xdr:colOff>28575</xdr:colOff>
      <xdr:row>3</xdr:row>
      <xdr:rowOff>126873</xdr:rowOff>
    </xdr:to>
    <xdr:sp macro="" textlink="">
      <xdr:nvSpPr>
        <xdr:cNvPr id="3" name="Oval Callout 2"/>
        <xdr:cNvSpPr/>
      </xdr:nvSpPr>
      <xdr:spPr>
        <a:xfrm>
          <a:off x="11306175" y="114300"/>
          <a:ext cx="2276475" cy="612648"/>
        </a:xfrm>
        <a:prstGeom prst="wedgeEllipseCallout">
          <a:avLst>
            <a:gd name="adj1" fmla="val -100615"/>
            <a:gd name="adj2" fmla="val 516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342901</xdr:colOff>
      <xdr:row>4</xdr:row>
      <xdr:rowOff>161925</xdr:rowOff>
    </xdr:from>
    <xdr:to>
      <xdr:col>43</xdr:col>
      <xdr:colOff>285750</xdr:colOff>
      <xdr:row>7</xdr:row>
      <xdr:rowOff>79248</xdr:rowOff>
    </xdr:to>
    <xdr:sp macro="" textlink="">
      <xdr:nvSpPr>
        <xdr:cNvPr id="2" name="Oval Callout 1"/>
        <xdr:cNvSpPr/>
      </xdr:nvSpPr>
      <xdr:spPr>
        <a:xfrm>
          <a:off x="10848976" y="1000125"/>
          <a:ext cx="2533649" cy="612648"/>
        </a:xfrm>
        <a:prstGeom prst="wedgeEllipseCallout">
          <a:avLst>
            <a:gd name="adj1" fmla="val -79011"/>
            <a:gd name="adj2" fmla="val 1741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19</xdr:col>
      <xdr:colOff>333375</xdr:colOff>
      <xdr:row>0</xdr:row>
      <xdr:rowOff>76200</xdr:rowOff>
    </xdr:from>
    <xdr:to>
      <xdr:col>43</xdr:col>
      <xdr:colOff>104775</xdr:colOff>
      <xdr:row>3</xdr:row>
      <xdr:rowOff>145923</xdr:rowOff>
    </xdr:to>
    <xdr:sp macro="" textlink="">
      <xdr:nvSpPr>
        <xdr:cNvPr id="3" name="Oval Callout 2"/>
        <xdr:cNvSpPr/>
      </xdr:nvSpPr>
      <xdr:spPr>
        <a:xfrm>
          <a:off x="10839450" y="76200"/>
          <a:ext cx="2362200" cy="669798"/>
        </a:xfrm>
        <a:prstGeom prst="wedgeEllipseCallout">
          <a:avLst>
            <a:gd name="adj1" fmla="val -83948"/>
            <a:gd name="adj2" fmla="val 4850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 For GPF/NPS</a:t>
          </a:r>
          <a:endParaRPr lang="en-US" sz="1400"/>
        </a:p>
      </xdr:txBody>
    </xdr:sp>
    <xdr:clientData/>
  </xdr:twoCellAnchor>
  <xdr:twoCellAnchor>
    <xdr:from>
      <xdr:col>22</xdr:col>
      <xdr:colOff>0</xdr:colOff>
      <xdr:row>8</xdr:row>
      <xdr:rowOff>171450</xdr:rowOff>
    </xdr:from>
    <xdr:to>
      <xdr:col>44</xdr:col>
      <xdr:colOff>390525</xdr:colOff>
      <xdr:row>12</xdr:row>
      <xdr:rowOff>66675</xdr:rowOff>
    </xdr:to>
    <xdr:sp macro="" textlink="">
      <xdr:nvSpPr>
        <xdr:cNvPr id="4" name="Oval Callout 3"/>
        <xdr:cNvSpPr/>
      </xdr:nvSpPr>
      <xdr:spPr>
        <a:xfrm>
          <a:off x="12487275" y="2057400"/>
          <a:ext cx="1609725" cy="704850"/>
        </a:xfrm>
        <a:prstGeom prst="wedgeEllipseCallout">
          <a:avLst>
            <a:gd name="adj1" fmla="val -88373"/>
            <a:gd name="adj2" fmla="val 204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MONTH &amp; Write BASIC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F17" sqref="F16:F17"/>
    </sheetView>
  </sheetViews>
  <sheetFormatPr defaultRowHeight="15"/>
  <cols>
    <col min="1" max="1" width="9.140625" style="14"/>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5"/>
      <c r="B1" s="16"/>
      <c r="C1" s="168" t="s">
        <v>32</v>
      </c>
      <c r="D1" s="168"/>
      <c r="E1" s="168"/>
      <c r="F1" s="168"/>
      <c r="G1" s="168"/>
      <c r="H1" s="168"/>
      <c r="I1" s="168"/>
      <c r="J1" s="16"/>
      <c r="K1" s="16"/>
      <c r="L1" s="16"/>
      <c r="M1" s="16"/>
      <c r="N1" s="16"/>
      <c r="O1" s="16"/>
      <c r="P1" s="16"/>
      <c r="Q1" s="16"/>
      <c r="R1" s="16"/>
      <c r="S1" s="16"/>
      <c r="T1" s="16"/>
      <c r="U1" s="16"/>
      <c r="V1" s="16"/>
      <c r="W1" s="16"/>
      <c r="X1" s="16"/>
      <c r="Y1" s="16"/>
      <c r="Z1" s="16"/>
      <c r="AA1" s="16"/>
      <c r="AB1" s="16"/>
      <c r="AC1" s="16"/>
      <c r="AD1" s="16"/>
      <c r="AE1" s="35" t="s">
        <v>4</v>
      </c>
      <c r="AF1" s="35" t="s">
        <v>1</v>
      </c>
      <c r="AG1" s="16"/>
      <c r="AH1" s="16"/>
      <c r="AI1" s="16"/>
      <c r="AJ1" s="16"/>
      <c r="AK1" s="16"/>
      <c r="AL1" s="16"/>
      <c r="AM1" s="16"/>
      <c r="AN1" s="16"/>
      <c r="AO1" s="16"/>
      <c r="AP1" s="16"/>
      <c r="AQ1" s="16"/>
      <c r="AR1" s="16"/>
      <c r="AS1" s="16"/>
      <c r="AT1" s="16"/>
      <c r="AU1" s="16"/>
      <c r="AV1" s="16"/>
      <c r="AW1" s="16"/>
      <c r="AX1" s="16"/>
      <c r="AY1" s="16"/>
      <c r="AZ1" s="16"/>
    </row>
    <row r="2" spans="1:52" ht="16.5" thickBot="1">
      <c r="A2" s="17"/>
      <c r="B2" s="18"/>
      <c r="C2" s="18"/>
      <c r="D2" s="18"/>
      <c r="E2" s="18"/>
      <c r="F2" s="18"/>
      <c r="G2" s="18"/>
      <c r="H2" s="18"/>
      <c r="I2" s="18"/>
      <c r="J2" s="18"/>
      <c r="K2" s="18"/>
      <c r="L2" s="18"/>
      <c r="M2" s="18"/>
      <c r="N2" s="18"/>
      <c r="O2" s="18"/>
      <c r="P2" s="18"/>
      <c r="Q2" s="18"/>
      <c r="R2" s="18"/>
      <c r="S2" s="18"/>
      <c r="T2" s="18"/>
      <c r="U2" s="18"/>
      <c r="V2" s="16"/>
      <c r="W2" s="16"/>
      <c r="X2" s="16"/>
      <c r="Y2" s="16"/>
      <c r="Z2" s="16"/>
      <c r="AA2" s="16"/>
      <c r="AB2" s="16"/>
      <c r="AC2" s="16"/>
      <c r="AD2" s="16"/>
      <c r="AE2" s="35" t="s">
        <v>5</v>
      </c>
      <c r="AF2" s="35" t="s">
        <v>3</v>
      </c>
      <c r="AG2" s="16"/>
      <c r="AH2" s="16"/>
      <c r="AI2" s="16"/>
      <c r="AJ2" s="16"/>
      <c r="AK2" s="16"/>
      <c r="AL2" s="16"/>
      <c r="AM2" s="16"/>
      <c r="AN2" s="16"/>
      <c r="AO2" s="16"/>
      <c r="AP2" s="16"/>
      <c r="AQ2" s="16"/>
      <c r="AR2" s="16"/>
      <c r="AS2" s="16"/>
      <c r="AT2" s="16"/>
      <c r="AU2" s="16"/>
      <c r="AV2" s="16"/>
      <c r="AW2" s="16"/>
      <c r="AX2" s="16"/>
      <c r="AY2" s="16"/>
      <c r="AZ2" s="16"/>
    </row>
    <row r="3" spans="1:52" ht="20.25" thickTop="1" thickBot="1">
      <c r="A3" s="169" t="s">
        <v>33</v>
      </c>
      <c r="B3" s="169"/>
      <c r="C3" s="170" t="s">
        <v>78</v>
      </c>
      <c r="D3" s="170"/>
      <c r="E3" s="170"/>
      <c r="F3" s="170"/>
      <c r="G3" s="170"/>
      <c r="H3" s="170"/>
      <c r="I3" s="170"/>
      <c r="J3" s="170"/>
      <c r="K3" s="170"/>
      <c r="L3" s="170"/>
      <c r="M3" s="170"/>
      <c r="N3" s="21"/>
      <c r="O3" s="21"/>
      <c r="P3" s="21"/>
      <c r="Q3" s="21"/>
      <c r="R3" s="21"/>
      <c r="S3" s="21"/>
      <c r="T3" s="21"/>
      <c r="U3" s="21"/>
      <c r="V3" s="22"/>
      <c r="W3" s="22"/>
      <c r="X3" s="22"/>
      <c r="Y3" s="22"/>
      <c r="Z3" s="22"/>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20.25" thickTop="1" thickBot="1">
      <c r="A4" s="169" t="s">
        <v>41</v>
      </c>
      <c r="B4" s="169"/>
      <c r="C4" s="173" t="s">
        <v>79</v>
      </c>
      <c r="D4" s="174"/>
      <c r="E4" s="174"/>
      <c r="F4" s="174"/>
      <c r="G4" s="177" t="s">
        <v>42</v>
      </c>
      <c r="H4" s="177"/>
      <c r="I4" s="177"/>
      <c r="J4" s="178"/>
      <c r="K4" s="171" t="s">
        <v>63</v>
      </c>
      <c r="L4" s="171"/>
      <c r="M4" s="171"/>
      <c r="N4" s="21"/>
      <c r="O4" s="21"/>
      <c r="P4" s="21"/>
      <c r="Q4" s="21"/>
      <c r="R4" s="21"/>
      <c r="S4" s="21"/>
      <c r="T4" s="21"/>
      <c r="U4" s="21"/>
      <c r="V4" s="22"/>
      <c r="W4" s="22"/>
      <c r="X4" s="22"/>
      <c r="Y4" s="22"/>
      <c r="Z4" s="22"/>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20.25" thickTop="1" thickBot="1">
      <c r="A5" s="169" t="s">
        <v>43</v>
      </c>
      <c r="B5" s="169"/>
      <c r="C5" s="175" t="s">
        <v>80</v>
      </c>
      <c r="D5" s="176"/>
      <c r="E5" s="176"/>
      <c r="F5" s="176"/>
      <c r="G5" s="179" t="s">
        <v>29</v>
      </c>
      <c r="H5" s="179"/>
      <c r="I5" s="179"/>
      <c r="J5" s="180"/>
      <c r="K5" s="172" t="s">
        <v>64</v>
      </c>
      <c r="L5" s="172"/>
      <c r="M5" s="172"/>
      <c r="N5" s="21"/>
      <c r="O5" s="21"/>
      <c r="P5" s="21"/>
      <c r="Q5" s="21"/>
      <c r="R5" s="21"/>
      <c r="S5" s="21"/>
      <c r="T5" s="21"/>
      <c r="U5" s="21"/>
      <c r="V5" s="22"/>
      <c r="W5" s="22"/>
      <c r="X5" s="22"/>
      <c r="Y5" s="22"/>
      <c r="Z5" s="22"/>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7.25" thickTop="1" thickBot="1">
      <c r="A6" s="17"/>
      <c r="B6" s="18"/>
      <c r="C6" s="18"/>
      <c r="D6" s="18"/>
      <c r="E6" s="18"/>
      <c r="F6" s="18"/>
      <c r="G6" s="18"/>
      <c r="H6" s="18"/>
      <c r="I6" s="18"/>
      <c r="J6" s="18"/>
      <c r="K6" s="18"/>
      <c r="L6" s="18"/>
      <c r="M6" s="18"/>
      <c r="N6" s="18"/>
      <c r="O6" s="18"/>
      <c r="P6" s="18"/>
      <c r="Q6" s="18"/>
      <c r="R6" s="18"/>
      <c r="S6" s="18"/>
      <c r="T6" s="18"/>
      <c r="U6" s="18"/>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7" customFormat="1" ht="22.5" customHeight="1" thickTop="1" thickBot="1">
      <c r="A7" s="186" t="s">
        <v>34</v>
      </c>
      <c r="B7" s="187" t="s">
        <v>35</v>
      </c>
      <c r="C7" s="188" t="s">
        <v>36</v>
      </c>
      <c r="D7" s="190" t="s">
        <v>39</v>
      </c>
      <c r="E7" s="190" t="s">
        <v>54</v>
      </c>
      <c r="F7" s="193" t="s">
        <v>69</v>
      </c>
      <c r="G7" s="190" t="s">
        <v>55</v>
      </c>
      <c r="H7" s="188" t="s">
        <v>44</v>
      </c>
      <c r="I7" s="188"/>
      <c r="J7" s="188"/>
      <c r="K7" s="188"/>
      <c r="L7" s="188"/>
      <c r="M7" s="188"/>
      <c r="N7" s="188"/>
      <c r="O7" s="188"/>
      <c r="P7" s="188"/>
      <c r="Q7" s="188"/>
      <c r="R7" s="188"/>
      <c r="S7" s="192" t="s">
        <v>40</v>
      </c>
      <c r="T7" s="19"/>
      <c r="U7" s="19"/>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7" customFormat="1" ht="48.75" customHeight="1" thickTop="1" thickBot="1">
      <c r="A8" s="186"/>
      <c r="B8" s="187"/>
      <c r="C8" s="188"/>
      <c r="D8" s="191"/>
      <c r="E8" s="191"/>
      <c r="F8" s="194"/>
      <c r="G8" s="191"/>
      <c r="H8" s="38" t="s">
        <v>38</v>
      </c>
      <c r="I8" s="38" t="s">
        <v>37</v>
      </c>
      <c r="J8" s="38" t="s">
        <v>45</v>
      </c>
      <c r="K8" s="38" t="s">
        <v>46</v>
      </c>
      <c r="L8" s="38" t="s">
        <v>47</v>
      </c>
      <c r="M8" s="38" t="s">
        <v>48</v>
      </c>
      <c r="N8" s="38" t="s">
        <v>49</v>
      </c>
      <c r="O8" s="38" t="s">
        <v>50</v>
      </c>
      <c r="P8" s="38" t="s">
        <v>51</v>
      </c>
      <c r="Q8" s="38" t="s">
        <v>52</v>
      </c>
      <c r="R8" s="38" t="s">
        <v>53</v>
      </c>
      <c r="S8" s="192"/>
      <c r="T8" s="19"/>
      <c r="U8" s="19"/>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6" customFormat="1" ht="15.95" customHeight="1" thickTop="1">
      <c r="A9" s="8">
        <v>1</v>
      </c>
      <c r="B9" s="9" t="s">
        <v>86</v>
      </c>
      <c r="C9" s="9" t="s">
        <v>81</v>
      </c>
      <c r="D9" s="36" t="s">
        <v>4</v>
      </c>
      <c r="E9" s="9" t="s">
        <v>1</v>
      </c>
      <c r="F9" s="53">
        <v>42736</v>
      </c>
      <c r="G9" s="8">
        <v>10</v>
      </c>
      <c r="H9" s="8">
        <v>23800</v>
      </c>
      <c r="I9" s="8">
        <v>61500</v>
      </c>
      <c r="J9" s="24"/>
      <c r="K9" s="24"/>
      <c r="L9" s="24"/>
      <c r="M9" s="24"/>
      <c r="N9" s="24"/>
      <c r="O9" s="24"/>
      <c r="P9" s="24"/>
      <c r="Q9" s="24"/>
      <c r="R9" s="24"/>
      <c r="S9" s="10"/>
      <c r="T9" s="23"/>
      <c r="U9" s="23"/>
      <c r="V9" s="23"/>
      <c r="W9" s="23"/>
      <c r="X9" s="23"/>
      <c r="Y9" s="189" t="s">
        <v>31</v>
      </c>
      <c r="Z9" s="189"/>
      <c r="AA9" s="189"/>
      <c r="AB9" s="23"/>
      <c r="AC9" s="23"/>
      <c r="AD9" s="23"/>
      <c r="AE9" s="23"/>
      <c r="AF9" s="23"/>
      <c r="AG9" s="23"/>
      <c r="AH9" s="26" t="b">
        <v>1</v>
      </c>
      <c r="AI9" s="27" t="b">
        <v>0</v>
      </c>
      <c r="AJ9" s="27" t="b">
        <v>0</v>
      </c>
      <c r="AK9" s="27" t="b">
        <v>0</v>
      </c>
      <c r="AL9" s="27" t="b">
        <v>0</v>
      </c>
      <c r="AM9" s="27" t="b">
        <v>0</v>
      </c>
      <c r="AN9" s="27" t="b">
        <v>0</v>
      </c>
      <c r="AO9" s="27" t="b">
        <v>0</v>
      </c>
      <c r="AP9" s="28" t="b">
        <v>0</v>
      </c>
      <c r="AQ9" s="23"/>
      <c r="AR9" s="23"/>
      <c r="AS9" s="23"/>
      <c r="AT9" s="23"/>
      <c r="AU9" s="23"/>
      <c r="AV9" s="23"/>
      <c r="AW9" s="23"/>
      <c r="AX9" s="23"/>
      <c r="AY9" s="23"/>
      <c r="AZ9" s="23"/>
    </row>
    <row r="10" spans="1:52" s="6" customFormat="1" ht="15.95" customHeight="1">
      <c r="A10" s="11">
        <v>2</v>
      </c>
      <c r="B10" s="12" t="s">
        <v>87</v>
      </c>
      <c r="C10" s="12" t="s">
        <v>65</v>
      </c>
      <c r="D10" s="37" t="s">
        <v>4</v>
      </c>
      <c r="E10" s="12" t="s">
        <v>1</v>
      </c>
      <c r="F10" s="79">
        <v>42370</v>
      </c>
      <c r="G10" s="11">
        <v>10</v>
      </c>
      <c r="H10" s="11">
        <v>21270</v>
      </c>
      <c r="I10" s="11">
        <v>56100</v>
      </c>
      <c r="J10" s="25"/>
      <c r="K10" s="25"/>
      <c r="L10" s="25"/>
      <c r="M10" s="25"/>
      <c r="N10" s="25"/>
      <c r="O10" s="25"/>
      <c r="P10" s="25"/>
      <c r="Q10" s="25"/>
      <c r="R10" s="25"/>
      <c r="S10" s="13"/>
      <c r="T10" s="23"/>
      <c r="U10" s="23"/>
      <c r="V10" s="23"/>
      <c r="W10" s="23"/>
      <c r="X10" s="23"/>
      <c r="Y10" s="189"/>
      <c r="Z10" s="189"/>
      <c r="AA10" s="189"/>
      <c r="AB10" s="23"/>
      <c r="AC10" s="23"/>
      <c r="AD10" s="23"/>
      <c r="AE10" s="23"/>
      <c r="AF10" s="23"/>
      <c r="AG10" s="23"/>
      <c r="AH10" s="29" t="b">
        <v>1</v>
      </c>
      <c r="AI10" s="30" t="b">
        <v>0</v>
      </c>
      <c r="AJ10" s="30" t="b">
        <v>0</v>
      </c>
      <c r="AK10" s="30" t="b">
        <v>0</v>
      </c>
      <c r="AL10" s="30" t="b">
        <v>0</v>
      </c>
      <c r="AM10" s="30" t="b">
        <v>0</v>
      </c>
      <c r="AN10" s="30" t="b">
        <v>0</v>
      </c>
      <c r="AO10" s="30" t="b">
        <v>0</v>
      </c>
      <c r="AP10" s="31" t="b">
        <v>0</v>
      </c>
      <c r="AQ10" s="23"/>
      <c r="AR10" s="23"/>
      <c r="AS10" s="23"/>
      <c r="AT10" s="23"/>
      <c r="AU10" s="23"/>
      <c r="AV10" s="23"/>
      <c r="AW10" s="23"/>
      <c r="AX10" s="23"/>
      <c r="AY10" s="23"/>
      <c r="AZ10" s="23"/>
    </row>
    <row r="11" spans="1:52" s="6" customFormat="1" ht="15.95" customHeight="1">
      <c r="A11" s="11">
        <v>3</v>
      </c>
      <c r="B11" s="9" t="s">
        <v>88</v>
      </c>
      <c r="C11" s="9" t="s">
        <v>65</v>
      </c>
      <c r="D11" s="36" t="s">
        <v>5</v>
      </c>
      <c r="E11" s="9" t="s">
        <v>1</v>
      </c>
      <c r="F11" s="53">
        <v>42370</v>
      </c>
      <c r="G11" s="8">
        <v>10</v>
      </c>
      <c r="H11" s="8">
        <v>13690</v>
      </c>
      <c r="I11" s="8">
        <v>35800</v>
      </c>
      <c r="J11" s="24"/>
      <c r="K11" s="24"/>
      <c r="L11" s="24"/>
      <c r="M11" s="24"/>
      <c r="N11" s="24"/>
      <c r="O11" s="24"/>
      <c r="P11" s="24"/>
      <c r="Q11" s="24"/>
      <c r="R11" s="24"/>
      <c r="S11" s="13"/>
      <c r="T11" s="23"/>
      <c r="U11" s="23"/>
      <c r="V11" s="23"/>
      <c r="W11" s="23"/>
      <c r="X11" s="23"/>
      <c r="Y11" s="189"/>
      <c r="Z11" s="189"/>
      <c r="AA11" s="189"/>
      <c r="AB11" s="23"/>
      <c r="AC11" s="23"/>
      <c r="AD11" s="23"/>
      <c r="AE11" s="23"/>
      <c r="AF11" s="23"/>
      <c r="AG11" s="23"/>
      <c r="AH11" s="29" t="b">
        <v>1</v>
      </c>
      <c r="AI11" s="30" t="b">
        <v>0</v>
      </c>
      <c r="AJ11" s="30" t="b">
        <v>0</v>
      </c>
      <c r="AK11" s="30" t="b">
        <v>0</v>
      </c>
      <c r="AL11" s="30" t="b">
        <v>0</v>
      </c>
      <c r="AM11" s="30" t="b">
        <v>0</v>
      </c>
      <c r="AN11" s="30" t="b">
        <v>0</v>
      </c>
      <c r="AO11" s="30" t="b">
        <v>0</v>
      </c>
      <c r="AP11" s="31" t="b">
        <v>0</v>
      </c>
      <c r="AQ11" s="23"/>
      <c r="AR11" s="23"/>
      <c r="AS11" s="23"/>
      <c r="AT11" s="23"/>
      <c r="AU11" s="23"/>
      <c r="AV11" s="23"/>
      <c r="AW11" s="23"/>
      <c r="AX11" s="23"/>
      <c r="AY11" s="23"/>
      <c r="AZ11" s="23"/>
    </row>
    <row r="12" spans="1:52" s="6" customFormat="1" ht="15.95" customHeight="1">
      <c r="A12" s="11">
        <v>4</v>
      </c>
      <c r="B12" s="12" t="s">
        <v>89</v>
      </c>
      <c r="C12" s="12" t="s">
        <v>65</v>
      </c>
      <c r="D12" s="36" t="s">
        <v>5</v>
      </c>
      <c r="E12" s="9" t="s">
        <v>1</v>
      </c>
      <c r="F12" s="53">
        <v>42370</v>
      </c>
      <c r="G12" s="8">
        <v>10</v>
      </c>
      <c r="H12" s="8">
        <v>13290</v>
      </c>
      <c r="I12" s="8">
        <v>34800</v>
      </c>
      <c r="J12" s="24"/>
      <c r="K12" s="24"/>
      <c r="L12" s="24"/>
      <c r="M12" s="24"/>
      <c r="N12" s="24"/>
      <c r="O12" s="24"/>
      <c r="P12" s="24"/>
      <c r="Q12" s="24"/>
      <c r="R12" s="24"/>
      <c r="S12" s="13"/>
      <c r="T12" s="23"/>
      <c r="U12" s="23"/>
      <c r="V12" s="23"/>
      <c r="W12" s="23"/>
      <c r="X12" s="23"/>
      <c r="Y12" s="23"/>
      <c r="Z12" s="23"/>
      <c r="AA12" s="23"/>
      <c r="AB12" s="23"/>
      <c r="AC12" s="23"/>
      <c r="AD12" s="23"/>
      <c r="AE12" s="23"/>
      <c r="AF12" s="23"/>
      <c r="AG12" s="23"/>
      <c r="AH12" s="29" t="b">
        <v>1</v>
      </c>
      <c r="AI12" s="30" t="b">
        <v>0</v>
      </c>
      <c r="AJ12" s="30" t="b">
        <v>0</v>
      </c>
      <c r="AK12" s="30" t="b">
        <v>0</v>
      </c>
      <c r="AL12" s="30" t="b">
        <v>0</v>
      </c>
      <c r="AM12" s="30" t="b">
        <v>0</v>
      </c>
      <c r="AN12" s="30" t="b">
        <v>0</v>
      </c>
      <c r="AO12" s="30" t="b">
        <v>0</v>
      </c>
      <c r="AP12" s="31" t="b">
        <v>0</v>
      </c>
      <c r="AQ12" s="23"/>
      <c r="AR12" s="23"/>
      <c r="AS12" s="23"/>
      <c r="AT12" s="23"/>
      <c r="AU12" s="23"/>
      <c r="AV12" s="23"/>
      <c r="AW12" s="23"/>
      <c r="AX12" s="23"/>
      <c r="AY12" s="23"/>
      <c r="AZ12" s="23"/>
    </row>
    <row r="13" spans="1:52" s="6" customFormat="1" ht="15.95" customHeight="1">
      <c r="A13" s="11">
        <v>5</v>
      </c>
      <c r="B13" s="9" t="s">
        <v>90</v>
      </c>
      <c r="C13" s="9" t="s">
        <v>65</v>
      </c>
      <c r="D13" s="36" t="s">
        <v>5</v>
      </c>
      <c r="E13" s="9" t="s">
        <v>3</v>
      </c>
      <c r="F13" s="53">
        <v>42370</v>
      </c>
      <c r="G13" s="8">
        <v>10</v>
      </c>
      <c r="H13" s="11">
        <v>13690</v>
      </c>
      <c r="I13" s="11">
        <v>35800</v>
      </c>
      <c r="J13" s="25"/>
      <c r="K13" s="25"/>
      <c r="L13" s="25"/>
      <c r="M13" s="25"/>
      <c r="N13" s="25"/>
      <c r="O13" s="25"/>
      <c r="P13" s="25"/>
      <c r="Q13" s="25"/>
      <c r="R13" s="25"/>
      <c r="S13" s="13"/>
      <c r="T13" s="23"/>
      <c r="U13" s="23"/>
      <c r="V13" s="23"/>
      <c r="W13" s="23"/>
      <c r="X13" s="23"/>
      <c r="Y13" s="23"/>
      <c r="Z13" s="23"/>
      <c r="AA13" s="23"/>
      <c r="AB13" s="23"/>
      <c r="AC13" s="23"/>
      <c r="AD13" s="23"/>
      <c r="AE13" s="23"/>
      <c r="AF13" s="23"/>
      <c r="AG13" s="23"/>
      <c r="AH13" s="29" t="b">
        <v>1</v>
      </c>
      <c r="AI13" s="30" t="b">
        <v>0</v>
      </c>
      <c r="AJ13" s="30" t="b">
        <v>0</v>
      </c>
      <c r="AK13" s="30" t="b">
        <v>0</v>
      </c>
      <c r="AL13" s="30" t="b">
        <v>0</v>
      </c>
      <c r="AM13" s="30" t="b">
        <v>0</v>
      </c>
      <c r="AN13" s="30" t="b">
        <v>0</v>
      </c>
      <c r="AO13" s="30" t="b">
        <v>0</v>
      </c>
      <c r="AP13" s="31" t="b">
        <v>0</v>
      </c>
      <c r="AQ13" s="23"/>
      <c r="AR13" s="23"/>
      <c r="AS13" s="23"/>
      <c r="AT13" s="23"/>
      <c r="AU13" s="23"/>
      <c r="AV13" s="23"/>
      <c r="AW13" s="23"/>
      <c r="AX13" s="23"/>
      <c r="AY13" s="23"/>
      <c r="AZ13" s="23"/>
    </row>
    <row r="14" spans="1:52" s="6" customFormat="1" ht="15.95" customHeight="1">
      <c r="A14" s="11">
        <v>6</v>
      </c>
      <c r="B14" s="12"/>
      <c r="C14" s="12"/>
      <c r="D14" s="37"/>
      <c r="E14" s="12"/>
      <c r="F14" s="79"/>
      <c r="G14" s="11"/>
      <c r="H14" s="11"/>
      <c r="I14" s="11"/>
      <c r="J14" s="25"/>
      <c r="K14" s="25"/>
      <c r="L14" s="25"/>
      <c r="M14" s="25"/>
      <c r="N14" s="25"/>
      <c r="O14" s="25"/>
      <c r="P14" s="25"/>
      <c r="Q14" s="25"/>
      <c r="R14" s="25"/>
      <c r="S14" s="13"/>
      <c r="T14" s="23"/>
      <c r="U14" s="23"/>
      <c r="V14" s="23"/>
      <c r="W14" s="23"/>
      <c r="X14" s="23"/>
      <c r="Y14" s="23"/>
      <c r="Z14" s="23"/>
      <c r="AA14" s="23"/>
      <c r="AB14" s="23"/>
      <c r="AC14" s="23"/>
      <c r="AD14" s="23"/>
      <c r="AE14" s="23"/>
      <c r="AF14" s="23"/>
      <c r="AG14" s="23"/>
      <c r="AH14" s="29" t="b">
        <v>0</v>
      </c>
      <c r="AI14" s="30" t="b">
        <v>0</v>
      </c>
      <c r="AJ14" s="30" t="b">
        <v>0</v>
      </c>
      <c r="AK14" s="30" t="b">
        <v>0</v>
      </c>
      <c r="AL14" s="30" t="b">
        <v>0</v>
      </c>
      <c r="AM14" s="30" t="b">
        <v>0</v>
      </c>
      <c r="AN14" s="30" t="b">
        <v>0</v>
      </c>
      <c r="AO14" s="30" t="b">
        <v>0</v>
      </c>
      <c r="AP14" s="31" t="b">
        <v>0</v>
      </c>
      <c r="AQ14" s="23"/>
      <c r="AR14" s="23"/>
      <c r="AS14" s="23"/>
      <c r="AT14" s="23"/>
      <c r="AU14" s="23"/>
      <c r="AV14" s="23"/>
      <c r="AW14" s="23"/>
      <c r="AX14" s="23"/>
      <c r="AY14" s="23"/>
      <c r="AZ14" s="23"/>
    </row>
    <row r="15" spans="1:52" s="6" customFormat="1" ht="15.95" customHeight="1">
      <c r="A15" s="11">
        <v>7</v>
      </c>
      <c r="B15" s="12"/>
      <c r="C15" s="12"/>
      <c r="D15" s="37"/>
      <c r="E15" s="12"/>
      <c r="F15" s="79"/>
      <c r="G15" s="11"/>
      <c r="H15" s="11"/>
      <c r="I15" s="11"/>
      <c r="J15" s="25"/>
      <c r="K15" s="25"/>
      <c r="L15" s="25"/>
      <c r="M15" s="25"/>
      <c r="N15" s="25"/>
      <c r="O15" s="25"/>
      <c r="P15" s="25"/>
      <c r="Q15" s="25"/>
      <c r="R15" s="25"/>
      <c r="S15" s="13"/>
      <c r="T15" s="23"/>
      <c r="U15" s="23"/>
      <c r="V15" s="23"/>
      <c r="W15" s="23"/>
      <c r="X15" s="23"/>
      <c r="Y15" s="23"/>
      <c r="Z15" s="23"/>
      <c r="AA15" s="23"/>
      <c r="AB15" s="23"/>
      <c r="AC15" s="23"/>
      <c r="AD15" s="23"/>
      <c r="AE15" s="23"/>
      <c r="AF15" s="23"/>
      <c r="AG15" s="23"/>
      <c r="AH15" s="29" t="b">
        <v>0</v>
      </c>
      <c r="AI15" s="30" t="b">
        <v>0</v>
      </c>
      <c r="AJ15" s="30" t="b">
        <v>0</v>
      </c>
      <c r="AK15" s="30" t="b">
        <v>0</v>
      </c>
      <c r="AL15" s="30" t="b">
        <v>0</v>
      </c>
      <c r="AM15" s="30" t="b">
        <v>0</v>
      </c>
      <c r="AN15" s="30" t="b">
        <v>0</v>
      </c>
      <c r="AO15" s="30" t="b">
        <v>0</v>
      </c>
      <c r="AP15" s="31" t="b">
        <v>0</v>
      </c>
      <c r="AQ15" s="23"/>
      <c r="AR15" s="23"/>
      <c r="AS15" s="23"/>
      <c r="AT15" s="23"/>
      <c r="AU15" s="23"/>
      <c r="AV15" s="23"/>
      <c r="AW15" s="23"/>
      <c r="AX15" s="23"/>
      <c r="AY15" s="23"/>
      <c r="AZ15" s="23"/>
    </row>
    <row r="16" spans="1:52" s="6" customFormat="1" ht="15.95" customHeight="1">
      <c r="A16" s="11">
        <v>8</v>
      </c>
      <c r="B16" s="12"/>
      <c r="C16" s="12"/>
      <c r="D16" s="37"/>
      <c r="E16" s="12"/>
      <c r="F16" s="79"/>
      <c r="G16" s="11"/>
      <c r="H16" s="11"/>
      <c r="I16" s="11"/>
      <c r="J16" s="25"/>
      <c r="K16" s="25"/>
      <c r="L16" s="25"/>
      <c r="M16" s="25"/>
      <c r="N16" s="25"/>
      <c r="O16" s="25"/>
      <c r="P16" s="25"/>
      <c r="Q16" s="25"/>
      <c r="R16" s="25"/>
      <c r="S16" s="13"/>
      <c r="T16" s="23"/>
      <c r="U16" s="23"/>
      <c r="V16" s="23"/>
      <c r="W16" s="23"/>
      <c r="X16" s="23"/>
      <c r="Y16" s="23"/>
      <c r="Z16" s="23"/>
      <c r="AA16" s="23"/>
      <c r="AB16" s="23"/>
      <c r="AC16" s="23"/>
      <c r="AD16" s="23"/>
      <c r="AE16" s="23"/>
      <c r="AF16" s="23"/>
      <c r="AG16" s="23"/>
      <c r="AH16" s="29" t="b">
        <v>0</v>
      </c>
      <c r="AI16" s="30" t="b">
        <v>0</v>
      </c>
      <c r="AJ16" s="30" t="b">
        <v>0</v>
      </c>
      <c r="AK16" s="30" t="b">
        <v>0</v>
      </c>
      <c r="AL16" s="30" t="b">
        <v>0</v>
      </c>
      <c r="AM16" s="30" t="b">
        <v>0</v>
      </c>
      <c r="AN16" s="30" t="b">
        <v>0</v>
      </c>
      <c r="AO16" s="30" t="b">
        <v>0</v>
      </c>
      <c r="AP16" s="31" t="b">
        <v>0</v>
      </c>
      <c r="AQ16" s="23"/>
      <c r="AR16" s="23"/>
      <c r="AS16" s="23"/>
      <c r="AT16" s="23"/>
      <c r="AU16" s="23"/>
      <c r="AV16" s="23"/>
      <c r="AW16" s="23"/>
      <c r="AX16" s="23"/>
      <c r="AY16" s="23"/>
      <c r="AZ16" s="23"/>
    </row>
    <row r="17" spans="1:52" s="6" customFormat="1" ht="15.95" customHeight="1">
      <c r="A17" s="11">
        <v>9</v>
      </c>
      <c r="B17" s="12"/>
      <c r="C17" s="12"/>
      <c r="D17" s="37"/>
      <c r="E17" s="12"/>
      <c r="F17" s="79"/>
      <c r="G17" s="11"/>
      <c r="H17" s="11"/>
      <c r="I17" s="11"/>
      <c r="J17" s="25"/>
      <c r="K17" s="25"/>
      <c r="L17" s="25"/>
      <c r="M17" s="25"/>
      <c r="N17" s="25"/>
      <c r="O17" s="25"/>
      <c r="P17" s="25"/>
      <c r="Q17" s="25"/>
      <c r="R17" s="25"/>
      <c r="S17" s="13"/>
      <c r="T17" s="23"/>
      <c r="U17" s="23"/>
      <c r="V17" s="23"/>
      <c r="W17" s="23"/>
      <c r="X17" s="23"/>
      <c r="Y17" s="23"/>
      <c r="Z17" s="23"/>
      <c r="AA17" s="23"/>
      <c r="AB17" s="23"/>
      <c r="AC17" s="23"/>
      <c r="AD17" s="23"/>
      <c r="AE17" s="23"/>
      <c r="AF17" s="23"/>
      <c r="AG17" s="23"/>
      <c r="AH17" s="29" t="b">
        <v>0</v>
      </c>
      <c r="AI17" s="30" t="b">
        <v>0</v>
      </c>
      <c r="AJ17" s="30" t="b">
        <v>0</v>
      </c>
      <c r="AK17" s="30" t="b">
        <v>0</v>
      </c>
      <c r="AL17" s="30" t="b">
        <v>0</v>
      </c>
      <c r="AM17" s="30" t="b">
        <v>0</v>
      </c>
      <c r="AN17" s="30" t="b">
        <v>0</v>
      </c>
      <c r="AO17" s="30" t="b">
        <v>0</v>
      </c>
      <c r="AP17" s="31" t="b">
        <v>0</v>
      </c>
      <c r="AQ17" s="23"/>
      <c r="AR17" s="23"/>
      <c r="AS17" s="23"/>
      <c r="AT17" s="23"/>
      <c r="AU17" s="23"/>
      <c r="AV17" s="23"/>
      <c r="AW17" s="23"/>
      <c r="AX17" s="23"/>
      <c r="AY17" s="23"/>
      <c r="AZ17" s="23"/>
    </row>
    <row r="18" spans="1:52" s="6" customFormat="1" ht="15.95" customHeight="1">
      <c r="A18" s="11">
        <v>10</v>
      </c>
      <c r="B18" s="12"/>
      <c r="C18" s="12"/>
      <c r="D18" s="37"/>
      <c r="E18" s="12"/>
      <c r="F18" s="79"/>
      <c r="G18" s="11"/>
      <c r="H18" s="11"/>
      <c r="I18" s="11"/>
      <c r="J18" s="25"/>
      <c r="K18" s="25"/>
      <c r="L18" s="25"/>
      <c r="M18" s="25"/>
      <c r="N18" s="25"/>
      <c r="O18" s="25"/>
      <c r="P18" s="25"/>
      <c r="Q18" s="25"/>
      <c r="R18" s="25"/>
      <c r="S18" s="13"/>
      <c r="T18" s="23"/>
      <c r="U18" s="23"/>
      <c r="V18" s="23"/>
      <c r="W18" s="23"/>
      <c r="X18" s="23"/>
      <c r="Y18" s="23"/>
      <c r="Z18" s="23"/>
      <c r="AA18" s="23"/>
      <c r="AB18" s="23"/>
      <c r="AC18" s="23"/>
      <c r="AD18" s="23"/>
      <c r="AE18" s="23"/>
      <c r="AF18" s="23"/>
      <c r="AG18" s="23"/>
      <c r="AH18" s="29" t="b">
        <v>0</v>
      </c>
      <c r="AI18" s="30" t="b">
        <v>0</v>
      </c>
      <c r="AJ18" s="30" t="b">
        <v>0</v>
      </c>
      <c r="AK18" s="30" t="b">
        <v>0</v>
      </c>
      <c r="AL18" s="30" t="b">
        <v>0</v>
      </c>
      <c r="AM18" s="30" t="b">
        <v>0</v>
      </c>
      <c r="AN18" s="30" t="b">
        <v>0</v>
      </c>
      <c r="AO18" s="30" t="b">
        <v>0</v>
      </c>
      <c r="AP18" s="31" t="b">
        <v>0</v>
      </c>
      <c r="AQ18" s="23"/>
      <c r="AR18" s="23"/>
      <c r="AS18" s="23"/>
      <c r="AT18" s="23"/>
      <c r="AU18" s="23"/>
      <c r="AV18" s="23"/>
      <c r="AW18" s="23"/>
      <c r="AX18" s="23"/>
      <c r="AY18" s="23"/>
      <c r="AZ18" s="23"/>
    </row>
    <row r="19" spans="1:52" s="6" customFormat="1" ht="15.95" customHeight="1">
      <c r="A19" s="11">
        <v>11</v>
      </c>
      <c r="B19" s="12"/>
      <c r="C19" s="12"/>
      <c r="D19" s="37"/>
      <c r="E19" s="12"/>
      <c r="F19" s="79"/>
      <c r="G19" s="11"/>
      <c r="H19" s="11"/>
      <c r="I19" s="11"/>
      <c r="J19" s="25"/>
      <c r="K19" s="25"/>
      <c r="L19" s="25"/>
      <c r="M19" s="25"/>
      <c r="N19" s="25"/>
      <c r="O19" s="25"/>
      <c r="P19" s="25"/>
      <c r="Q19" s="25"/>
      <c r="R19" s="25"/>
      <c r="S19" s="13"/>
      <c r="T19" s="23"/>
      <c r="U19" s="23"/>
      <c r="V19" s="23"/>
      <c r="W19" s="23"/>
      <c r="X19" s="23"/>
      <c r="Y19" s="23"/>
      <c r="Z19" s="23"/>
      <c r="AA19" s="23"/>
      <c r="AB19" s="23"/>
      <c r="AC19" s="23"/>
      <c r="AD19" s="23"/>
      <c r="AE19" s="23"/>
      <c r="AF19" s="23"/>
      <c r="AG19" s="23"/>
      <c r="AH19" s="29" t="b">
        <v>0</v>
      </c>
      <c r="AI19" s="30" t="b">
        <v>0</v>
      </c>
      <c r="AJ19" s="30" t="b">
        <v>0</v>
      </c>
      <c r="AK19" s="30" t="b">
        <v>0</v>
      </c>
      <c r="AL19" s="30" t="b">
        <v>0</v>
      </c>
      <c r="AM19" s="30" t="b">
        <v>0</v>
      </c>
      <c r="AN19" s="30" t="b">
        <v>0</v>
      </c>
      <c r="AO19" s="30" t="b">
        <v>0</v>
      </c>
      <c r="AP19" s="31" t="b">
        <v>0</v>
      </c>
      <c r="AQ19" s="23"/>
      <c r="AR19" s="23"/>
      <c r="AS19" s="23"/>
      <c r="AT19" s="23"/>
      <c r="AU19" s="23"/>
      <c r="AV19" s="23"/>
      <c r="AW19" s="23"/>
      <c r="AX19" s="23"/>
      <c r="AY19" s="23"/>
      <c r="AZ19" s="23"/>
    </row>
    <row r="20" spans="1:52" s="6" customFormat="1" ht="15.95" customHeight="1">
      <c r="A20" s="11">
        <v>12</v>
      </c>
      <c r="B20" s="12"/>
      <c r="C20" s="12"/>
      <c r="D20" s="37"/>
      <c r="E20" s="12"/>
      <c r="F20" s="79"/>
      <c r="G20" s="11"/>
      <c r="H20" s="11"/>
      <c r="I20" s="11"/>
      <c r="J20" s="25"/>
      <c r="K20" s="25"/>
      <c r="L20" s="25"/>
      <c r="M20" s="25"/>
      <c r="N20" s="25"/>
      <c r="O20" s="25"/>
      <c r="P20" s="25"/>
      <c r="Q20" s="25"/>
      <c r="R20" s="25"/>
      <c r="S20" s="13"/>
      <c r="T20" s="23"/>
      <c r="U20" s="23"/>
      <c r="V20" s="23"/>
      <c r="W20" s="23"/>
      <c r="X20" s="23"/>
      <c r="Y20" s="23"/>
      <c r="Z20" s="23"/>
      <c r="AA20" s="23"/>
      <c r="AB20" s="23"/>
      <c r="AC20" s="23"/>
      <c r="AD20" s="23"/>
      <c r="AE20" s="23"/>
      <c r="AF20" s="23"/>
      <c r="AG20" s="23"/>
      <c r="AH20" s="29" t="b">
        <v>0</v>
      </c>
      <c r="AI20" s="30" t="b">
        <v>0</v>
      </c>
      <c r="AJ20" s="30" t="b">
        <v>0</v>
      </c>
      <c r="AK20" s="30" t="b">
        <v>0</v>
      </c>
      <c r="AL20" s="30" t="b">
        <v>0</v>
      </c>
      <c r="AM20" s="30" t="b">
        <v>0</v>
      </c>
      <c r="AN20" s="30" t="b">
        <v>0</v>
      </c>
      <c r="AO20" s="30" t="b">
        <v>0</v>
      </c>
      <c r="AP20" s="31" t="b">
        <v>0</v>
      </c>
      <c r="AQ20" s="23"/>
      <c r="AR20" s="23"/>
      <c r="AS20" s="23"/>
      <c r="AT20" s="23"/>
      <c r="AU20" s="23"/>
      <c r="AV20" s="23"/>
      <c r="AW20" s="23"/>
      <c r="AX20" s="23"/>
      <c r="AY20" s="23"/>
      <c r="AZ20" s="23"/>
    </row>
    <row r="21" spans="1:52" s="6" customFormat="1" ht="15.95" customHeight="1">
      <c r="A21" s="11">
        <v>13</v>
      </c>
      <c r="B21" s="12"/>
      <c r="C21" s="12"/>
      <c r="D21" s="37"/>
      <c r="E21" s="12"/>
      <c r="F21" s="11"/>
      <c r="G21" s="11"/>
      <c r="H21" s="11"/>
      <c r="I21" s="11"/>
      <c r="J21" s="25"/>
      <c r="K21" s="25"/>
      <c r="L21" s="25"/>
      <c r="M21" s="25"/>
      <c r="N21" s="25"/>
      <c r="O21" s="25"/>
      <c r="P21" s="25"/>
      <c r="Q21" s="25"/>
      <c r="R21" s="25"/>
      <c r="S21" s="13"/>
      <c r="T21" s="23"/>
      <c r="U21" s="23"/>
      <c r="V21" s="23"/>
      <c r="W21" s="23"/>
      <c r="X21" s="23"/>
      <c r="Y21" s="23"/>
      <c r="Z21" s="185" t="s">
        <v>68</v>
      </c>
      <c r="AA21" s="185"/>
      <c r="AB21" s="185"/>
      <c r="AC21" s="23"/>
      <c r="AD21" s="23"/>
      <c r="AE21" s="23"/>
      <c r="AF21" s="23"/>
      <c r="AG21" s="23"/>
      <c r="AH21" s="29" t="b">
        <v>0</v>
      </c>
      <c r="AI21" s="30" t="b">
        <v>0</v>
      </c>
      <c r="AJ21" s="30" t="b">
        <v>0</v>
      </c>
      <c r="AK21" s="30" t="b">
        <v>0</v>
      </c>
      <c r="AL21" s="30" t="b">
        <v>0</v>
      </c>
      <c r="AM21" s="30" t="b">
        <v>0</v>
      </c>
      <c r="AN21" s="30" t="b">
        <v>0</v>
      </c>
      <c r="AO21" s="30" t="b">
        <v>0</v>
      </c>
      <c r="AP21" s="31" t="b">
        <v>0</v>
      </c>
      <c r="AQ21" s="23"/>
      <c r="AR21" s="23"/>
      <c r="AS21" s="23"/>
      <c r="AT21" s="23"/>
      <c r="AU21" s="23"/>
      <c r="AV21" s="23"/>
      <c r="AW21" s="23"/>
      <c r="AX21" s="23"/>
      <c r="AY21" s="23"/>
      <c r="AZ21" s="23"/>
    </row>
    <row r="22" spans="1:52" s="6" customFormat="1" ht="15.95" customHeight="1">
      <c r="A22" s="11">
        <v>14</v>
      </c>
      <c r="B22" s="12"/>
      <c r="C22" s="12"/>
      <c r="D22" s="37"/>
      <c r="E22" s="12"/>
      <c r="F22" s="11"/>
      <c r="G22" s="11"/>
      <c r="H22" s="11"/>
      <c r="I22" s="11"/>
      <c r="J22" s="25"/>
      <c r="K22" s="25"/>
      <c r="L22" s="25"/>
      <c r="M22" s="25"/>
      <c r="N22" s="25"/>
      <c r="O22" s="25"/>
      <c r="P22" s="25"/>
      <c r="Q22" s="25"/>
      <c r="R22" s="25"/>
      <c r="S22" s="13"/>
      <c r="T22" s="23"/>
      <c r="U22" s="23"/>
      <c r="V22" s="23"/>
      <c r="W22" s="23"/>
      <c r="X22" s="23"/>
      <c r="Y22" s="23"/>
      <c r="Z22" s="23"/>
      <c r="AA22" s="23"/>
      <c r="AB22" s="23"/>
      <c r="AC22" s="23"/>
      <c r="AD22" s="23"/>
      <c r="AE22" s="23"/>
      <c r="AF22" s="23"/>
      <c r="AG22" s="23"/>
      <c r="AH22" s="29" t="b">
        <v>0</v>
      </c>
      <c r="AI22" s="30" t="b">
        <v>0</v>
      </c>
      <c r="AJ22" s="30" t="b">
        <v>0</v>
      </c>
      <c r="AK22" s="30" t="b">
        <v>0</v>
      </c>
      <c r="AL22" s="30" t="b">
        <v>0</v>
      </c>
      <c r="AM22" s="30" t="b">
        <v>0</v>
      </c>
      <c r="AN22" s="30" t="b">
        <v>0</v>
      </c>
      <c r="AO22" s="30" t="b">
        <v>0</v>
      </c>
      <c r="AP22" s="31" t="b">
        <v>0</v>
      </c>
      <c r="AQ22" s="23"/>
      <c r="AR22" s="23"/>
      <c r="AS22" s="23"/>
      <c r="AT22" s="23"/>
      <c r="AU22" s="23"/>
      <c r="AV22" s="23"/>
      <c r="AW22" s="23"/>
      <c r="AX22" s="23"/>
      <c r="AY22" s="23"/>
      <c r="AZ22" s="23"/>
    </row>
    <row r="23" spans="1:52" s="6" customFormat="1" ht="15.95" customHeight="1" thickBot="1">
      <c r="A23" s="11">
        <v>15</v>
      </c>
      <c r="B23" s="12"/>
      <c r="C23" s="12"/>
      <c r="D23" s="37"/>
      <c r="E23" s="12"/>
      <c r="F23" s="11"/>
      <c r="G23" s="11"/>
      <c r="H23" s="11"/>
      <c r="I23" s="11"/>
      <c r="J23" s="25"/>
      <c r="K23" s="25"/>
      <c r="L23" s="25"/>
      <c r="M23" s="25"/>
      <c r="N23" s="25"/>
      <c r="O23" s="25"/>
      <c r="P23" s="25"/>
      <c r="Q23" s="25"/>
      <c r="R23" s="25"/>
      <c r="S23" s="13"/>
      <c r="T23" s="23"/>
      <c r="U23" s="23"/>
      <c r="V23" s="23"/>
      <c r="W23" s="23"/>
      <c r="X23" s="23"/>
      <c r="Y23" s="23"/>
      <c r="Z23" s="181" t="s">
        <v>30</v>
      </c>
      <c r="AA23" s="181"/>
      <c r="AB23" s="181"/>
      <c r="AC23" s="23"/>
      <c r="AD23" s="23"/>
      <c r="AE23" s="23"/>
      <c r="AF23" s="23"/>
      <c r="AG23" s="23"/>
      <c r="AH23" s="32" t="b">
        <v>0</v>
      </c>
      <c r="AI23" s="33" t="b">
        <v>0</v>
      </c>
      <c r="AJ23" s="33" t="b">
        <v>0</v>
      </c>
      <c r="AK23" s="33" t="b">
        <v>0</v>
      </c>
      <c r="AL23" s="33" t="b">
        <v>0</v>
      </c>
      <c r="AM23" s="33" t="b">
        <v>0</v>
      </c>
      <c r="AN23" s="33" t="b">
        <v>0</v>
      </c>
      <c r="AO23" s="33" t="b">
        <v>0</v>
      </c>
      <c r="AP23" s="34" t="b">
        <v>0</v>
      </c>
      <c r="AQ23" s="23"/>
      <c r="AR23" s="23"/>
      <c r="AS23" s="23"/>
      <c r="AT23" s="23"/>
      <c r="AU23" s="23"/>
      <c r="AV23" s="23"/>
      <c r="AW23" s="23"/>
      <c r="AX23" s="23"/>
      <c r="AY23" s="23"/>
      <c r="AZ23" s="23"/>
    </row>
    <row r="24" spans="1:52" ht="16.5" thickTop="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52"/>
      <c r="AA24" s="52" t="s">
        <v>93</v>
      </c>
      <c r="AB24" s="52"/>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5.7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82" t="s">
        <v>66</v>
      </c>
      <c r="AA25" s="182"/>
      <c r="AB25" s="182"/>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18.75">
      <c r="A26" s="15"/>
      <c r="B26" s="16"/>
      <c r="C26" s="16"/>
      <c r="D26" s="16"/>
      <c r="E26" s="16"/>
      <c r="F26" s="16"/>
      <c r="G26" s="16"/>
      <c r="H26" s="16"/>
      <c r="I26" s="16"/>
      <c r="J26" s="16"/>
      <c r="K26" s="16"/>
      <c r="L26" s="16"/>
      <c r="M26" s="16"/>
      <c r="N26" s="16"/>
      <c r="O26" s="16"/>
      <c r="P26" s="16"/>
      <c r="Q26" s="16"/>
      <c r="R26" s="16"/>
      <c r="S26" s="16"/>
      <c r="T26" s="16"/>
      <c r="U26" s="16"/>
      <c r="V26" s="16"/>
      <c r="W26" s="16"/>
      <c r="X26" s="16"/>
      <c r="Y26" s="183" t="s">
        <v>67</v>
      </c>
      <c r="Z26" s="184"/>
      <c r="AA26" s="184"/>
      <c r="AB26" s="184"/>
      <c r="AC26" s="184"/>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sheetData>
  <sheetProtection password="C1FB" sheet="1" objects="1" scenarios="1" formatCells="0" formatColumns="0" formatRows="0" selectLockedCells="1"/>
  <mergeCells count="25">
    <mergeCell ref="Z23:AB23"/>
    <mergeCell ref="Z25:AB25"/>
    <mergeCell ref="Y26:AC26"/>
    <mergeCell ref="Z21:AB21"/>
    <mergeCell ref="A7:A8"/>
    <mergeCell ref="B7:B8"/>
    <mergeCell ref="C7:C8"/>
    <mergeCell ref="Y9:AA11"/>
    <mergeCell ref="D7:D8"/>
    <mergeCell ref="E7:E8"/>
    <mergeCell ref="G7:G8"/>
    <mergeCell ref="S7:S8"/>
    <mergeCell ref="H7:R7"/>
    <mergeCell ref="F7:F8"/>
    <mergeCell ref="C1:I1"/>
    <mergeCell ref="A3:B3"/>
    <mergeCell ref="A4:B4"/>
    <mergeCell ref="A5:B5"/>
    <mergeCell ref="C3:M3"/>
    <mergeCell ref="K4:M4"/>
    <mergeCell ref="K5:M5"/>
    <mergeCell ref="C4:F4"/>
    <mergeCell ref="C5:F5"/>
    <mergeCell ref="G4:J4"/>
    <mergeCell ref="G5:J5"/>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P30"/>
  <sheetViews>
    <sheetView workbookViewId="0">
      <selection activeCell="S15" sqref="S15"/>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0" width="9.140625" style="1"/>
    <col min="21" max="21" width="9.140625" style="1" customWidth="1"/>
    <col min="22"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74</v>
      </c>
      <c r="AA1" s="5"/>
    </row>
    <row r="2" spans="1:40" ht="18.75">
      <c r="A2" s="62"/>
      <c r="B2" s="239" t="s">
        <v>56</v>
      </c>
      <c r="C2" s="239"/>
      <c r="D2" s="239"/>
      <c r="E2" s="239"/>
      <c r="F2" s="239"/>
      <c r="G2" s="239"/>
      <c r="H2" s="239"/>
      <c r="I2" s="239"/>
      <c r="J2" s="239"/>
      <c r="K2" s="239"/>
      <c r="L2" s="239"/>
      <c r="M2" s="239"/>
      <c r="N2" s="239"/>
      <c r="O2" s="239"/>
      <c r="P2" s="239"/>
      <c r="Q2" s="239"/>
      <c r="R2" s="63"/>
      <c r="S2" s="49"/>
      <c r="T2" s="49"/>
      <c r="U2" s="49"/>
      <c r="V2" s="49"/>
      <c r="X2" s="1" t="s">
        <v>73</v>
      </c>
      <c r="AA2" s="5"/>
      <c r="AD2" s="1" t="s">
        <v>3</v>
      </c>
      <c r="AE2" s="1" t="b">
        <v>0</v>
      </c>
    </row>
    <row r="3" spans="1:40" ht="18.75">
      <c r="A3" s="64"/>
      <c r="B3" s="240" t="str">
        <f>CONCATENATE("OFFICE OF THE PRINCIPAL , ",Master!C3)</f>
        <v>OFFICE OF THE PRINCIPAL , Government Senior Secondry School Inderwara (RANI), Pali</v>
      </c>
      <c r="C3" s="240"/>
      <c r="D3" s="240"/>
      <c r="E3" s="240"/>
      <c r="F3" s="240"/>
      <c r="G3" s="240"/>
      <c r="H3" s="240"/>
      <c r="I3" s="240"/>
      <c r="J3" s="240"/>
      <c r="K3" s="240"/>
      <c r="L3" s="240"/>
      <c r="M3" s="240"/>
      <c r="N3" s="240"/>
      <c r="O3" s="240"/>
      <c r="P3" s="240"/>
      <c r="Q3" s="240"/>
      <c r="R3" s="65"/>
      <c r="S3" s="49"/>
      <c r="T3" s="49"/>
      <c r="U3" s="49"/>
      <c r="V3" s="49"/>
      <c r="X3" s="1" t="s">
        <v>75</v>
      </c>
      <c r="AA3" s="5"/>
      <c r="AE3" s="1" t="b">
        <v>1</v>
      </c>
    </row>
    <row r="4" spans="1:40" ht="18.75">
      <c r="A4" s="64"/>
      <c r="B4" s="66"/>
      <c r="C4" s="224" t="s">
        <v>57</v>
      </c>
      <c r="D4" s="224"/>
      <c r="E4" s="224"/>
      <c r="F4" s="241" t="str">
        <f>IF(ISNA(VLOOKUP($Q$4,Master!A$9:AO$78,2,FALSE)),"",VLOOKUP($Q$4,Master!A$9:AO$78,2,FALSE))</f>
        <v>PEERARAM</v>
      </c>
      <c r="G4" s="241"/>
      <c r="H4" s="241"/>
      <c r="I4" s="224" t="s">
        <v>36</v>
      </c>
      <c r="J4" s="224"/>
      <c r="K4" s="241" t="str">
        <f>IF(ISNA(VLOOKUP($Q$4,Master!A$9:AO$78,3,FALSE)),"",VLOOKUP($Q$4,Master!A$9:AO$78,3,FALSE))</f>
        <v>Sr. Teacher</v>
      </c>
      <c r="L4" s="241"/>
      <c r="M4" s="241"/>
      <c r="N4" s="241"/>
      <c r="O4" s="242" t="s">
        <v>77</v>
      </c>
      <c r="P4" s="242"/>
      <c r="Q4" s="84">
        <v>1</v>
      </c>
      <c r="R4" s="65"/>
      <c r="S4" s="223"/>
      <c r="T4" s="223"/>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23800</v>
      </c>
      <c r="AD4" s="1">
        <f>IF(ISNA(VLOOKUP($Q$4,Master!A$9:AO$78,9,FALSE)),"",VLOOKUP($Q$4,Master!A$9:AO$78,9,FALSE))</f>
        <v>61500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224" t="s">
        <v>58</v>
      </c>
      <c r="C5" s="224"/>
      <c r="D5" s="224"/>
      <c r="E5" s="224"/>
      <c r="F5" s="224"/>
      <c r="G5" s="224"/>
      <c r="H5" s="224"/>
      <c r="I5" s="224"/>
      <c r="J5" s="224"/>
      <c r="K5" s="224"/>
      <c r="L5" s="224"/>
      <c r="M5" s="224"/>
      <c r="N5" s="224"/>
      <c r="O5" s="224"/>
      <c r="P5" s="224"/>
      <c r="Q5" s="224"/>
      <c r="R5" s="65"/>
      <c r="S5" s="50"/>
      <c r="T5" s="50"/>
      <c r="U5" s="50"/>
      <c r="V5" s="50"/>
      <c r="AA5" s="5"/>
    </row>
    <row r="6" spans="1:40" ht="18.75">
      <c r="A6" s="64"/>
      <c r="B6" s="67"/>
      <c r="C6" s="225"/>
      <c r="D6" s="225"/>
      <c r="E6" s="225"/>
      <c r="F6" s="225"/>
      <c r="G6" s="225"/>
      <c r="H6" s="225"/>
      <c r="I6" s="225"/>
      <c r="J6" s="225"/>
      <c r="K6" s="225"/>
      <c r="L6" s="225"/>
      <c r="M6" s="225"/>
      <c r="N6" s="225"/>
      <c r="O6" s="225"/>
      <c r="P6" s="225"/>
      <c r="Q6" s="67"/>
      <c r="R6" s="68"/>
      <c r="X6" s="1" t="s">
        <v>1</v>
      </c>
      <c r="Y6" s="1" t="s">
        <v>4</v>
      </c>
      <c r="Z6" s="1" t="s">
        <v>0</v>
      </c>
      <c r="AA6" s="5"/>
    </row>
    <row r="7" spans="1:40" ht="20.25">
      <c r="A7" s="69"/>
      <c r="B7" s="70"/>
      <c r="C7" s="70"/>
      <c r="D7" s="70"/>
      <c r="E7" s="232" t="s">
        <v>75</v>
      </c>
      <c r="F7" s="232"/>
      <c r="G7" s="232"/>
      <c r="H7" s="232"/>
      <c r="I7" s="232"/>
      <c r="J7" s="232"/>
      <c r="K7" s="232"/>
      <c r="L7" s="232"/>
      <c r="M7" s="232"/>
      <c r="N7" s="70"/>
      <c r="O7" s="70"/>
      <c r="P7" s="70"/>
      <c r="Q7" s="4"/>
      <c r="R7" s="68"/>
      <c r="X7" s="1" t="s">
        <v>3</v>
      </c>
      <c r="Y7" s="1" t="s">
        <v>5</v>
      </c>
      <c r="Z7" s="1" t="s">
        <v>2</v>
      </c>
      <c r="AA7" s="5"/>
      <c r="AC7" s="54">
        <f>IF(ISNA(VLOOKUP($Q$4,Master!A$9:AO$78,6,FALSE)),"",VLOOKUP($Q$4,Master!A$9:AO$78,6,FALSE))</f>
        <v>42736</v>
      </c>
    </row>
    <row r="8" spans="1:40" ht="27.75" customHeight="1">
      <c r="A8" s="235" t="s">
        <v>6</v>
      </c>
      <c r="B8" s="236" t="s">
        <v>7</v>
      </c>
      <c r="C8" s="237" t="s">
        <v>8</v>
      </c>
      <c r="D8" s="237"/>
      <c r="E8" s="237"/>
      <c r="F8" s="237" t="s">
        <v>9</v>
      </c>
      <c r="G8" s="237"/>
      <c r="H8" s="237"/>
      <c r="I8" s="238" t="s">
        <v>10</v>
      </c>
      <c r="J8" s="238"/>
      <c r="K8" s="238"/>
      <c r="L8" s="233" t="str">
        <f>IF(AND($Q$4=""),"",IF(AND(F4=""),"",IF(AND(E7=""),"",IF(AND(E7="First installment of Arrear on 01-04-2018 (30% Amount)"),"First install. of 30% Amount",IF(AND(E7="Second installment of Arrear on 01-07-2018 (30% Amount)"),"Second install. of 30% Amount",IF(AND(E7="Third installment of Arrear on 01-10-2018 (40% Amount)"),"Third install. of 40% Amount"))))))</f>
        <v>Third install. of 40% Amount</v>
      </c>
      <c r="M8" s="226" t="s">
        <v>70</v>
      </c>
      <c r="N8" s="227"/>
      <c r="O8" s="228"/>
      <c r="P8" s="229" t="s">
        <v>13</v>
      </c>
      <c r="Q8" s="230" t="s">
        <v>14</v>
      </c>
      <c r="R8" s="231" t="s">
        <v>15</v>
      </c>
      <c r="AA8" s="5"/>
      <c r="AC8" s="54">
        <v>42736</v>
      </c>
    </row>
    <row r="9" spans="1:40" ht="33.75" customHeight="1">
      <c r="A9" s="235"/>
      <c r="B9" s="236"/>
      <c r="C9" s="83" t="s">
        <v>16</v>
      </c>
      <c r="D9" s="83" t="s">
        <v>17</v>
      </c>
      <c r="E9" s="83" t="s">
        <v>18</v>
      </c>
      <c r="F9" s="83" t="s">
        <v>16</v>
      </c>
      <c r="G9" s="83" t="s">
        <v>17</v>
      </c>
      <c r="H9" s="83" t="s">
        <v>18</v>
      </c>
      <c r="I9" s="83" t="s">
        <v>16</v>
      </c>
      <c r="J9" s="83" t="s">
        <v>17</v>
      </c>
      <c r="K9" s="83" t="s">
        <v>18</v>
      </c>
      <c r="L9" s="234"/>
      <c r="M9" s="60" t="str">
        <f>IF(AND($Z$4=$Y$6),"CREDIT IN GPF",IF(AND($Z$4=$Y$7),"NPS Ded. 30%",""))</f>
        <v>CREDIT IN GPF</v>
      </c>
      <c r="N9" s="59" t="s">
        <v>11</v>
      </c>
      <c r="O9" s="60" t="s">
        <v>12</v>
      </c>
      <c r="P9" s="229"/>
      <c r="Q9" s="230"/>
      <c r="R9" s="231"/>
      <c r="AA9" s="5"/>
    </row>
    <row r="10" spans="1:40" ht="18" customHeight="1">
      <c r="A10" s="71">
        <v>1</v>
      </c>
      <c r="B10" s="42" t="s">
        <v>19</v>
      </c>
      <c r="C10" s="85">
        <f>IF(AND($Q$4=""),"",IF(AND(AD13=""),"",IF(AND(AH$13&gt;0,AI$13=1),AD13/31*AJ$13,AD13)))</f>
        <v>61500</v>
      </c>
      <c r="D10" s="86">
        <f>IF(AND($Q$4=""),"",IF(AND(C10=""),"",IF(AND($AA$4=$X$7),"",ROUND((C10*4%),0))))</f>
        <v>2460</v>
      </c>
      <c r="E10" s="86">
        <f>IF(AND($Q$4=""),"",IF(AND(C10=""),"",SUM(C10:D10)))</f>
        <v>63960</v>
      </c>
      <c r="F10" s="85">
        <f>IF(AND($Q$4=""),"",IF(AND(AF13=""),"",IF(AND(AH$13&gt;0,AI$13=1),AF13/31*AJ$13,AF13)))</f>
        <v>23800</v>
      </c>
      <c r="G10" s="86">
        <f>IF(AND($Q$4=""),"",IF(AND(C10=""),"",IF(AND($AA$4=$X$7),"",ROUND((F10*136%),0))))</f>
        <v>32368</v>
      </c>
      <c r="H10" s="86">
        <f>IF(AND($Q$4=""),"",IF(AND(F10=""),"",SUM(F10:G10)))</f>
        <v>56168</v>
      </c>
      <c r="I10" s="85">
        <f>IF(AND(C10=""),"",IF(AND(F10=""),"",C10-F10))</f>
        <v>37700</v>
      </c>
      <c r="J10" s="85">
        <f>IF(AND(D10=""),"",IF(AND(G10=""),"",D10-G10))</f>
        <v>-29908</v>
      </c>
      <c r="K10" s="85">
        <f t="shared" ref="K10:K18" si="0">IF(AND($Q$4=""),"",IF(AND(I10=""),"",SUM(I10:J10)))</f>
        <v>7792</v>
      </c>
      <c r="L10" s="85">
        <f>IF(AND($Q$4=""),"",IF(AND(I10=""),"",IF(AND(F$4=""),"",IF(AND(E$7=""),"",IF(AND(E$7=X$1),ROUND(K10*30%,0),IF(AND(E$7=X$2),ROUND(K10*30%,0),IF(AND(E$7=X$3),ROUND(K10*40%,0))))))))</f>
        <v>3117</v>
      </c>
      <c r="M10" s="131">
        <f>IF(AND(C10=""),"",IF(AND(K10=""),"",IF(AND($Z$4=$Y$6),L10-ROUND(((L10)*10%),0),ROUND(((L10)*10%),0))))</f>
        <v>2805</v>
      </c>
      <c r="N10" s="131">
        <f>IF(AND(C10=""),"",IF(AND(C10=0),"",IF(AND(K10=""),"",IF(AND($Z$4=$Y$6),ROUND(((L10)*10%),0),ROUND(((L10-M10)*$AB$4%),0)))))</f>
        <v>312</v>
      </c>
      <c r="O10" s="86">
        <f>IF(AND(K10=""),"",IF(AND(M10=""),"",IF(AND(N10=""),"",SUM(M10+N10))))</f>
        <v>3117</v>
      </c>
      <c r="P10" s="87">
        <f>IF(AND(K10=""),"",IF(AND(C10=0),"",IF(AND(O10=""),L10,L10-O10)))</f>
        <v>0</v>
      </c>
      <c r="Q10" s="129"/>
      <c r="R10" s="130"/>
      <c r="V10" s="1" t="str">
        <f>IF(AND($Z$4=$Y$6),"CREDIT IN GPF",IF(AND($Z$4=$Y$7),"NPS Ded.",""))</f>
        <v>CREDIT IN GPF</v>
      </c>
      <c r="AA10" s="5"/>
      <c r="AL10" s="1">
        <f>IF(AND(C10=""),"",IF(AND(C10=0),"",IF(AND(K10=""),"",ROUND(((L10-M10)*$AB$4%),0))))</f>
        <v>31</v>
      </c>
    </row>
    <row r="11" spans="1:40" ht="18" customHeight="1">
      <c r="A11" s="71">
        <v>2</v>
      </c>
      <c r="B11" s="42" t="s">
        <v>20</v>
      </c>
      <c r="C11" s="85">
        <f>IF(AND($Q$4=""),"",IF(AND(AD14=""),"",IF(AND(AH$13&gt;0,AI$13=2),AD14/28*AJ$13,AD14)))</f>
        <v>61500</v>
      </c>
      <c r="D11" s="80">
        <f t="shared" ref="D11:D15" si="1">IF(AND($Q$4=""),"",IF(AND(C11=""),"",IF(AND($AA$4=$X$7),"",ROUND((C11*4%),0))))</f>
        <v>2460</v>
      </c>
      <c r="E11" s="86">
        <f t="shared" ref="E11:E18" si="2">IF(AND($Q$4=""),"",IF(AND(C11=""),"",SUM(C11:D11)))</f>
        <v>63960</v>
      </c>
      <c r="F11" s="85">
        <f>IF(AND($Q$4=""),"",IF(AND(AF14=""),"",IF(AND(AH$13&gt;0,AI$13=2),AF14/28*AJ$13,AF14)))</f>
        <v>23800</v>
      </c>
      <c r="G11" s="80">
        <f t="shared" ref="G11:G15" si="3">IF(AND($Q$4=""),"",IF(AND(C11=""),"",IF(AND($AA$4=$X$7),"",ROUND((F11*136%),0))))</f>
        <v>32368</v>
      </c>
      <c r="H11" s="86">
        <f t="shared" ref="H11:H18" si="4">IF(AND($Q$4=""),"",IF(AND(F11=""),"",SUM(F11:G11)))</f>
        <v>56168</v>
      </c>
      <c r="I11" s="85">
        <f t="shared" ref="I11:J18" si="5">IF(AND(C11=""),"",IF(AND(F11=""),"",C11-F11))</f>
        <v>37700</v>
      </c>
      <c r="J11" s="85">
        <f t="shared" si="5"/>
        <v>-29908</v>
      </c>
      <c r="K11" s="85">
        <f t="shared" si="0"/>
        <v>7792</v>
      </c>
      <c r="L11" s="85">
        <f t="shared" ref="L11:L18" si="6">IF(AND($Q$4=""),"",IF(AND(I11=""),"",IF(AND(F$4=""),"",IF(AND(E$7=""),"",IF(AND(E$7=X$1),ROUND(K11*30%,0),IF(AND(E$7=X$2),ROUND(K11*30%,0),IF(AND(E$7=X$3),ROUND(K11*40%,0))))))))</f>
        <v>3117</v>
      </c>
      <c r="M11" s="131">
        <f t="shared" ref="M11:M18" si="7">IF(AND(C11=""),"",IF(AND(K11=""),"",IF(AND($Z$4=$Y$6),L11-ROUND(((L11)*10%),0),ROUND(((L11)*10%),0))))</f>
        <v>2805</v>
      </c>
      <c r="N11" s="131">
        <f t="shared" ref="N11:N18" si="8">IF(AND(C11=""),"",IF(AND(C11=0),"",IF(AND(K11=""),"",IF(AND($Z$4=$Y$6),ROUND(((L11)*10%),0),ROUND(((L11-M11)*$AB$4%),0)))))</f>
        <v>312</v>
      </c>
      <c r="O11" s="86">
        <f t="shared" ref="O11:O18" si="9">IF(AND(K11=""),"",IF(AND(M11=""),"",IF(AND(N11=""),"",SUM(M11+N11))))</f>
        <v>3117</v>
      </c>
      <c r="P11" s="87">
        <f t="shared" ref="P11:P18" si="10">IF(AND(K11=""),"",IF(AND(C11=0),"",IF(AND(O11=""),L11,L11-O11)))</f>
        <v>0</v>
      </c>
      <c r="Q11" s="129"/>
      <c r="R11" s="130"/>
      <c r="W11" s="1">
        <v>30</v>
      </c>
      <c r="AA11" s="5"/>
    </row>
    <row r="12" spans="1:40" ht="18" customHeight="1">
      <c r="A12" s="71">
        <v>3</v>
      </c>
      <c r="B12" s="42" t="s">
        <v>21</v>
      </c>
      <c r="C12" s="85">
        <f>IF(AND($Q$4=""),"",IF(AND(AD15=""),"",IF(AND(AH$13&gt;0,AI$13=3),AD15/31*AJ$13,AD15)))</f>
        <v>61500</v>
      </c>
      <c r="D12" s="80">
        <f t="shared" si="1"/>
        <v>2460</v>
      </c>
      <c r="E12" s="86">
        <f t="shared" si="2"/>
        <v>63960</v>
      </c>
      <c r="F12" s="85">
        <f>IF(AND($Q$4=""),"",IF(AND(AF15=""),"",IF(AND(AH$13&gt;0,AI$13=3),AF15/31*AJ$13,AF15)))</f>
        <v>23800</v>
      </c>
      <c r="G12" s="80">
        <f t="shared" si="3"/>
        <v>32368</v>
      </c>
      <c r="H12" s="86">
        <f t="shared" si="4"/>
        <v>56168</v>
      </c>
      <c r="I12" s="85">
        <f t="shared" si="5"/>
        <v>37700</v>
      </c>
      <c r="J12" s="85">
        <f t="shared" si="5"/>
        <v>-29908</v>
      </c>
      <c r="K12" s="85">
        <f t="shared" si="0"/>
        <v>7792</v>
      </c>
      <c r="L12" s="85">
        <f t="shared" si="6"/>
        <v>3117</v>
      </c>
      <c r="M12" s="131">
        <f t="shared" si="7"/>
        <v>2805</v>
      </c>
      <c r="N12" s="131">
        <f t="shared" si="8"/>
        <v>312</v>
      </c>
      <c r="O12" s="86">
        <f t="shared" si="9"/>
        <v>3117</v>
      </c>
      <c r="P12" s="87">
        <f t="shared" si="10"/>
        <v>0</v>
      </c>
      <c r="Q12" s="129"/>
      <c r="R12" s="130"/>
      <c r="W12" s="1">
        <v>40</v>
      </c>
      <c r="Y12" s="2"/>
      <c r="AA12" s="5"/>
    </row>
    <row r="13" spans="1:40" ht="18" customHeight="1">
      <c r="A13" s="71">
        <v>4</v>
      </c>
      <c r="B13" s="42" t="s">
        <v>22</v>
      </c>
      <c r="C13" s="85">
        <f>IF(AND($Q$4=""),"",IF(AND(AD16=""),"",IF(AND(AH$13&gt;0,AI$13=4),AD16/30*AJ$13,AD16)))</f>
        <v>61500</v>
      </c>
      <c r="D13" s="80">
        <f t="shared" si="1"/>
        <v>2460</v>
      </c>
      <c r="E13" s="86">
        <f t="shared" si="2"/>
        <v>63960</v>
      </c>
      <c r="F13" s="85">
        <f>IF(AND($Q$4=""),"",IF(AND(AF16=""),"",IF(AND(AH$13&gt;0,AI$13=4),AF16/30*AJ$13,AF16)))</f>
        <v>23800</v>
      </c>
      <c r="G13" s="80">
        <f t="shared" si="3"/>
        <v>32368</v>
      </c>
      <c r="H13" s="86">
        <f t="shared" si="4"/>
        <v>56168</v>
      </c>
      <c r="I13" s="88">
        <f t="shared" si="5"/>
        <v>37700</v>
      </c>
      <c r="J13" s="88">
        <f t="shared" si="5"/>
        <v>-29908</v>
      </c>
      <c r="K13" s="88">
        <f t="shared" si="0"/>
        <v>7792</v>
      </c>
      <c r="L13" s="85">
        <f t="shared" si="6"/>
        <v>3117</v>
      </c>
      <c r="M13" s="131">
        <f t="shared" si="7"/>
        <v>2805</v>
      </c>
      <c r="N13" s="131">
        <f t="shared" si="8"/>
        <v>312</v>
      </c>
      <c r="O13" s="80">
        <f t="shared" si="9"/>
        <v>3117</v>
      </c>
      <c r="P13" s="87">
        <f t="shared" si="10"/>
        <v>0</v>
      </c>
      <c r="Q13" s="129"/>
      <c r="R13" s="130"/>
      <c r="AB13" s="1">
        <v>1</v>
      </c>
      <c r="AC13" s="2">
        <f>IF(ISNA(VLOOKUP($Q$4,Master!A$9:AO$78,9,FALSE)),"",VLOOKUP($Q$4,Master!A$9:AO$78,9,FALSE))</f>
        <v>61500</v>
      </c>
      <c r="AD13" s="3">
        <f>IF(AND($AE$4=$AE$2),"",IF(AND($AE$4=$AE$3),AC13,""))</f>
        <v>61500</v>
      </c>
      <c r="AE13" s="1">
        <f>IF(ISNA(VLOOKUP($Q$4,Master!A$9:AO$78,8,FALSE)),"",VLOOKUP($Q$4,Master!A$9:AO$78,8,FALSE))</f>
        <v>23800</v>
      </c>
      <c r="AF13" s="3">
        <f>IF(AND($AE$4=$AE$2),"",IF(AND($AE$4=$AE$3),AE13,""))</f>
        <v>23800</v>
      </c>
      <c r="AG13" s="54">
        <f>IF(ISNA(VLOOKUP($Q$4,Master!A$9:AO$78,6,FALSE)),"",VLOOKUP($Q$4,Master!A$9:AO$78,6,FALSE))</f>
        <v>42736</v>
      </c>
      <c r="AH13" s="1">
        <f>DAY(AG13)</f>
        <v>1</v>
      </c>
      <c r="AI13" s="1">
        <f>MONTH(AG13)</f>
        <v>1</v>
      </c>
      <c r="AJ13" s="1">
        <f>IF(AND(AI13=1),31-AH13,IF(AND(AI13=2),28-AH13,IF(AND(AI13=3),31-AH13,IF(AND(AI13=4),30-AH13,IF(AND(AI13=5),31-AH13,IF(AND(AI13=6),30-AH13,IF(AND(AI13=7),31-AH13,IF(AND(AI13=8),31-AH13,IF(AND(AI13=9),30-AH13,"")))))))))+1</f>
        <v>31</v>
      </c>
    </row>
    <row r="14" spans="1:40" ht="18" customHeight="1">
      <c r="A14" s="71">
        <v>5</v>
      </c>
      <c r="B14" s="42" t="s">
        <v>23</v>
      </c>
      <c r="C14" s="85">
        <f>IF(AND($Q$4=""),"",IF(AND(AD17=""),"",IF(AND(AH$13&gt;0,AI$13=5),AD17/31*AJ$13,AD17)))</f>
        <v>61500</v>
      </c>
      <c r="D14" s="80">
        <f t="shared" si="1"/>
        <v>2460</v>
      </c>
      <c r="E14" s="86">
        <f t="shared" si="2"/>
        <v>63960</v>
      </c>
      <c r="F14" s="85">
        <f>IF(AND($Q$4=""),"",IF(AND(AF17=""),"",IF(AND(AH$13&gt;0,AI$13=5),AF17/31*AJ$13,AF17)))</f>
        <v>23800</v>
      </c>
      <c r="G14" s="80">
        <f t="shared" si="3"/>
        <v>32368</v>
      </c>
      <c r="H14" s="86">
        <f t="shared" si="4"/>
        <v>56168</v>
      </c>
      <c r="I14" s="88">
        <f t="shared" si="5"/>
        <v>37700</v>
      </c>
      <c r="J14" s="88">
        <f t="shared" si="5"/>
        <v>-29908</v>
      </c>
      <c r="K14" s="88">
        <f t="shared" si="0"/>
        <v>7792</v>
      </c>
      <c r="L14" s="85">
        <f t="shared" si="6"/>
        <v>3117</v>
      </c>
      <c r="M14" s="131">
        <f t="shared" si="7"/>
        <v>2805</v>
      </c>
      <c r="N14" s="131">
        <f t="shared" si="8"/>
        <v>312</v>
      </c>
      <c r="O14" s="80">
        <f t="shared" si="9"/>
        <v>3117</v>
      </c>
      <c r="P14" s="87">
        <f t="shared" si="10"/>
        <v>0</v>
      </c>
      <c r="Q14" s="129"/>
      <c r="R14" s="130"/>
      <c r="Y14" s="2"/>
      <c r="AB14" s="1">
        <v>2</v>
      </c>
      <c r="AD14" s="3">
        <f>IF(AND($AF$4=$AE$3),AC13,AD13)</f>
        <v>61500</v>
      </c>
      <c r="AF14" s="3">
        <f>IF(AND($AF$4=$AE$3),AE13,AF13)</f>
        <v>23800</v>
      </c>
    </row>
    <row r="15" spans="1:40" ht="18" customHeight="1">
      <c r="A15" s="71">
        <v>6</v>
      </c>
      <c r="B15" s="42" t="s">
        <v>24</v>
      </c>
      <c r="C15" s="85">
        <f>IF(AND($Q$4=""),"",IF(AND(AD18=""),"",IF(AND(AH$13&gt;0,AI$13=6),AD18/30*AJ$13,AD18)))</f>
        <v>61500</v>
      </c>
      <c r="D15" s="80">
        <f t="shared" si="1"/>
        <v>2460</v>
      </c>
      <c r="E15" s="86">
        <f t="shared" si="2"/>
        <v>63960</v>
      </c>
      <c r="F15" s="85">
        <f>IF(AND($Q$4=""),"",IF(AND(AF18=""),"",IF(AND(AH$13&gt;0,AI$13=6),AF18/30*AJ$13,AF18)))</f>
        <v>23800</v>
      </c>
      <c r="G15" s="80">
        <f t="shared" si="3"/>
        <v>32368</v>
      </c>
      <c r="H15" s="86">
        <f t="shared" si="4"/>
        <v>56168</v>
      </c>
      <c r="I15" s="88">
        <f t="shared" si="5"/>
        <v>37700</v>
      </c>
      <c r="J15" s="88">
        <f t="shared" si="5"/>
        <v>-29908</v>
      </c>
      <c r="K15" s="88">
        <f t="shared" si="0"/>
        <v>7792</v>
      </c>
      <c r="L15" s="85">
        <f t="shared" si="6"/>
        <v>3117</v>
      </c>
      <c r="M15" s="131">
        <f t="shared" si="7"/>
        <v>2805</v>
      </c>
      <c r="N15" s="131">
        <f t="shared" si="8"/>
        <v>312</v>
      </c>
      <c r="O15" s="80">
        <f t="shared" si="9"/>
        <v>3117</v>
      </c>
      <c r="P15" s="87">
        <f t="shared" si="10"/>
        <v>0</v>
      </c>
      <c r="Q15" s="129"/>
      <c r="R15" s="130"/>
      <c r="W15" s="57">
        <f>IF(AND($Q$4=""),"",IF(AND($Z$4=$Y$6),SUM(L10:L20),SUM(L10:L20)))</f>
        <v>28137</v>
      </c>
      <c r="AB15" s="1">
        <v>3</v>
      </c>
      <c r="AD15" s="3">
        <f>IF(AND($AG$4=$AE$3),AC13,AD14)</f>
        <v>61500</v>
      </c>
      <c r="AF15" s="3">
        <f>IF(AND($AG$4=$AE$3),AE13,AF14)</f>
        <v>23800</v>
      </c>
    </row>
    <row r="16" spans="1:40" ht="18" customHeight="1">
      <c r="A16" s="71">
        <v>7</v>
      </c>
      <c r="B16" s="42" t="s">
        <v>25</v>
      </c>
      <c r="C16" s="85">
        <f>IF(AND($Q$4=""),"",IF(AND(AD19=""),"",IF(AND(AH$13&gt;0,AI$13=7),AD19/31*AJ$13,AD19)))</f>
        <v>63300</v>
      </c>
      <c r="D16" s="80">
        <f>IF(AND($Q$4=""),"",IF(AND(C16=""),"",IF(AND($AA$4=$X$7),"",ROUND((C16*5%),0))))</f>
        <v>3165</v>
      </c>
      <c r="E16" s="86">
        <f t="shared" si="2"/>
        <v>66465</v>
      </c>
      <c r="F16" s="85">
        <f>IF(AND($Q$4=""),"",IF(AND(AF19=""),"",IF(AND(AH$13&gt;0,AI$13=7),AF19/31*AJ$13,AF19)))</f>
        <v>24520</v>
      </c>
      <c r="G16" s="80">
        <f>IF(AND($Q$4=""),"",IF(AND(C16=""),"",IF(AND($AA$4=$X$7),"",ROUND((F16*139%),0))))</f>
        <v>34083</v>
      </c>
      <c r="H16" s="86">
        <f t="shared" si="4"/>
        <v>58603</v>
      </c>
      <c r="I16" s="85">
        <f t="shared" si="5"/>
        <v>38780</v>
      </c>
      <c r="J16" s="85">
        <f t="shared" si="5"/>
        <v>-30918</v>
      </c>
      <c r="K16" s="85">
        <f t="shared" si="0"/>
        <v>7862</v>
      </c>
      <c r="L16" s="85">
        <f t="shared" si="6"/>
        <v>3145</v>
      </c>
      <c r="M16" s="131">
        <f t="shared" si="7"/>
        <v>2830</v>
      </c>
      <c r="N16" s="131">
        <f t="shared" si="8"/>
        <v>315</v>
      </c>
      <c r="O16" s="86">
        <f t="shared" si="9"/>
        <v>3145</v>
      </c>
      <c r="P16" s="87">
        <f t="shared" si="10"/>
        <v>0</v>
      </c>
      <c r="Q16" s="129"/>
      <c r="R16" s="130"/>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TWENTY  EIGHT  THOUSAND  ONE  HUNDRED  THIRTY  SEVEN  Only)</v>
      </c>
      <c r="Y16" s="2"/>
      <c r="AB16" s="1">
        <v>4</v>
      </c>
      <c r="AD16" s="3">
        <f>IF(AND($AH$4=$AE$3),AC13,AD15)</f>
        <v>61500</v>
      </c>
      <c r="AF16" s="3">
        <f>IF(AND($AH$4=$AE$3),AE13,AF15)</f>
        <v>23800</v>
      </c>
    </row>
    <row r="17" spans="1:32" ht="18" customHeight="1">
      <c r="A17" s="71">
        <v>8</v>
      </c>
      <c r="B17" s="42" t="s">
        <v>26</v>
      </c>
      <c r="C17" s="85">
        <f>IF(AND($Q$4=""),"",IF(AND(AD20=""),"",IF(AND(AH$13&gt;0,AI$13=8),AD20/31*AJ$13,AD20)))</f>
        <v>63300</v>
      </c>
      <c r="D17" s="80">
        <f>IF(AND($Q$4=""),"",IF(AND(C17=""),"",IF(AND($AA$4=$X$7),"",ROUND((C17*5%),0))))</f>
        <v>3165</v>
      </c>
      <c r="E17" s="86">
        <f t="shared" si="2"/>
        <v>66465</v>
      </c>
      <c r="F17" s="85">
        <f>IF(AND($Q$4=""),"",IF(AND(AF20=""),"",IF(AND(AH$13&gt;0,AI$13=8),AF20/31*AJ$13,AF20)))</f>
        <v>24520</v>
      </c>
      <c r="G17" s="80">
        <f>IF(AND($Q$4=""),"",IF(AND(C17=""),"",IF(AND($AA$4=$X$7),"",ROUND((F17*139%),0))))</f>
        <v>34083</v>
      </c>
      <c r="H17" s="86">
        <f t="shared" si="4"/>
        <v>58603</v>
      </c>
      <c r="I17" s="85">
        <f t="shared" si="5"/>
        <v>38780</v>
      </c>
      <c r="J17" s="85">
        <f t="shared" si="5"/>
        <v>-30918</v>
      </c>
      <c r="K17" s="85">
        <f t="shared" si="0"/>
        <v>7862</v>
      </c>
      <c r="L17" s="85">
        <f t="shared" si="6"/>
        <v>3145</v>
      </c>
      <c r="M17" s="131">
        <f t="shared" si="7"/>
        <v>2830</v>
      </c>
      <c r="N17" s="131">
        <f t="shared" si="8"/>
        <v>315</v>
      </c>
      <c r="O17" s="86">
        <f t="shared" si="9"/>
        <v>3145</v>
      </c>
      <c r="P17" s="87">
        <f t="shared" si="10"/>
        <v>0</v>
      </c>
      <c r="Q17" s="129"/>
      <c r="R17" s="130"/>
      <c r="W17" s="1">
        <f>IF(AND($Q$4=""),"",K22)</f>
        <v>25320</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TWENTY  FIVE  THOUSAND  THREE  HUNDRED  TWENTY  Only)</v>
      </c>
      <c r="AB17" s="1">
        <v>5</v>
      </c>
      <c r="AD17" s="3">
        <f>IF(AND($AI$4=$AE$3),AC13,AD16)</f>
        <v>61500</v>
      </c>
      <c r="AF17" s="3">
        <f>IF(AND($AI$4=$AE$3),AE13,AF16)</f>
        <v>23800</v>
      </c>
    </row>
    <row r="18" spans="1:32" ht="18" customHeight="1" thickBot="1">
      <c r="A18" s="71">
        <v>9</v>
      </c>
      <c r="B18" s="42" t="s">
        <v>27</v>
      </c>
      <c r="C18" s="85">
        <f>IF(AND($Q$4=""),"",IF(AND(AD21=""),"",IF(AND(AH$13&gt;0,AI$13=9),AD21/30*AJ$13,AD21)))</f>
        <v>63300</v>
      </c>
      <c r="D18" s="80">
        <f>IF(AND($Q$4=""),"",IF(AND(C18=""),"",IF(AND($AA$4=$X$7),"",ROUND((C18*5%),0))))</f>
        <v>3165</v>
      </c>
      <c r="E18" s="86">
        <f t="shared" si="2"/>
        <v>66465</v>
      </c>
      <c r="F18" s="85">
        <f>IF(AND($Q$4=""),"",IF(AND(AF21=""),"",IF(AND(AH$13&gt;0,AI$13=9),AF21/30*AJ$13,AF21)))</f>
        <v>24520</v>
      </c>
      <c r="G18" s="80">
        <f>IF(AND($Q$4=""),"",IF(AND(C18=""),"",IF(AND($AA$4=$X$7),"",ROUND((F18*139%),0))))</f>
        <v>34083</v>
      </c>
      <c r="H18" s="86">
        <f t="shared" si="4"/>
        <v>58603</v>
      </c>
      <c r="I18" s="88">
        <f t="shared" si="5"/>
        <v>38780</v>
      </c>
      <c r="J18" s="88">
        <f t="shared" si="5"/>
        <v>-30918</v>
      </c>
      <c r="K18" s="88">
        <f t="shared" si="0"/>
        <v>7862</v>
      </c>
      <c r="L18" s="85">
        <f t="shared" si="6"/>
        <v>3145</v>
      </c>
      <c r="M18" s="131">
        <f t="shared" si="7"/>
        <v>2830</v>
      </c>
      <c r="N18" s="131">
        <f t="shared" si="8"/>
        <v>315</v>
      </c>
      <c r="O18" s="80">
        <f t="shared" si="9"/>
        <v>3145</v>
      </c>
      <c r="P18" s="87">
        <f t="shared" si="10"/>
        <v>0</v>
      </c>
      <c r="Q18" s="129"/>
      <c r="R18" s="130"/>
      <c r="Y18" s="2"/>
      <c r="AB18" s="1">
        <v>6</v>
      </c>
      <c r="AD18" s="3">
        <f>IF(AND($AJ$4=$AE$3),AC13,AD17)</f>
        <v>61500</v>
      </c>
      <c r="AF18" s="3">
        <f>IF(AND($AJ$4=$AE$3),AE13,AF17)</f>
        <v>23800</v>
      </c>
    </row>
    <row r="19" spans="1:32" hidden="1">
      <c r="A19" s="71"/>
      <c r="B19" s="89"/>
      <c r="C19" s="89"/>
      <c r="D19" s="88"/>
      <c r="E19" s="85"/>
      <c r="F19" s="88"/>
      <c r="G19" s="88"/>
      <c r="H19" s="86"/>
      <c r="I19" s="88"/>
      <c r="J19" s="88"/>
      <c r="K19" s="88"/>
      <c r="L19" s="85"/>
      <c r="M19" s="85"/>
      <c r="N19" s="85"/>
      <c r="O19" s="80"/>
      <c r="P19" s="87"/>
      <c r="Q19" s="129"/>
      <c r="R19" s="130"/>
      <c r="Y19" s="2"/>
      <c r="AB19" s="1">
        <v>7</v>
      </c>
      <c r="AD19" s="3">
        <f>IF(AND(AI13&gt;=8),"",IF(AND(AA4=AD2),AC13,IF(AND(AI13&gt;=7),AC13,MROUND(AD18*1.03,100))))</f>
        <v>63300</v>
      </c>
      <c r="AF19" s="3">
        <f>IF(AND(AI13&gt;=8),"",IF(AND(AA4=AD2),AE13,IF(AND(AI13&gt;=7),AE13,ROUNDUP(ROUND(AF18*1.03,),-1))))</f>
        <v>24520</v>
      </c>
    </row>
    <row r="20" spans="1:32" ht="15.75" hidden="1" thickBot="1">
      <c r="A20" s="71"/>
      <c r="B20" s="89"/>
      <c r="C20" s="89"/>
      <c r="D20" s="88"/>
      <c r="E20" s="85"/>
      <c r="F20" s="88"/>
      <c r="G20" s="88"/>
      <c r="H20" s="86"/>
      <c r="I20" s="88"/>
      <c r="J20" s="88"/>
      <c r="K20" s="88"/>
      <c r="L20" s="85"/>
      <c r="M20" s="85"/>
      <c r="N20" s="85"/>
      <c r="O20" s="80"/>
      <c r="P20" s="87"/>
      <c r="Q20" s="129"/>
      <c r="R20" s="130"/>
      <c r="T20" s="54"/>
      <c r="Y20" s="2"/>
      <c r="AB20" s="1">
        <v>8</v>
      </c>
      <c r="AD20" s="3">
        <f>IF(AND($AL$4=$AE$3),AC13,AD19)</f>
        <v>63300</v>
      </c>
      <c r="AF20" s="39">
        <f>IF(AND($AL$4=$AE$3),AE13,AF19)</f>
        <v>24520</v>
      </c>
    </row>
    <row r="21" spans="1:32" ht="20.25" thickTop="1" thickBot="1">
      <c r="A21" s="216" t="s">
        <v>28</v>
      </c>
      <c r="B21" s="217"/>
      <c r="C21" s="43">
        <f t="shared" ref="C21:P21" si="11">IF(AND($Q$4=""),"",SUM(C10:C20))</f>
        <v>558900</v>
      </c>
      <c r="D21" s="43">
        <f t="shared" si="11"/>
        <v>24255</v>
      </c>
      <c r="E21" s="43">
        <f t="shared" si="11"/>
        <v>583155</v>
      </c>
      <c r="F21" s="55">
        <f t="shared" si="11"/>
        <v>216360</v>
      </c>
      <c r="G21" s="55">
        <f t="shared" si="11"/>
        <v>296457</v>
      </c>
      <c r="H21" s="55">
        <f t="shared" si="11"/>
        <v>512817</v>
      </c>
      <c r="I21" s="55">
        <f t="shared" si="11"/>
        <v>342540</v>
      </c>
      <c r="J21" s="55">
        <f t="shared" si="11"/>
        <v>-272202</v>
      </c>
      <c r="K21" s="55">
        <f t="shared" si="11"/>
        <v>70338</v>
      </c>
      <c r="L21" s="55">
        <f t="shared" si="11"/>
        <v>28137</v>
      </c>
      <c r="M21" s="55">
        <f t="shared" si="11"/>
        <v>25320</v>
      </c>
      <c r="N21" s="55">
        <f t="shared" si="11"/>
        <v>2817</v>
      </c>
      <c r="O21" s="55">
        <f t="shared" si="11"/>
        <v>28137</v>
      </c>
      <c r="P21" s="56">
        <f t="shared" si="11"/>
        <v>0</v>
      </c>
      <c r="Q21" s="218"/>
      <c r="R21" s="219"/>
      <c r="AB21" s="1">
        <v>9</v>
      </c>
      <c r="AD21" s="3">
        <f>IF(AND($AM$4=$AE$3),AC13,AD20)</f>
        <v>63300</v>
      </c>
      <c r="AF21" s="40">
        <f>IF(AND($AM$4=$AE$3),AE13,AF20)</f>
        <v>24520</v>
      </c>
    </row>
    <row r="22" spans="1:32" ht="18.75" thickTop="1" thickBot="1">
      <c r="A22" s="72"/>
      <c r="B22" s="81" t="s">
        <v>76</v>
      </c>
      <c r="C22" s="199" t="str">
        <f>IF(AND(Q$4=""),"",IF(AND(AC7&lt;=AC8),"01-01-2017",AC7))</f>
        <v>01-01-2017</v>
      </c>
      <c r="D22" s="199"/>
      <c r="E22" s="222" t="s">
        <v>91</v>
      </c>
      <c r="F22" s="222"/>
      <c r="G22" s="222"/>
      <c r="H22" s="222"/>
      <c r="I22" s="222"/>
      <c r="J22" s="222"/>
      <c r="K22" s="220">
        <f>IF(AND(Q4=""),"",IF(AND(Z4=$Y$7),P21,M21))</f>
        <v>25320</v>
      </c>
      <c r="L22" s="220"/>
      <c r="M22" s="221" t="str">
        <f>IF(AND(Q$4=""),"",IF(AND(Z4=$Y$7),"dk udn Hkqxrku fd;k x;k A","jkf'k thih,Q esa tek A"))</f>
        <v>jkf'k thih,Q esa tek A</v>
      </c>
      <c r="N22" s="221"/>
      <c r="O22" s="221"/>
      <c r="P22" s="221"/>
      <c r="Q22" s="46"/>
      <c r="R22" s="73"/>
      <c r="U22" s="61"/>
      <c r="AD22" s="39"/>
      <c r="AF22" s="39"/>
    </row>
    <row r="23" spans="1:32" ht="20.25" thickTop="1" thickBot="1">
      <c r="A23" s="64"/>
      <c r="B23" s="4"/>
      <c r="C23" s="4"/>
      <c r="D23" s="207"/>
      <c r="E23" s="207"/>
      <c r="F23" s="207"/>
      <c r="G23" s="207"/>
      <c r="H23" s="4"/>
      <c r="I23" s="4"/>
      <c r="J23" s="208" t="s">
        <v>92</v>
      </c>
      <c r="K23" s="208"/>
      <c r="L23" s="208"/>
      <c r="M23" s="208"/>
      <c r="N23" s="209">
        <f>IF(AND($Q$4=""),"",L21)</f>
        <v>28137</v>
      </c>
      <c r="O23" s="209"/>
      <c r="P23" s="210" t="s">
        <v>62</v>
      </c>
      <c r="Q23" s="210"/>
      <c r="R23" s="211"/>
      <c r="AD23" s="40"/>
      <c r="AF23" s="40"/>
    </row>
    <row r="24" spans="1:32" ht="21" customHeight="1" thickTop="1">
      <c r="A24" s="64"/>
      <c r="B24" s="202" t="str">
        <f>IF(AND($Q$4=""),"",IF(AND(F4=""),"",IF(AND(E7=""),"",E7)))</f>
        <v>Third installment of Arrear on 01-10-2018 (40% Amount)</v>
      </c>
      <c r="C24" s="202"/>
      <c r="D24" s="202"/>
      <c r="E24" s="202"/>
      <c r="F24" s="202"/>
      <c r="G24" s="202"/>
      <c r="H24" s="202"/>
      <c r="I24" s="202"/>
      <c r="J24" s="208" t="str">
        <f>IF(AND(Q4=""),"",IF(AND(Z4=$Y$7),",u-ih-,l- dVkSrh","jkf'k thih,Q esa tek A"))</f>
        <v>jkf'k thih,Q esa tek A</v>
      </c>
      <c r="K24" s="208"/>
      <c r="L24" s="208"/>
      <c r="M24" s="208"/>
      <c r="N24" s="209">
        <f>IF(AND($Q$4=""),"",M21)</f>
        <v>25320</v>
      </c>
      <c r="O24" s="209"/>
      <c r="P24" s="212" t="str">
        <f>IF(AND($Q$4=""),"",X17)</f>
        <v>( Rs.   TWENTY  FIVE  THOUSAND  THREE  HUNDRED  TWENTY  Only)</v>
      </c>
      <c r="Q24" s="212"/>
      <c r="R24" s="213"/>
      <c r="AD24" s="4"/>
      <c r="AF24" s="4"/>
    </row>
    <row r="25" spans="1:32" ht="21" customHeight="1">
      <c r="A25" s="64"/>
      <c r="B25" s="82"/>
      <c r="C25" s="206"/>
      <c r="D25" s="206"/>
      <c r="E25" s="206"/>
      <c r="F25" s="206"/>
      <c r="G25" s="206"/>
      <c r="H25" s="41"/>
      <c r="I25" s="41"/>
      <c r="J25" s="208" t="s">
        <v>60</v>
      </c>
      <c r="K25" s="208"/>
      <c r="L25" s="208"/>
      <c r="M25" s="208"/>
      <c r="N25" s="209">
        <f>IF(AND($Q$4=""),"",N21)</f>
        <v>2817</v>
      </c>
      <c r="O25" s="209"/>
      <c r="P25" s="212"/>
      <c r="Q25" s="212"/>
      <c r="R25" s="213"/>
    </row>
    <row r="26" spans="1:32" ht="15.75">
      <c r="A26" s="74"/>
      <c r="B26" s="47"/>
      <c r="C26" s="214"/>
      <c r="D26" s="214"/>
      <c r="E26" s="214"/>
      <c r="F26" s="214"/>
      <c r="G26" s="214"/>
      <c r="H26" s="48"/>
      <c r="I26" s="48"/>
      <c r="J26" s="215" t="s">
        <v>61</v>
      </c>
      <c r="K26" s="215"/>
      <c r="L26" s="215"/>
      <c r="M26" s="215"/>
      <c r="N26" s="203">
        <f>IF(AND(Z4=$Y$7),SUM(N23-N24-N25),0)</f>
        <v>0</v>
      </c>
      <c r="O26" s="203"/>
      <c r="P26" s="204" t="str">
        <f>IF(AND(Q$4=""),"",IF(AND(Z4=$Y$7),"dk udn Hkqxrku fd;k x;k","jkf'k thih,Q esa tek"))</f>
        <v>jkf'k thih,Q esa tek</v>
      </c>
      <c r="Q26" s="204"/>
      <c r="R26" s="205"/>
    </row>
    <row r="27" spans="1:32" ht="18.75">
      <c r="A27" s="64"/>
      <c r="B27" s="82"/>
      <c r="C27" s="206"/>
      <c r="D27" s="206"/>
      <c r="E27" s="206"/>
      <c r="F27" s="206"/>
      <c r="G27" s="206"/>
      <c r="H27" s="41"/>
      <c r="I27" s="41"/>
      <c r="J27" s="41"/>
      <c r="K27" s="45"/>
      <c r="L27" s="45"/>
      <c r="M27" s="4"/>
      <c r="N27" s="4"/>
      <c r="O27" s="77"/>
      <c r="P27" s="77"/>
      <c r="Q27" s="77"/>
      <c r="R27" s="78"/>
    </row>
    <row r="28" spans="1:32" ht="19.5" customHeight="1">
      <c r="A28" s="64"/>
      <c r="B28" s="44"/>
      <c r="C28" s="58"/>
      <c r="D28" s="58"/>
      <c r="E28" s="58"/>
      <c r="F28" s="58"/>
      <c r="G28" s="58"/>
      <c r="H28" s="41"/>
      <c r="I28" s="41"/>
      <c r="J28" s="41"/>
      <c r="K28" s="45"/>
      <c r="L28" s="45"/>
      <c r="M28" s="4"/>
      <c r="N28" s="4"/>
      <c r="O28" s="77"/>
      <c r="P28" s="200" t="str">
        <f>CONCATENATE("(  ",Master!C4," )")</f>
        <v>(  Mishari lal )</v>
      </c>
      <c r="Q28" s="200"/>
      <c r="R28" s="201"/>
    </row>
    <row r="29" spans="1:32" ht="15.75">
      <c r="A29" s="64"/>
      <c r="B29" s="4"/>
      <c r="C29" s="4"/>
      <c r="D29" s="4"/>
      <c r="E29" s="4"/>
      <c r="F29" s="4"/>
      <c r="G29" s="4"/>
      <c r="H29" s="4"/>
      <c r="I29" s="4"/>
      <c r="J29" s="4"/>
      <c r="K29" s="4"/>
      <c r="L29" s="4"/>
      <c r="M29" s="4"/>
      <c r="N29" s="4"/>
      <c r="O29" s="4"/>
      <c r="P29" s="195" t="s">
        <v>71</v>
      </c>
      <c r="Q29" s="195"/>
      <c r="R29" s="196"/>
    </row>
    <row r="30" spans="1:32" ht="16.5" thickBot="1">
      <c r="A30" s="75"/>
      <c r="B30" s="76"/>
      <c r="C30" s="76"/>
      <c r="D30" s="76"/>
      <c r="E30" s="76"/>
      <c r="F30" s="76"/>
      <c r="G30" s="76"/>
      <c r="H30" s="76"/>
      <c r="I30" s="76"/>
      <c r="J30" s="76"/>
      <c r="K30" s="76"/>
      <c r="L30" s="76"/>
      <c r="M30" s="76"/>
      <c r="N30" s="76"/>
      <c r="O30" s="76"/>
      <c r="P30" s="197" t="s">
        <v>72</v>
      </c>
      <c r="Q30" s="197"/>
      <c r="R30" s="198"/>
    </row>
  </sheetData>
  <sheetProtection password="C1FB" sheet="1" objects="1" scenarios="1" formatCells="0" formatColumns="0"/>
  <mergeCells count="46">
    <mergeCell ref="B2:Q2"/>
    <mergeCell ref="B3:Q3"/>
    <mergeCell ref="C4:E4"/>
    <mergeCell ref="F4:H4"/>
    <mergeCell ref="I4:J4"/>
    <mergeCell ref="K4:N4"/>
    <mergeCell ref="O4:P4"/>
    <mergeCell ref="A8:A9"/>
    <mergeCell ref="B8:B9"/>
    <mergeCell ref="C8:E8"/>
    <mergeCell ref="F8:H8"/>
    <mergeCell ref="I8:K8"/>
    <mergeCell ref="Q21:R21"/>
    <mergeCell ref="K22:L22"/>
    <mergeCell ref="M22:P22"/>
    <mergeCell ref="E22:J22"/>
    <mergeCell ref="S4:T4"/>
    <mergeCell ref="B5:Q5"/>
    <mergeCell ref="C6:P6"/>
    <mergeCell ref="M8:O8"/>
    <mergeCell ref="P8:P9"/>
    <mergeCell ref="Q8:Q9"/>
    <mergeCell ref="R8:R9"/>
    <mergeCell ref="E7:M7"/>
    <mergeCell ref="L8:L9"/>
    <mergeCell ref="J25:M25"/>
    <mergeCell ref="N25:O25"/>
    <mergeCell ref="C26:G26"/>
    <mergeCell ref="J26:M26"/>
    <mergeCell ref="A21:B21"/>
    <mergeCell ref="P29:R29"/>
    <mergeCell ref="P30:R30"/>
    <mergeCell ref="C22:D22"/>
    <mergeCell ref="P28:R28"/>
    <mergeCell ref="B24:I24"/>
    <mergeCell ref="N26:O26"/>
    <mergeCell ref="P26:R26"/>
    <mergeCell ref="C27:G27"/>
    <mergeCell ref="D23:G23"/>
    <mergeCell ref="J23:M23"/>
    <mergeCell ref="N23:O23"/>
    <mergeCell ref="P23:R23"/>
    <mergeCell ref="J24:M24"/>
    <mergeCell ref="N24:O24"/>
    <mergeCell ref="P24:R25"/>
    <mergeCell ref="C25:G25"/>
  </mergeCells>
  <dataValidations count="1">
    <dataValidation type="list" allowBlank="1" showInputMessage="1" showErrorMessage="1" sqref="E7">
      <formula1>$X$1:$X$4</formula1>
    </dataValidation>
  </dataValidations>
  <pageMargins left="0.7" right="0.45" top="0.5" bottom="0.5" header="0.3" footer="0.3"/>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S30"/>
  <sheetViews>
    <sheetView workbookViewId="0">
      <selection activeCell="U1" sqref="U1"/>
    </sheetView>
  </sheetViews>
  <sheetFormatPr defaultRowHeight="15"/>
  <cols>
    <col min="1" max="1" width="4.85546875" style="106" customWidth="1"/>
    <col min="2" max="2" width="10.42578125" style="106" customWidth="1"/>
    <col min="3" max="3" width="10" style="106" customWidth="1"/>
    <col min="4" max="4" width="8.140625" style="106" customWidth="1"/>
    <col min="5" max="5" width="8.28515625" style="106" customWidth="1"/>
    <col min="6" max="7" width="7.85546875" style="106" customWidth="1"/>
    <col min="8" max="8" width="8.140625" style="106" customWidth="1"/>
    <col min="9" max="9" width="7.85546875" style="106" customWidth="1"/>
    <col min="10" max="10" width="8.140625" style="106" customWidth="1"/>
    <col min="11" max="11" width="8" style="106" customWidth="1"/>
    <col min="12" max="12" width="8.5703125" style="106" customWidth="1"/>
    <col min="13" max="15" width="8" style="106" customWidth="1"/>
    <col min="16" max="17" width="7.42578125" style="106" customWidth="1"/>
    <col min="18" max="18" width="8.42578125" style="106" customWidth="1"/>
    <col min="19" max="19" width="9.7109375" style="106" customWidth="1"/>
    <col min="20" max="20" width="11.140625" style="106" customWidth="1"/>
    <col min="21" max="23" width="9.140625" style="1"/>
    <col min="24" max="25" width="9.140625" style="1" hidden="1" customWidth="1"/>
    <col min="26" max="26" width="27.140625" style="1" hidden="1" customWidth="1"/>
    <col min="27" max="45" width="9.140625" style="1" hidden="1" customWidth="1"/>
    <col min="46" max="50" width="9.140625" style="1" customWidth="1"/>
    <col min="51" max="16384" width="9.140625" style="1"/>
  </cols>
  <sheetData>
    <row r="1" spans="1:44" ht="9.75" customHeight="1" thickBot="1">
      <c r="Z1" s="1" t="s">
        <v>74</v>
      </c>
      <c r="AC1" s="5"/>
    </row>
    <row r="2" spans="1:44" ht="18.75">
      <c r="A2" s="107"/>
      <c r="B2" s="286" t="s">
        <v>56</v>
      </c>
      <c r="C2" s="286"/>
      <c r="D2" s="286"/>
      <c r="E2" s="286"/>
      <c r="F2" s="286"/>
      <c r="G2" s="286"/>
      <c r="H2" s="286"/>
      <c r="I2" s="286"/>
      <c r="J2" s="286"/>
      <c r="K2" s="286"/>
      <c r="L2" s="286"/>
      <c r="M2" s="286"/>
      <c r="N2" s="286"/>
      <c r="O2" s="286"/>
      <c r="P2" s="286"/>
      <c r="Q2" s="286"/>
      <c r="R2" s="286"/>
      <c r="S2" s="286"/>
      <c r="T2" s="108"/>
      <c r="U2" s="49"/>
      <c r="V2" s="49"/>
      <c r="W2" s="49"/>
      <c r="X2" s="49"/>
      <c r="Z2" s="1" t="s">
        <v>73</v>
      </c>
      <c r="AC2" s="5"/>
      <c r="AG2" s="1" t="b">
        <v>0</v>
      </c>
    </row>
    <row r="3" spans="1:44" ht="18.75">
      <c r="A3" s="109"/>
      <c r="B3" s="287" t="str">
        <f>CONCATENATE("OFFICE OF THE PRINCIPAL , ",Master!C3)</f>
        <v>OFFICE OF THE PRINCIPAL , Government Senior Secondry School Inderwara (RANI), Pali</v>
      </c>
      <c r="C3" s="287"/>
      <c r="D3" s="287"/>
      <c r="E3" s="287"/>
      <c r="F3" s="287"/>
      <c r="G3" s="287"/>
      <c r="H3" s="287"/>
      <c r="I3" s="287"/>
      <c r="J3" s="287"/>
      <c r="K3" s="287"/>
      <c r="L3" s="287"/>
      <c r="M3" s="287"/>
      <c r="N3" s="287"/>
      <c r="O3" s="287"/>
      <c r="P3" s="287"/>
      <c r="Q3" s="287"/>
      <c r="R3" s="287"/>
      <c r="S3" s="287"/>
      <c r="T3" s="110"/>
      <c r="U3" s="49"/>
      <c r="V3" s="49"/>
      <c r="W3" s="49"/>
      <c r="X3" s="49"/>
      <c r="Z3" s="1" t="s">
        <v>75</v>
      </c>
      <c r="AC3" s="5"/>
      <c r="AG3" s="1" t="b">
        <v>1</v>
      </c>
    </row>
    <row r="4" spans="1:44" ht="18.75" customHeight="1">
      <c r="A4" s="109"/>
      <c r="B4" s="111"/>
      <c r="C4" s="111"/>
      <c r="D4" s="269" t="s">
        <v>57</v>
      </c>
      <c r="E4" s="269"/>
      <c r="F4" s="269"/>
      <c r="G4" s="285" t="str">
        <f>IF(ISNA(VLOOKUP($S$4,Master!A$9:AO$78,2,FALSE)),"",VLOOKUP($S$4,Master!A$9:AO$78,2,FALSE))</f>
        <v>SUBHASH CHANDRA</v>
      </c>
      <c r="H4" s="285"/>
      <c r="I4" s="285"/>
      <c r="J4" s="285"/>
      <c r="K4" s="269" t="s">
        <v>36</v>
      </c>
      <c r="L4" s="269"/>
      <c r="M4" s="285" t="str">
        <f>IF(ISNA(VLOOKUP($S$4,Master!A$9:AO$78,3,FALSE)),"",VLOOKUP($S$4,Master!A$9:AO$78,3,FALSE))</f>
        <v>TEACHER</v>
      </c>
      <c r="N4" s="285"/>
      <c r="O4" s="285"/>
      <c r="P4" s="285"/>
      <c r="Q4" s="288" t="s">
        <v>77</v>
      </c>
      <c r="R4" s="288"/>
      <c r="S4" s="84">
        <v>3</v>
      </c>
      <c r="T4" s="110"/>
      <c r="U4" s="223"/>
      <c r="V4" s="223"/>
      <c r="W4" s="51"/>
      <c r="X4" s="51"/>
      <c r="AB4" s="1" t="str">
        <f>IF(ISNA(VLOOKUP($S$4,Master!A$9:AO$78,4,FALSE)),"",VLOOKUP($S$4,Master!A$9:AO$78,4,FALSE))</f>
        <v>NPS</v>
      </c>
      <c r="AC4" s="5" t="str">
        <f>IF(ISNA(VLOOKUP($S$4,Master!A$9:AO$78,5,FALSE)),"",VLOOKUP($S$4,Master!A$9:AO$78,5,FALSE))</f>
        <v>Regular Pay</v>
      </c>
      <c r="AD4" s="1">
        <f>IF(ISNA(VLOOKUP($S$4,Master!A$9:AO$78,7,FALSE)),"",VLOOKUP($S$4,Master!A$9:AO$78,7,FALSE))</f>
        <v>10</v>
      </c>
      <c r="AE4" s="1">
        <f>IF(ISNA(VLOOKUP($S$4,Master!A$9:AO$78,8,FALSE)),"",VLOOKUP($S$4,Master!A$9:AO$78,8,FALSE))</f>
        <v>13690</v>
      </c>
      <c r="AF4" s="1">
        <f>IF(ISNA(VLOOKUP($S$4,Master!A$9:AO$78,9,FALSE)),"",VLOOKUP($S$4,Master!A$9:AO$78,9,FALSE))</f>
        <v>35800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4" ht="15.75">
      <c r="A5" s="109"/>
      <c r="B5" s="269" t="s">
        <v>58</v>
      </c>
      <c r="C5" s="269"/>
      <c r="D5" s="269"/>
      <c r="E5" s="269"/>
      <c r="F5" s="269"/>
      <c r="G5" s="269"/>
      <c r="H5" s="269"/>
      <c r="I5" s="269"/>
      <c r="J5" s="269"/>
      <c r="K5" s="269"/>
      <c r="L5" s="269"/>
      <c r="M5" s="269"/>
      <c r="N5" s="269"/>
      <c r="O5" s="269"/>
      <c r="P5" s="269"/>
      <c r="Q5" s="269"/>
      <c r="R5" s="269"/>
      <c r="S5" s="269"/>
      <c r="T5" s="110"/>
      <c r="U5" s="50"/>
      <c r="V5" s="50"/>
      <c r="W5" s="50"/>
      <c r="X5" s="50"/>
      <c r="AC5" s="5"/>
    </row>
    <row r="6" spans="1:44" ht="18.75">
      <c r="A6" s="109"/>
      <c r="B6" s="112"/>
      <c r="C6" s="112"/>
      <c r="D6" s="270"/>
      <c r="E6" s="270"/>
      <c r="F6" s="270"/>
      <c r="G6" s="270"/>
      <c r="H6" s="270"/>
      <c r="I6" s="270"/>
      <c r="J6" s="270"/>
      <c r="K6" s="270"/>
      <c r="L6" s="270"/>
      <c r="M6" s="270"/>
      <c r="N6" s="270"/>
      <c r="O6" s="270"/>
      <c r="P6" s="270"/>
      <c r="Q6" s="270"/>
      <c r="R6" s="270"/>
      <c r="S6" s="112"/>
      <c r="T6" s="113"/>
      <c r="Z6" s="1" t="s">
        <v>1</v>
      </c>
      <c r="AA6" s="1" t="s">
        <v>4</v>
      </c>
      <c r="AB6" s="1" t="s">
        <v>0</v>
      </c>
      <c r="AC6" s="5"/>
    </row>
    <row r="7" spans="1:44" ht="20.25">
      <c r="A7" s="114"/>
      <c r="B7" s="115"/>
      <c r="C7" s="115"/>
      <c r="D7" s="115"/>
      <c r="E7" s="115"/>
      <c r="F7" s="232" t="s">
        <v>75</v>
      </c>
      <c r="G7" s="232"/>
      <c r="H7" s="232"/>
      <c r="I7" s="232"/>
      <c r="J7" s="232"/>
      <c r="K7" s="232"/>
      <c r="L7" s="232"/>
      <c r="M7" s="232"/>
      <c r="N7" s="232"/>
      <c r="O7" s="232"/>
      <c r="P7" s="115"/>
      <c r="Q7" s="115"/>
      <c r="R7" s="115"/>
      <c r="S7" s="116"/>
      <c r="T7" s="113"/>
      <c r="Z7" s="1" t="s">
        <v>3</v>
      </c>
      <c r="AA7" s="1" t="s">
        <v>5</v>
      </c>
      <c r="AB7" s="1" t="s">
        <v>2</v>
      </c>
      <c r="AC7" s="5"/>
      <c r="AE7" s="54">
        <f>IF(ISNA(VLOOKUP($S$4,Master!A$9:AO$78,6,FALSE)),"",VLOOKUP($S$4,Master!A$9:AO$78,6,FALSE))</f>
        <v>42370</v>
      </c>
    </row>
    <row r="8" spans="1:44" ht="27.75" customHeight="1">
      <c r="A8" s="271" t="s">
        <v>6</v>
      </c>
      <c r="B8" s="272" t="s">
        <v>7</v>
      </c>
      <c r="C8" s="282" t="s">
        <v>8</v>
      </c>
      <c r="D8" s="283"/>
      <c r="E8" s="283"/>
      <c r="F8" s="284"/>
      <c r="G8" s="282" t="s">
        <v>9</v>
      </c>
      <c r="H8" s="283"/>
      <c r="I8" s="283"/>
      <c r="J8" s="284"/>
      <c r="K8" s="273" t="s">
        <v>10</v>
      </c>
      <c r="L8" s="273"/>
      <c r="M8" s="273"/>
      <c r="N8" s="274" t="str">
        <f>IF(AND($S$4=""),"",IF(AND(G4=""),"",IF(AND(F7=""),"",IF(AND(F7="First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O8" s="276" t="s">
        <v>70</v>
      </c>
      <c r="P8" s="277"/>
      <c r="Q8" s="278"/>
      <c r="R8" s="279" t="s">
        <v>13</v>
      </c>
      <c r="S8" s="280" t="s">
        <v>14</v>
      </c>
      <c r="T8" s="281" t="s">
        <v>15</v>
      </c>
      <c r="AC8" s="5"/>
      <c r="AE8" s="54">
        <v>42736</v>
      </c>
    </row>
    <row r="9" spans="1:44" ht="33.75" customHeight="1">
      <c r="A9" s="271"/>
      <c r="B9" s="272"/>
      <c r="C9" s="98" t="s">
        <v>16</v>
      </c>
      <c r="D9" s="98" t="str">
        <f>IF(AND(S$4=""),"",IF(AND(F$7=Z$3),"Pay 40%","Pay 30%"))</f>
        <v>Pay 40%</v>
      </c>
      <c r="E9" s="98" t="s">
        <v>17</v>
      </c>
      <c r="F9" s="98" t="s">
        <v>18</v>
      </c>
      <c r="G9" s="98" t="s">
        <v>16</v>
      </c>
      <c r="H9" s="98" t="str">
        <f>IF(AND(S$4=""),"",IF(AND(F$7=Z$3),"Pay 40%","Pay 30%"))</f>
        <v>Pay 40%</v>
      </c>
      <c r="I9" s="98" t="s">
        <v>17</v>
      </c>
      <c r="J9" s="98" t="s">
        <v>18</v>
      </c>
      <c r="K9" s="98" t="s">
        <v>16</v>
      </c>
      <c r="L9" s="98" t="s">
        <v>17</v>
      </c>
      <c r="M9" s="98" t="s">
        <v>18</v>
      </c>
      <c r="N9" s="275"/>
      <c r="O9" s="99" t="str">
        <f>IF(AND($AB$4=$AA$6),"CREDIT IN GPF",IF(AND($AB$4=$AA$7),"NPS Ded.",""))</f>
        <v>NPS Ded.</v>
      </c>
      <c r="P9" s="100" t="s">
        <v>11</v>
      </c>
      <c r="Q9" s="99" t="s">
        <v>12</v>
      </c>
      <c r="R9" s="279"/>
      <c r="S9" s="280"/>
      <c r="T9" s="281"/>
      <c r="AC9" s="5"/>
    </row>
    <row r="10" spans="1:44" ht="18" customHeight="1">
      <c r="A10" s="101">
        <v>1</v>
      </c>
      <c r="B10" s="102" t="s">
        <v>19</v>
      </c>
      <c r="C10" s="142">
        <f>IF(ISNA(VLOOKUP($S$4,Master!A$9:AO$78,9,FALSE)),"",VLOOKUP($S$4,Master!A$9:AO$78,9,FALSE))</f>
        <v>35800</v>
      </c>
      <c r="D10" s="131">
        <f>IF(AND($S$4=""),"",IF(AND(C10=""),"",IF(AND(F$7=Z$1),ROUND(C10*30%,0),IF(AND(F$7=Z$2),ROUND(C10*30%,0),IF(AND(F$7=Z$3),ROUND(C10*40%,0))))))</f>
        <v>14320</v>
      </c>
      <c r="E10" s="132">
        <f>ROUND((D10*4%),0)</f>
        <v>573</v>
      </c>
      <c r="F10" s="132">
        <f>IF(AND($S$4=""),"",IF(AND(D10=""),"",SUM(D10:E10)))</f>
        <v>14893</v>
      </c>
      <c r="G10" s="143">
        <f>IF(ISNA(VLOOKUP($S$4,Master!A$9:AO$78,8,FALSE)),"",VLOOKUP($S$4,Master!A$9:AO$78,8,FALSE))</f>
        <v>13690</v>
      </c>
      <c r="H10" s="131">
        <f>IF(AND($S$4=""),"",IF(AND(G10=""),"",IF(AND(F$7=Z$1),ROUND(G10*30%,0),IF(AND(F$7=Z$2),ROUND(G10*30%,0),IF(AND(F$7=Z$3),ROUND(G10*40%,0))))))</f>
        <v>5476</v>
      </c>
      <c r="I10" s="132">
        <f>IF(AND($S$4=""),"",IF(AND(D10=""),"",IF(AND($AC$4=$Z$7),"",ROUND((H10*136%),0))))</f>
        <v>7447</v>
      </c>
      <c r="J10" s="132">
        <f>IF(AND($S$4=""),"",IF(AND(H10=""),"",SUM(H10:I10)))</f>
        <v>12923</v>
      </c>
      <c r="K10" s="131">
        <f t="shared" ref="K10:K18" si="0">IF(AND(D10=""),"",IF(AND(H10=""),"",D10-H10))</f>
        <v>8844</v>
      </c>
      <c r="L10" s="131">
        <f t="shared" ref="L10:L18" si="1">IF(AND(E10=""),"",IF(AND(I10=""),"",E10-I10))</f>
        <v>-6874</v>
      </c>
      <c r="M10" s="131">
        <f t="shared" ref="M10:M18" si="2">IF(AND($S$4=""),"",IF(AND(K10=""),"",SUM(K10:L10)))</f>
        <v>1970</v>
      </c>
      <c r="N10" s="131">
        <f>M10</f>
        <v>1970</v>
      </c>
      <c r="O10" s="131">
        <f>IF(AND(C10=""),"",IF(AND(K10=""),"",IF(AND($Z$4=$Y$6),M10-ROUND(((M10)*10%),0),ROUND(((M10)*10%),0))))</f>
        <v>1773</v>
      </c>
      <c r="P10" s="131">
        <f>IF(AND(D10=""),"",IF(AND(D10=0),"",IF(AND(M10=""),"",IF(AND($AB$4=$AA$6),ROUND(((N10)*10%),0),ROUND(((N10-O10)*$AD$4%),0)))))</f>
        <v>20</v>
      </c>
      <c r="Q10" s="132">
        <f>IF(AND(M10=""),"",IF(AND(O10=""),"",IF(AND(P10=""),"",SUM(O10+P10))))</f>
        <v>1793</v>
      </c>
      <c r="R10" s="133">
        <f>IF(AND(M10=""),"",IF(AND(D10=0),"",IF(AND(Q10=""),N10,N10-Q10)))</f>
        <v>177</v>
      </c>
      <c r="S10" s="104"/>
      <c r="T10" s="105"/>
      <c r="X10" s="1" t="str">
        <f>IF(AND($AB$4=$AA$6),"CREDIT IN GPF",IF(AND($AB$4=$AA$7),"NPS Ded.",""))</f>
        <v>NPS Ded.</v>
      </c>
      <c r="AC10" s="5"/>
      <c r="AN10" s="1">
        <f>IF(AND(D10=""),"",IF(AND(D10=0),"",IF(AND(M10=""),"",ROUND(((N10-O10)*$AD$4%),0))))</f>
        <v>20</v>
      </c>
    </row>
    <row r="11" spans="1:44" ht="18" customHeight="1">
      <c r="A11" s="101">
        <v>2</v>
      </c>
      <c r="B11" s="102" t="s">
        <v>20</v>
      </c>
      <c r="C11" s="144">
        <f>C10</f>
        <v>35800</v>
      </c>
      <c r="D11" s="131">
        <f t="shared" ref="D11:D18" si="3">IF(AND($S$4=""),"",IF(AND(C11=""),"",IF(AND(F$7=Z$1),ROUND(C11*30%,0),IF(AND(F$7=Z$2),ROUND(C11*30%,0),IF(AND(F$7=Z$3),ROUND(C11*40%,0))))))</f>
        <v>14320</v>
      </c>
      <c r="E11" s="132">
        <f t="shared" ref="E11:E15" si="4">ROUND((D11*4%),0)</f>
        <v>573</v>
      </c>
      <c r="F11" s="132">
        <f t="shared" ref="F11:F18" si="5">IF(AND($S$4=""),"",IF(AND(D11=""),"",SUM(D11:E11)))</f>
        <v>14893</v>
      </c>
      <c r="G11" s="132">
        <f>G10</f>
        <v>13690</v>
      </c>
      <c r="H11" s="131">
        <f t="shared" ref="H11:H18" si="6">IF(AND($S$4=""),"",IF(AND(G11=""),"",IF(AND(F$7=Z$1),ROUND(G11*30%,0),IF(AND(F$7=Z$2),ROUND(G11*30%,0),IF(AND(F$7=Z$3),ROUND(G11*40%,0))))))</f>
        <v>5476</v>
      </c>
      <c r="I11" s="132">
        <f t="shared" ref="I11:I15" si="7">IF(AND($S$4=""),"",IF(AND(D11=""),"",IF(AND($AC$4=$Z$7),"",ROUND((H11*136%),0))))</f>
        <v>7447</v>
      </c>
      <c r="J11" s="132">
        <f t="shared" ref="J11:J18" si="8">IF(AND($S$4=""),"",IF(AND(H11=""),"",SUM(H11:I11)))</f>
        <v>12923</v>
      </c>
      <c r="K11" s="131">
        <f t="shared" si="0"/>
        <v>8844</v>
      </c>
      <c r="L11" s="131">
        <f t="shared" si="1"/>
        <v>-6874</v>
      </c>
      <c r="M11" s="131">
        <f t="shared" si="2"/>
        <v>1970</v>
      </c>
      <c r="N11" s="131">
        <f t="shared" ref="N11:N17" si="9">M11</f>
        <v>1970</v>
      </c>
      <c r="O11" s="131">
        <f t="shared" ref="O11:O20" si="10">IF(AND(C11=""),"",IF(AND(K11=""),"",IF(AND($Z$4=$Y$6),M11-ROUND(((M11)*10%),0),ROUND(((M11)*10%),0))))</f>
        <v>1773</v>
      </c>
      <c r="P11" s="131">
        <f t="shared" ref="P11:P18" si="11">IF(AND(D11=""),"",IF(AND(D11=0),"",IF(AND(M11=""),"",IF(AND($AB$4=$AA$6),ROUND(((N11)*10%),0),ROUND(((N11-O11)*$AD$4%),0)))))</f>
        <v>20</v>
      </c>
      <c r="Q11" s="132">
        <f t="shared" ref="Q11:Q18" si="12">IF(AND(M11=""),"",IF(AND(O11=""),"",IF(AND(P11=""),"",SUM(O11+P11))))</f>
        <v>1793</v>
      </c>
      <c r="R11" s="133">
        <f t="shared" ref="R11:R18" si="13">IF(AND(M11=""),"",IF(AND(D11=0),"",IF(AND(Q11=""),N11,N11-Q11)))</f>
        <v>177</v>
      </c>
      <c r="S11" s="104"/>
      <c r="T11" s="105"/>
      <c r="W11" s="57"/>
      <c r="X11" s="57">
        <f>'For 7pay Fixation Arrear module'!G12</f>
        <v>32368</v>
      </c>
      <c r="Y11" s="57">
        <f>'For 7pay Fixation Arrear module'!H12</f>
        <v>56168</v>
      </c>
      <c r="Z11" s="57">
        <f>'For 7pay Fixation Arrear module'!I12</f>
        <v>37700</v>
      </c>
      <c r="AA11" s="57">
        <f>'For 7pay Fixation Arrear module'!J12</f>
        <v>-29908</v>
      </c>
      <c r="AB11" s="57">
        <f>'For 7pay Fixation Arrear module'!K12</f>
        <v>7792</v>
      </c>
      <c r="AC11" s="57">
        <f>'For 7pay Fixation Arrear module'!L12</f>
        <v>3117</v>
      </c>
      <c r="AD11" s="57">
        <f>'For 7pay Fixation Arrear module'!M12</f>
        <v>2805</v>
      </c>
      <c r="AE11" s="57">
        <f>'For 7pay Fixation Arrear module'!N12</f>
        <v>312</v>
      </c>
      <c r="AF11" s="57">
        <f>'For 7pay Fixation Arrear module'!O12</f>
        <v>3117</v>
      </c>
      <c r="AG11" s="57">
        <f>'For 7pay Fixation Arrear module'!P12</f>
        <v>0</v>
      </c>
      <c r="AH11" s="57">
        <f>'For 7pay Fixation Arrear module'!Q12</f>
        <v>0</v>
      </c>
      <c r="AI11" s="57">
        <f>'For 7pay Fixation Arrear module'!R12</f>
        <v>0</v>
      </c>
      <c r="AJ11" s="57">
        <f>'For 7pay Fixation Arrear module'!S12</f>
        <v>0</v>
      </c>
      <c r="AK11" s="57">
        <f>'For 7pay Fixation Arrear module'!T12</f>
        <v>0</v>
      </c>
      <c r="AL11" s="57">
        <f>'For 7pay Fixation Arrear module'!U12</f>
        <v>0</v>
      </c>
      <c r="AM11" s="57">
        <f>'For 7pay Fixation Arrear module'!V12</f>
        <v>0</v>
      </c>
      <c r="AN11" s="57">
        <f>'For 7pay Fixation Arrear module'!W12</f>
        <v>40</v>
      </c>
      <c r="AO11" s="57">
        <f>'For 7pay Fixation Arrear module'!X12</f>
        <v>0</v>
      </c>
      <c r="AP11" s="57">
        <f>'For 7pay Fixation Arrear module'!Y12</f>
        <v>0</v>
      </c>
      <c r="AQ11" s="57">
        <f>'For 7pay Fixation Arrear module'!Z12</f>
        <v>0</v>
      </c>
      <c r="AR11" s="57"/>
    </row>
    <row r="12" spans="1:44" ht="18" customHeight="1">
      <c r="A12" s="101">
        <v>3</v>
      </c>
      <c r="B12" s="102" t="s">
        <v>21</v>
      </c>
      <c r="C12" s="144">
        <f t="shared" ref="C12:C18" si="14">C11</f>
        <v>35800</v>
      </c>
      <c r="D12" s="131">
        <f t="shared" si="3"/>
        <v>14320</v>
      </c>
      <c r="E12" s="132">
        <f t="shared" si="4"/>
        <v>573</v>
      </c>
      <c r="F12" s="132">
        <f t="shared" si="5"/>
        <v>14893</v>
      </c>
      <c r="G12" s="132">
        <f t="shared" ref="G12:G18" si="15">G11</f>
        <v>13690</v>
      </c>
      <c r="H12" s="131">
        <f t="shared" si="6"/>
        <v>5476</v>
      </c>
      <c r="I12" s="132">
        <f t="shared" si="7"/>
        <v>7447</v>
      </c>
      <c r="J12" s="132">
        <f t="shared" si="8"/>
        <v>12923</v>
      </c>
      <c r="K12" s="131">
        <f t="shared" si="0"/>
        <v>8844</v>
      </c>
      <c r="L12" s="131">
        <f t="shared" si="1"/>
        <v>-6874</v>
      </c>
      <c r="M12" s="131">
        <f t="shared" si="2"/>
        <v>1970</v>
      </c>
      <c r="N12" s="131">
        <f t="shared" si="9"/>
        <v>1970</v>
      </c>
      <c r="O12" s="131">
        <f t="shared" si="10"/>
        <v>1773</v>
      </c>
      <c r="P12" s="131">
        <f t="shared" si="11"/>
        <v>20</v>
      </c>
      <c r="Q12" s="132">
        <f t="shared" si="12"/>
        <v>1793</v>
      </c>
      <c r="R12" s="133">
        <f t="shared" si="13"/>
        <v>177</v>
      </c>
      <c r="S12" s="104"/>
      <c r="T12" s="105"/>
      <c r="W12" s="57"/>
      <c r="X12" s="57">
        <f t="shared" ref="X12:AQ14" si="16">X11</f>
        <v>32368</v>
      </c>
      <c r="Y12" s="57">
        <f t="shared" si="16"/>
        <v>56168</v>
      </c>
      <c r="Z12" s="57">
        <f t="shared" si="16"/>
        <v>37700</v>
      </c>
      <c r="AA12" s="57">
        <f t="shared" si="16"/>
        <v>-29908</v>
      </c>
      <c r="AB12" s="57">
        <f t="shared" si="16"/>
        <v>7792</v>
      </c>
      <c r="AC12" s="57">
        <f t="shared" si="16"/>
        <v>3117</v>
      </c>
      <c r="AD12" s="57">
        <f t="shared" si="16"/>
        <v>2805</v>
      </c>
      <c r="AE12" s="57">
        <f t="shared" si="16"/>
        <v>312</v>
      </c>
      <c r="AF12" s="57">
        <f t="shared" si="16"/>
        <v>3117</v>
      </c>
      <c r="AG12" s="57">
        <f t="shared" si="16"/>
        <v>0</v>
      </c>
      <c r="AH12" s="57">
        <f t="shared" si="16"/>
        <v>0</v>
      </c>
      <c r="AI12" s="57">
        <f t="shared" si="16"/>
        <v>0</v>
      </c>
      <c r="AJ12" s="57">
        <f t="shared" si="16"/>
        <v>0</v>
      </c>
      <c r="AK12" s="57">
        <f t="shared" si="16"/>
        <v>0</v>
      </c>
      <c r="AL12" s="57">
        <f t="shared" si="16"/>
        <v>0</v>
      </c>
      <c r="AM12" s="57">
        <f t="shared" si="16"/>
        <v>0</v>
      </c>
      <c r="AN12" s="57">
        <f t="shared" si="16"/>
        <v>40</v>
      </c>
      <c r="AO12" s="57">
        <f t="shared" si="16"/>
        <v>0</v>
      </c>
      <c r="AP12" s="57">
        <f t="shared" si="16"/>
        <v>0</v>
      </c>
      <c r="AQ12" s="57">
        <f t="shared" si="16"/>
        <v>0</v>
      </c>
      <c r="AR12" s="57"/>
    </row>
    <row r="13" spans="1:44" ht="18" customHeight="1">
      <c r="A13" s="101">
        <v>4</v>
      </c>
      <c r="B13" s="102" t="s">
        <v>22</v>
      </c>
      <c r="C13" s="144">
        <f t="shared" si="14"/>
        <v>35800</v>
      </c>
      <c r="D13" s="131">
        <f t="shared" si="3"/>
        <v>14320</v>
      </c>
      <c r="E13" s="132">
        <f t="shared" si="4"/>
        <v>573</v>
      </c>
      <c r="F13" s="132">
        <f t="shared" si="5"/>
        <v>14893</v>
      </c>
      <c r="G13" s="132">
        <f t="shared" si="15"/>
        <v>13690</v>
      </c>
      <c r="H13" s="131">
        <f t="shared" si="6"/>
        <v>5476</v>
      </c>
      <c r="I13" s="132">
        <f t="shared" si="7"/>
        <v>7447</v>
      </c>
      <c r="J13" s="132">
        <f t="shared" si="8"/>
        <v>12923</v>
      </c>
      <c r="K13" s="135">
        <f t="shared" si="0"/>
        <v>8844</v>
      </c>
      <c r="L13" s="135">
        <f t="shared" si="1"/>
        <v>-6874</v>
      </c>
      <c r="M13" s="135">
        <f t="shared" si="2"/>
        <v>1970</v>
      </c>
      <c r="N13" s="131">
        <f t="shared" si="9"/>
        <v>1970</v>
      </c>
      <c r="O13" s="131">
        <f t="shared" si="10"/>
        <v>1773</v>
      </c>
      <c r="P13" s="131">
        <f t="shared" si="11"/>
        <v>20</v>
      </c>
      <c r="Q13" s="132">
        <f t="shared" si="12"/>
        <v>1793</v>
      </c>
      <c r="R13" s="133">
        <f t="shared" si="13"/>
        <v>177</v>
      </c>
      <c r="S13" s="104"/>
      <c r="T13" s="105"/>
      <c r="W13" s="57"/>
      <c r="X13" s="57">
        <f t="shared" si="16"/>
        <v>32368</v>
      </c>
      <c r="Y13" s="57">
        <f t="shared" si="16"/>
        <v>56168</v>
      </c>
      <c r="Z13" s="57">
        <f t="shared" si="16"/>
        <v>37700</v>
      </c>
      <c r="AA13" s="57">
        <f t="shared" si="16"/>
        <v>-29908</v>
      </c>
      <c r="AB13" s="57">
        <f t="shared" si="16"/>
        <v>7792</v>
      </c>
      <c r="AC13" s="57">
        <f t="shared" si="16"/>
        <v>3117</v>
      </c>
      <c r="AD13" s="57">
        <f t="shared" si="16"/>
        <v>2805</v>
      </c>
      <c r="AE13" s="57">
        <f t="shared" si="16"/>
        <v>312</v>
      </c>
      <c r="AF13" s="57">
        <f t="shared" si="16"/>
        <v>3117</v>
      </c>
      <c r="AG13" s="57">
        <f t="shared" si="16"/>
        <v>0</v>
      </c>
      <c r="AH13" s="57">
        <f t="shared" si="16"/>
        <v>0</v>
      </c>
      <c r="AI13" s="57">
        <f t="shared" si="16"/>
        <v>0</v>
      </c>
      <c r="AJ13" s="57">
        <f t="shared" si="16"/>
        <v>0</v>
      </c>
      <c r="AK13" s="57">
        <f t="shared" si="16"/>
        <v>0</v>
      </c>
      <c r="AL13" s="57">
        <f t="shared" si="16"/>
        <v>0</v>
      </c>
      <c r="AM13" s="57">
        <f t="shared" si="16"/>
        <v>0</v>
      </c>
      <c r="AN13" s="57">
        <f t="shared" si="16"/>
        <v>40</v>
      </c>
      <c r="AO13" s="57">
        <f t="shared" si="16"/>
        <v>0</v>
      </c>
      <c r="AP13" s="57">
        <f t="shared" si="16"/>
        <v>0</v>
      </c>
      <c r="AQ13" s="57">
        <f t="shared" si="16"/>
        <v>0</v>
      </c>
      <c r="AR13" s="57"/>
    </row>
    <row r="14" spans="1:44" ht="18" customHeight="1">
      <c r="A14" s="101">
        <v>5</v>
      </c>
      <c r="B14" s="102" t="s">
        <v>23</v>
      </c>
      <c r="C14" s="144">
        <f t="shared" si="14"/>
        <v>35800</v>
      </c>
      <c r="D14" s="131">
        <f t="shared" si="3"/>
        <v>14320</v>
      </c>
      <c r="E14" s="132">
        <f t="shared" si="4"/>
        <v>573</v>
      </c>
      <c r="F14" s="132">
        <f t="shared" si="5"/>
        <v>14893</v>
      </c>
      <c r="G14" s="132">
        <f t="shared" si="15"/>
        <v>13690</v>
      </c>
      <c r="H14" s="131">
        <f t="shared" si="6"/>
        <v>5476</v>
      </c>
      <c r="I14" s="132">
        <f t="shared" si="7"/>
        <v>7447</v>
      </c>
      <c r="J14" s="132">
        <f t="shared" si="8"/>
        <v>12923</v>
      </c>
      <c r="K14" s="135">
        <f t="shared" si="0"/>
        <v>8844</v>
      </c>
      <c r="L14" s="135">
        <f t="shared" si="1"/>
        <v>-6874</v>
      </c>
      <c r="M14" s="135">
        <f t="shared" si="2"/>
        <v>1970</v>
      </c>
      <c r="N14" s="131">
        <f t="shared" si="9"/>
        <v>1970</v>
      </c>
      <c r="O14" s="131">
        <f t="shared" si="10"/>
        <v>1773</v>
      </c>
      <c r="P14" s="131">
        <f t="shared" si="11"/>
        <v>20</v>
      </c>
      <c r="Q14" s="132">
        <f t="shared" si="12"/>
        <v>1793</v>
      </c>
      <c r="R14" s="133">
        <f t="shared" si="13"/>
        <v>177</v>
      </c>
      <c r="S14" s="104"/>
      <c r="T14" s="105"/>
      <c r="W14" s="57"/>
      <c r="X14" s="57">
        <f t="shared" si="16"/>
        <v>32368</v>
      </c>
      <c r="Y14" s="57">
        <f t="shared" si="16"/>
        <v>56168</v>
      </c>
      <c r="Z14" s="57">
        <f t="shared" si="16"/>
        <v>37700</v>
      </c>
      <c r="AA14" s="57">
        <f t="shared" si="16"/>
        <v>-29908</v>
      </c>
      <c r="AB14" s="57">
        <f t="shared" si="16"/>
        <v>7792</v>
      </c>
      <c r="AC14" s="57">
        <f t="shared" si="16"/>
        <v>3117</v>
      </c>
      <c r="AD14" s="57">
        <f t="shared" si="16"/>
        <v>2805</v>
      </c>
      <c r="AE14" s="57">
        <f t="shared" si="16"/>
        <v>312</v>
      </c>
      <c r="AF14" s="57">
        <f t="shared" si="16"/>
        <v>3117</v>
      </c>
      <c r="AG14" s="57">
        <f t="shared" si="16"/>
        <v>0</v>
      </c>
      <c r="AH14" s="57">
        <f t="shared" si="16"/>
        <v>0</v>
      </c>
      <c r="AI14" s="57">
        <f t="shared" si="16"/>
        <v>0</v>
      </c>
      <c r="AJ14" s="57">
        <f t="shared" si="16"/>
        <v>0</v>
      </c>
      <c r="AK14" s="57">
        <f t="shared" si="16"/>
        <v>0</v>
      </c>
      <c r="AL14" s="57">
        <f t="shared" si="16"/>
        <v>0</v>
      </c>
      <c r="AM14" s="57">
        <f t="shared" si="16"/>
        <v>0</v>
      </c>
      <c r="AN14" s="57">
        <f t="shared" si="16"/>
        <v>40</v>
      </c>
      <c r="AO14" s="57">
        <f t="shared" si="16"/>
        <v>0</v>
      </c>
      <c r="AP14" s="57">
        <f t="shared" si="16"/>
        <v>0</v>
      </c>
      <c r="AQ14" s="57">
        <f t="shared" si="16"/>
        <v>0</v>
      </c>
      <c r="AR14" s="57"/>
    </row>
    <row r="15" spans="1:44" ht="18" customHeight="1">
      <c r="A15" s="101">
        <v>6</v>
      </c>
      <c r="B15" s="102" t="s">
        <v>24</v>
      </c>
      <c r="C15" s="144">
        <f t="shared" si="14"/>
        <v>35800</v>
      </c>
      <c r="D15" s="131">
        <f t="shared" si="3"/>
        <v>14320</v>
      </c>
      <c r="E15" s="132">
        <f t="shared" si="4"/>
        <v>573</v>
      </c>
      <c r="F15" s="132">
        <f t="shared" si="5"/>
        <v>14893</v>
      </c>
      <c r="G15" s="132">
        <f t="shared" si="15"/>
        <v>13690</v>
      </c>
      <c r="H15" s="131">
        <f t="shared" si="6"/>
        <v>5476</v>
      </c>
      <c r="I15" s="132">
        <f t="shared" si="7"/>
        <v>7447</v>
      </c>
      <c r="J15" s="132">
        <f t="shared" si="8"/>
        <v>12923</v>
      </c>
      <c r="K15" s="135">
        <f t="shared" si="0"/>
        <v>8844</v>
      </c>
      <c r="L15" s="135">
        <f t="shared" si="1"/>
        <v>-6874</v>
      </c>
      <c r="M15" s="135">
        <f t="shared" si="2"/>
        <v>1970</v>
      </c>
      <c r="N15" s="131">
        <f t="shared" si="9"/>
        <v>1970</v>
      </c>
      <c r="O15" s="131">
        <f t="shared" si="10"/>
        <v>1773</v>
      </c>
      <c r="P15" s="131">
        <f t="shared" si="11"/>
        <v>20</v>
      </c>
      <c r="Q15" s="132">
        <f t="shared" si="12"/>
        <v>1793</v>
      </c>
      <c r="R15" s="133">
        <f t="shared" si="13"/>
        <v>177</v>
      </c>
      <c r="S15" s="104"/>
      <c r="T15" s="105"/>
      <c r="W15" s="57"/>
      <c r="X15" s="57">
        <f t="shared" ref="X15:AQ15" si="17">SUM(X11:X14)</f>
        <v>129472</v>
      </c>
      <c r="Y15" s="57">
        <f t="shared" si="17"/>
        <v>224672</v>
      </c>
      <c r="Z15" s="57">
        <f t="shared" si="17"/>
        <v>150800</v>
      </c>
      <c r="AA15" s="57">
        <f t="shared" si="17"/>
        <v>-119632</v>
      </c>
      <c r="AB15" s="57">
        <f t="shared" si="17"/>
        <v>31168</v>
      </c>
      <c r="AC15" s="57">
        <f t="shared" si="17"/>
        <v>12468</v>
      </c>
      <c r="AD15" s="57">
        <f t="shared" si="17"/>
        <v>11220</v>
      </c>
      <c r="AE15" s="57">
        <f t="shared" si="17"/>
        <v>1248</v>
      </c>
      <c r="AF15" s="57">
        <f t="shared" si="17"/>
        <v>12468</v>
      </c>
      <c r="AG15" s="57">
        <f t="shared" si="17"/>
        <v>0</v>
      </c>
      <c r="AH15" s="57">
        <f t="shared" si="17"/>
        <v>0</v>
      </c>
      <c r="AI15" s="57">
        <f t="shared" si="17"/>
        <v>0</v>
      </c>
      <c r="AJ15" s="57">
        <f t="shared" si="17"/>
        <v>0</v>
      </c>
      <c r="AK15" s="57">
        <f t="shared" si="17"/>
        <v>0</v>
      </c>
      <c r="AL15" s="57">
        <f t="shared" si="17"/>
        <v>0</v>
      </c>
      <c r="AM15" s="57">
        <f t="shared" si="17"/>
        <v>0</v>
      </c>
      <c r="AN15" s="57">
        <f t="shared" si="17"/>
        <v>160</v>
      </c>
      <c r="AO15" s="57">
        <f t="shared" si="17"/>
        <v>0</v>
      </c>
      <c r="AP15" s="57">
        <f t="shared" si="17"/>
        <v>0</v>
      </c>
      <c r="AQ15" s="57">
        <f t="shared" si="17"/>
        <v>0</v>
      </c>
      <c r="AR15" s="57"/>
    </row>
    <row r="16" spans="1:44" ht="18" customHeight="1">
      <c r="A16" s="101">
        <v>7</v>
      </c>
      <c r="B16" s="102" t="s">
        <v>25</v>
      </c>
      <c r="C16" s="144">
        <f>MROUND(C15*1.03,100)</f>
        <v>36900</v>
      </c>
      <c r="D16" s="131">
        <f t="shared" si="3"/>
        <v>14760</v>
      </c>
      <c r="E16" s="132">
        <f>ROUND((D16*5%),0)</f>
        <v>738</v>
      </c>
      <c r="F16" s="132">
        <f t="shared" si="5"/>
        <v>15498</v>
      </c>
      <c r="G16" s="132">
        <f>ROUNDUP(ROUND(G15*1.03,),-1)</f>
        <v>14110</v>
      </c>
      <c r="H16" s="131">
        <f t="shared" si="6"/>
        <v>5644</v>
      </c>
      <c r="I16" s="132">
        <f>IF(AND($S$4=""),"",IF(AND(D16=""),"",IF(AND($AC$4=$Z$7),"",ROUND((H16*139%),0))))</f>
        <v>7845</v>
      </c>
      <c r="J16" s="132">
        <f t="shared" si="8"/>
        <v>13489</v>
      </c>
      <c r="K16" s="131">
        <f t="shared" si="0"/>
        <v>9116</v>
      </c>
      <c r="L16" s="131">
        <f t="shared" si="1"/>
        <v>-7107</v>
      </c>
      <c r="M16" s="131">
        <f t="shared" si="2"/>
        <v>2009</v>
      </c>
      <c r="N16" s="131">
        <f t="shared" si="9"/>
        <v>2009</v>
      </c>
      <c r="O16" s="131">
        <f t="shared" si="10"/>
        <v>1808</v>
      </c>
      <c r="P16" s="131">
        <f t="shared" si="11"/>
        <v>20</v>
      </c>
      <c r="Q16" s="132">
        <f t="shared" si="12"/>
        <v>1828</v>
      </c>
      <c r="R16" s="133">
        <f t="shared" si="13"/>
        <v>181</v>
      </c>
      <c r="S16" s="104"/>
      <c r="T16" s="105"/>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TWO  Lac.  TWENTY  FOUR  THOUSAND  SIX  HUNDRED  SEVENTY  TWO  Only)</v>
      </c>
      <c r="AA16" s="2"/>
      <c r="AD16" s="1">
        <v>4</v>
      </c>
      <c r="AF16" s="3">
        <f>IF(AND($AJ$4=$AG$3),AE13,AF15)</f>
        <v>12468</v>
      </c>
      <c r="AH16" s="3">
        <f>IF(AND($AJ$4=$AG$3),AG13,AH15)</f>
        <v>0</v>
      </c>
    </row>
    <row r="17" spans="1:34" ht="18" customHeight="1">
      <c r="A17" s="101">
        <v>8</v>
      </c>
      <c r="B17" s="102" t="s">
        <v>26</v>
      </c>
      <c r="C17" s="144">
        <f t="shared" si="14"/>
        <v>36900</v>
      </c>
      <c r="D17" s="131">
        <f t="shared" si="3"/>
        <v>14760</v>
      </c>
      <c r="E17" s="132">
        <f t="shared" ref="E17:E18" si="18">ROUND((D17*5%),0)</f>
        <v>738</v>
      </c>
      <c r="F17" s="132">
        <f t="shared" si="5"/>
        <v>15498</v>
      </c>
      <c r="G17" s="132">
        <f t="shared" si="15"/>
        <v>14110</v>
      </c>
      <c r="H17" s="131">
        <f t="shared" si="6"/>
        <v>5644</v>
      </c>
      <c r="I17" s="132">
        <f t="shared" ref="I17:I18" si="19">IF(AND($S$4=""),"",IF(AND(D17=""),"",IF(AND($AC$4=$Z$7),"",ROUND((H17*139%),0))))</f>
        <v>7845</v>
      </c>
      <c r="J17" s="132">
        <f t="shared" si="8"/>
        <v>13489</v>
      </c>
      <c r="K17" s="131">
        <f t="shared" si="0"/>
        <v>9116</v>
      </c>
      <c r="L17" s="131">
        <f t="shared" si="1"/>
        <v>-7107</v>
      </c>
      <c r="M17" s="131">
        <f t="shared" si="2"/>
        <v>2009</v>
      </c>
      <c r="N17" s="131">
        <f t="shared" si="9"/>
        <v>2009</v>
      </c>
      <c r="O17" s="131">
        <f t="shared" si="10"/>
        <v>1808</v>
      </c>
      <c r="P17" s="131">
        <f t="shared" si="11"/>
        <v>20</v>
      </c>
      <c r="Q17" s="132">
        <f t="shared" si="12"/>
        <v>1828</v>
      </c>
      <c r="R17" s="133">
        <f t="shared" si="13"/>
        <v>181</v>
      </c>
      <c r="S17" s="104"/>
      <c r="T17" s="105"/>
      <c r="Y17" s="1">
        <f>IF(AND($S$4=""),"",M22)</f>
        <v>1605</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ONE  THOUSAND  SIX  HUNDRED  FIVE  Only)</v>
      </c>
      <c r="AD17" s="1">
        <v>5</v>
      </c>
      <c r="AF17" s="3">
        <f>IF(AND($AK$4=$AG$3),AE13,AF16)</f>
        <v>12468</v>
      </c>
      <c r="AH17" s="3">
        <f>IF(AND($AK$4=$AG$3),AG13,AH16)</f>
        <v>0</v>
      </c>
    </row>
    <row r="18" spans="1:34" ht="18" customHeight="1" thickBot="1">
      <c r="A18" s="101">
        <v>9</v>
      </c>
      <c r="B18" s="102" t="s">
        <v>27</v>
      </c>
      <c r="C18" s="144">
        <f t="shared" si="14"/>
        <v>36900</v>
      </c>
      <c r="D18" s="131">
        <f t="shared" si="3"/>
        <v>14760</v>
      </c>
      <c r="E18" s="132">
        <f t="shared" si="18"/>
        <v>738</v>
      </c>
      <c r="F18" s="132">
        <f t="shared" si="5"/>
        <v>15498</v>
      </c>
      <c r="G18" s="132">
        <f t="shared" si="15"/>
        <v>14110</v>
      </c>
      <c r="H18" s="131">
        <f t="shared" si="6"/>
        <v>5644</v>
      </c>
      <c r="I18" s="132">
        <f t="shared" si="19"/>
        <v>7845</v>
      </c>
      <c r="J18" s="132">
        <f t="shared" si="8"/>
        <v>13489</v>
      </c>
      <c r="K18" s="135">
        <f t="shared" si="0"/>
        <v>9116</v>
      </c>
      <c r="L18" s="135">
        <f t="shared" si="1"/>
        <v>-7107</v>
      </c>
      <c r="M18" s="135">
        <f t="shared" si="2"/>
        <v>2009</v>
      </c>
      <c r="N18" s="131">
        <f>M18</f>
        <v>2009</v>
      </c>
      <c r="O18" s="131">
        <f t="shared" si="10"/>
        <v>1808</v>
      </c>
      <c r="P18" s="131">
        <f t="shared" si="11"/>
        <v>20</v>
      </c>
      <c r="Q18" s="132">
        <f t="shared" si="12"/>
        <v>1828</v>
      </c>
      <c r="R18" s="133">
        <f t="shared" si="13"/>
        <v>181</v>
      </c>
      <c r="S18" s="104"/>
      <c r="T18" s="105"/>
      <c r="AA18" s="2"/>
      <c r="AD18" s="1">
        <v>6</v>
      </c>
      <c r="AF18" s="3">
        <f>IF(AND($AL$4=$AG$3),AE13,AF17)</f>
        <v>12468</v>
      </c>
      <c r="AH18" s="3">
        <f>IF(AND($AL$4=$AG$3),AG13,AH17)</f>
        <v>0</v>
      </c>
    </row>
    <row r="19" spans="1:34" hidden="1">
      <c r="A19" s="101"/>
      <c r="B19" s="103"/>
      <c r="C19" s="136"/>
      <c r="D19" s="136"/>
      <c r="E19" s="135"/>
      <c r="F19" s="131"/>
      <c r="G19" s="132"/>
      <c r="H19" s="135"/>
      <c r="I19" s="135"/>
      <c r="J19" s="132"/>
      <c r="K19" s="135"/>
      <c r="L19" s="135"/>
      <c r="M19" s="135"/>
      <c r="N19" s="131"/>
      <c r="O19" s="131" t="str">
        <f t="shared" si="10"/>
        <v/>
      </c>
      <c r="P19" s="131"/>
      <c r="Q19" s="134"/>
      <c r="R19" s="133"/>
      <c r="S19" s="104"/>
      <c r="T19" s="105"/>
      <c r="AA19" s="2"/>
      <c r="AD19" s="1">
        <v>7</v>
      </c>
      <c r="AF19" s="3">
        <f>IF(AND(AK13&gt;=8),"",IF(AND($AM$4=$AG$3),AE13,MROUND(AF18*1.03,100)))</f>
        <v>12800</v>
      </c>
      <c r="AH19" s="3">
        <f>IF(AND(AK13&gt;=8),"",IF(AND($AM$4=$AG$3),AG13,ROUNDUP(ROUND(AH18*1.03,),-1)))</f>
        <v>0</v>
      </c>
    </row>
    <row r="20" spans="1:34" ht="15.75" hidden="1" thickBot="1">
      <c r="A20" s="101"/>
      <c r="B20" s="103"/>
      <c r="C20" s="136"/>
      <c r="D20" s="136"/>
      <c r="E20" s="135"/>
      <c r="F20" s="131"/>
      <c r="G20" s="132"/>
      <c r="H20" s="135"/>
      <c r="I20" s="135"/>
      <c r="J20" s="132"/>
      <c r="K20" s="135"/>
      <c r="L20" s="135"/>
      <c r="M20" s="135"/>
      <c r="N20" s="131"/>
      <c r="O20" s="131" t="str">
        <f t="shared" si="10"/>
        <v/>
      </c>
      <c r="P20" s="131"/>
      <c r="Q20" s="134"/>
      <c r="R20" s="133"/>
      <c r="S20" s="104"/>
      <c r="T20" s="105"/>
      <c r="V20" s="54"/>
      <c r="AA20" s="2"/>
      <c r="AD20" s="1">
        <v>8</v>
      </c>
      <c r="AF20" s="3">
        <f>IF(AND($AN$4=$AG$3),AE13,AF19)</f>
        <v>12800</v>
      </c>
      <c r="AH20" s="39">
        <f>IF(AND($AN$4=$AG$3),AG13,AH19)</f>
        <v>0</v>
      </c>
    </row>
    <row r="21" spans="1:34" ht="20.25" thickTop="1" thickBot="1">
      <c r="A21" s="263" t="s">
        <v>28</v>
      </c>
      <c r="B21" s="264"/>
      <c r="C21" s="145"/>
      <c r="D21" s="137">
        <f t="shared" ref="D21:R21" si="20">IF(AND($S$4=""),"",SUM(D10:D20))</f>
        <v>130200</v>
      </c>
      <c r="E21" s="137">
        <f t="shared" si="20"/>
        <v>5652</v>
      </c>
      <c r="F21" s="137">
        <f t="shared" si="20"/>
        <v>135852</v>
      </c>
      <c r="G21" s="137"/>
      <c r="H21" s="138">
        <f t="shared" si="20"/>
        <v>49788</v>
      </c>
      <c r="I21" s="138">
        <f t="shared" si="20"/>
        <v>68217</v>
      </c>
      <c r="J21" s="138">
        <f t="shared" si="20"/>
        <v>118005</v>
      </c>
      <c r="K21" s="138">
        <f t="shared" si="20"/>
        <v>80412</v>
      </c>
      <c r="L21" s="138">
        <f t="shared" si="20"/>
        <v>-62565</v>
      </c>
      <c r="M21" s="138">
        <f t="shared" si="20"/>
        <v>17847</v>
      </c>
      <c r="N21" s="138">
        <f t="shared" si="20"/>
        <v>17847</v>
      </c>
      <c r="O21" s="138">
        <f t="shared" si="20"/>
        <v>16062</v>
      </c>
      <c r="P21" s="138">
        <f t="shared" si="20"/>
        <v>180</v>
      </c>
      <c r="Q21" s="138">
        <f t="shared" si="20"/>
        <v>16242</v>
      </c>
      <c r="R21" s="139">
        <f t="shared" si="20"/>
        <v>1605</v>
      </c>
      <c r="S21" s="218"/>
      <c r="T21" s="219"/>
      <c r="AD21" s="1">
        <v>9</v>
      </c>
      <c r="AF21" s="3">
        <f>IF(AND($AO$4=$AG$3),AE13,AF20)</f>
        <v>12800</v>
      </c>
      <c r="AH21" s="40">
        <f>IF(AND($AO$4=$AG$3),AG13,AH20)</f>
        <v>0</v>
      </c>
    </row>
    <row r="22" spans="1:34" ht="18.75" thickTop="1" thickBot="1">
      <c r="A22" s="117"/>
      <c r="B22" s="97" t="s">
        <v>76</v>
      </c>
      <c r="C22" s="97"/>
      <c r="D22" s="265" t="str">
        <f>IF(AND(S$4=""),"",IF(AND(AE7&lt;=AE8),"01-01-2017",AE7))</f>
        <v>01-01-2017</v>
      </c>
      <c r="E22" s="265"/>
      <c r="F22" s="266" t="s">
        <v>91</v>
      </c>
      <c r="G22" s="266"/>
      <c r="H22" s="266"/>
      <c r="I22" s="266"/>
      <c r="J22" s="266"/>
      <c r="K22" s="266"/>
      <c r="L22" s="266"/>
      <c r="M22" s="267">
        <f>IF(AND(S4=""),"",IF(AND(AB4=$AA$7),R21,O21))</f>
        <v>1605</v>
      </c>
      <c r="N22" s="267"/>
      <c r="O22" s="268" t="str">
        <f>IF(AND(S$4=""),"",IF(AND(AB4=$AA$7),"dk udn Hkqxrku fd;k x;k A","jkf'k thih,Q esa tek A"))</f>
        <v>dk udn Hkqxrku fd;k x;k A</v>
      </c>
      <c r="P22" s="268"/>
      <c r="Q22" s="268"/>
      <c r="R22" s="268"/>
      <c r="S22" s="118"/>
      <c r="T22" s="119"/>
      <c r="W22" s="61"/>
      <c r="AF22" s="39"/>
      <c r="AH22" s="39"/>
    </row>
    <row r="23" spans="1:34" ht="20.25" thickTop="1" thickBot="1">
      <c r="A23" s="109"/>
      <c r="B23" s="116"/>
      <c r="C23" s="116"/>
      <c r="D23" s="116"/>
      <c r="E23" s="255"/>
      <c r="F23" s="255"/>
      <c r="G23" s="255"/>
      <c r="H23" s="255"/>
      <c r="I23" s="255"/>
      <c r="J23" s="116"/>
      <c r="K23" s="116"/>
      <c r="L23" s="256" t="s">
        <v>92</v>
      </c>
      <c r="M23" s="256"/>
      <c r="N23" s="256"/>
      <c r="O23" s="256"/>
      <c r="P23" s="257">
        <f>IF(AND($S$4=""),"",N21)</f>
        <v>17847</v>
      </c>
      <c r="Q23" s="257"/>
      <c r="R23" s="258" t="s">
        <v>62</v>
      </c>
      <c r="S23" s="258"/>
      <c r="T23" s="259"/>
      <c r="AF23" s="40"/>
      <c r="AH23" s="40"/>
    </row>
    <row r="24" spans="1:34" ht="21" customHeight="1" thickTop="1">
      <c r="A24" s="109"/>
      <c r="B24" s="260" t="str">
        <f>IF(AND($S$4=""),"",IF(AND(G4=""),"",IF(AND(F7=""),"",F7)))</f>
        <v>Third installment of Arrear on 01-10-2018 (40% Amount)</v>
      </c>
      <c r="C24" s="260"/>
      <c r="D24" s="260"/>
      <c r="E24" s="260"/>
      <c r="F24" s="260"/>
      <c r="G24" s="260"/>
      <c r="H24" s="260"/>
      <c r="I24" s="260"/>
      <c r="J24" s="260"/>
      <c r="K24" s="260"/>
      <c r="L24" s="256" t="str">
        <f>IF(AND(S4=""),"",IF(AND(AB4=$AA$7),",u-ih-,l- dVkSrh","jkf'k thih,Q esa tek A"))</f>
        <v>,u-ih-,l- dVkSrh</v>
      </c>
      <c r="M24" s="256"/>
      <c r="N24" s="256"/>
      <c r="O24" s="256"/>
      <c r="P24" s="257">
        <f>IF(AND($S$4=""),"",O21)</f>
        <v>16062</v>
      </c>
      <c r="Q24" s="257"/>
      <c r="R24" s="261" t="str">
        <f>IF(AND($S$4=""),"",Z17)</f>
        <v>( Rs.   ONE  THOUSAND  SIX  HUNDRED  FIVE  Only)</v>
      </c>
      <c r="S24" s="261"/>
      <c r="T24" s="262"/>
      <c r="AF24" s="4"/>
      <c r="AH24" s="4"/>
    </row>
    <row r="25" spans="1:34" ht="21" customHeight="1">
      <c r="A25" s="109"/>
      <c r="B25" s="141"/>
      <c r="C25" s="141"/>
      <c r="D25" s="252"/>
      <c r="E25" s="252"/>
      <c r="F25" s="252"/>
      <c r="G25" s="252"/>
      <c r="H25" s="252"/>
      <c r="I25" s="252"/>
      <c r="J25" s="120"/>
      <c r="K25" s="120"/>
      <c r="L25" s="256" t="s">
        <v>60</v>
      </c>
      <c r="M25" s="256"/>
      <c r="N25" s="256"/>
      <c r="O25" s="256"/>
      <c r="P25" s="257">
        <f>IF(AND($S$4=""),"",P21)</f>
        <v>180</v>
      </c>
      <c r="Q25" s="257"/>
      <c r="R25" s="261"/>
      <c r="S25" s="261"/>
      <c r="T25" s="262"/>
    </row>
    <row r="26" spans="1:34" ht="15.75">
      <c r="A26" s="121"/>
      <c r="B26" s="122"/>
      <c r="C26" s="122"/>
      <c r="D26" s="247"/>
      <c r="E26" s="247"/>
      <c r="F26" s="247"/>
      <c r="G26" s="247"/>
      <c r="H26" s="247"/>
      <c r="I26" s="247"/>
      <c r="J26" s="123"/>
      <c r="K26" s="123"/>
      <c r="L26" s="248" t="s">
        <v>61</v>
      </c>
      <c r="M26" s="248"/>
      <c r="N26" s="248"/>
      <c r="O26" s="248"/>
      <c r="P26" s="249">
        <f>IF(AND(AB4=$AA$7),SUM(P23-P24-P25),0)</f>
        <v>1605</v>
      </c>
      <c r="Q26" s="249"/>
      <c r="R26" s="250" t="str">
        <f>IF(AND(S$4=""),"",IF(AND(AB4=$AA$7),"dk udn Hkqxrku fd;k x;k","jkf'k thih,Q esa tek"))</f>
        <v>dk udn Hkqxrku fd;k x;k</v>
      </c>
      <c r="S26" s="250"/>
      <c r="T26" s="251"/>
    </row>
    <row r="27" spans="1:34" ht="18.75">
      <c r="A27" s="109"/>
      <c r="B27" s="141"/>
      <c r="C27" s="141"/>
      <c r="D27" s="252"/>
      <c r="E27" s="252"/>
      <c r="F27" s="252"/>
      <c r="G27" s="252"/>
      <c r="H27" s="252"/>
      <c r="I27" s="252"/>
      <c r="J27" s="120"/>
      <c r="K27" s="120"/>
      <c r="L27" s="120"/>
      <c r="M27" s="124"/>
      <c r="N27" s="124"/>
      <c r="O27" s="116"/>
      <c r="P27" s="116"/>
      <c r="Q27" s="125"/>
      <c r="R27" s="125"/>
      <c r="S27" s="125"/>
      <c r="T27" s="126"/>
    </row>
    <row r="28" spans="1:34" ht="19.5" customHeight="1">
      <c r="A28" s="109"/>
      <c r="B28" s="141"/>
      <c r="C28" s="141"/>
      <c r="D28" s="140"/>
      <c r="E28" s="140"/>
      <c r="F28" s="140"/>
      <c r="G28" s="140"/>
      <c r="H28" s="140"/>
      <c r="I28" s="140"/>
      <c r="J28" s="120"/>
      <c r="K28" s="120"/>
      <c r="L28" s="120"/>
      <c r="M28" s="124"/>
      <c r="N28" s="124"/>
      <c r="O28" s="116"/>
      <c r="P28" s="116"/>
      <c r="Q28" s="125"/>
      <c r="R28" s="253" t="str">
        <f>CONCATENATE("(  ",Master!C4," )")</f>
        <v>(  Mishari lal )</v>
      </c>
      <c r="S28" s="253"/>
      <c r="T28" s="254"/>
    </row>
    <row r="29" spans="1:34" ht="15.75">
      <c r="A29" s="109"/>
      <c r="B29" s="116"/>
      <c r="C29" s="116"/>
      <c r="D29" s="116"/>
      <c r="E29" s="116"/>
      <c r="F29" s="116"/>
      <c r="G29" s="116"/>
      <c r="H29" s="116"/>
      <c r="I29" s="116"/>
      <c r="J29" s="116"/>
      <c r="K29" s="116"/>
      <c r="L29" s="116"/>
      <c r="M29" s="116"/>
      <c r="N29" s="116"/>
      <c r="O29" s="116"/>
      <c r="P29" s="116"/>
      <c r="Q29" s="116"/>
      <c r="R29" s="243" t="s">
        <v>71</v>
      </c>
      <c r="S29" s="243"/>
      <c r="T29" s="244"/>
    </row>
    <row r="30" spans="1:34" ht="16.5" thickBot="1">
      <c r="A30" s="127"/>
      <c r="B30" s="128"/>
      <c r="C30" s="128"/>
      <c r="D30" s="128"/>
      <c r="E30" s="128"/>
      <c r="F30" s="128"/>
      <c r="G30" s="128"/>
      <c r="H30" s="128"/>
      <c r="I30" s="128"/>
      <c r="J30" s="128"/>
      <c r="K30" s="128"/>
      <c r="L30" s="128"/>
      <c r="M30" s="128"/>
      <c r="N30" s="128"/>
      <c r="O30" s="128"/>
      <c r="P30" s="128"/>
      <c r="Q30" s="128"/>
      <c r="R30" s="245" t="s">
        <v>72</v>
      </c>
      <c r="S30" s="245"/>
      <c r="T30" s="246"/>
    </row>
  </sheetData>
  <sheetProtection password="C1FB" sheet="1" objects="1" scenarios="1" formatCells="0" formatColumns="0" formatRows="0"/>
  <mergeCells count="46">
    <mergeCell ref="B2:S2"/>
    <mergeCell ref="B3:S3"/>
    <mergeCell ref="D4:F4"/>
    <mergeCell ref="K4:L4"/>
    <mergeCell ref="M4:P4"/>
    <mergeCell ref="Q4:R4"/>
    <mergeCell ref="U4:V4"/>
    <mergeCell ref="B5:S5"/>
    <mergeCell ref="D6:R6"/>
    <mergeCell ref="F7:O7"/>
    <mergeCell ref="A8:A9"/>
    <mergeCell ref="B8:B9"/>
    <mergeCell ref="K8:M8"/>
    <mergeCell ref="N8:N9"/>
    <mergeCell ref="O8:Q8"/>
    <mergeCell ref="R8:R9"/>
    <mergeCell ref="S8:S9"/>
    <mergeCell ref="T8:T9"/>
    <mergeCell ref="C8:F8"/>
    <mergeCell ref="G8:J8"/>
    <mergeCell ref="G4:J4"/>
    <mergeCell ref="A21:B21"/>
    <mergeCell ref="S21:T21"/>
    <mergeCell ref="D22:E22"/>
    <mergeCell ref="F22:L22"/>
    <mergeCell ref="M22:N22"/>
    <mergeCell ref="O22:R22"/>
    <mergeCell ref="E23:I23"/>
    <mergeCell ref="L23:O23"/>
    <mergeCell ref="P23:Q23"/>
    <mergeCell ref="R23:T23"/>
    <mergeCell ref="B24:K24"/>
    <mergeCell ref="L24:O24"/>
    <mergeCell ref="P24:Q24"/>
    <mergeCell ref="R24:T25"/>
    <mergeCell ref="D25:I25"/>
    <mergeCell ref="L25:O25"/>
    <mergeCell ref="P25:Q25"/>
    <mergeCell ref="R29:T29"/>
    <mergeCell ref="R30:T30"/>
    <mergeCell ref="D26:I26"/>
    <mergeCell ref="L26:O26"/>
    <mergeCell ref="P26:Q26"/>
    <mergeCell ref="R26:T26"/>
    <mergeCell ref="D27:I27"/>
    <mergeCell ref="R28:T28"/>
  </mergeCells>
  <dataValidations count="1">
    <dataValidation type="list" allowBlank="1" showInputMessage="1" showErrorMessage="1" sqref="F7:G7">
      <formula1>$Z$1:$Z$4</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AP23"/>
  <sheetViews>
    <sheetView workbookViewId="0">
      <selection activeCell="T19" sqref="T19"/>
    </sheetView>
  </sheetViews>
  <sheetFormatPr defaultRowHeight="15"/>
  <cols>
    <col min="1" max="1" width="4.85546875" style="1" customWidth="1"/>
    <col min="2" max="2" width="9.85546875" style="1" customWidth="1"/>
    <col min="3" max="13" width="7.7109375" style="1" customWidth="1"/>
    <col min="14" max="15" width="7.42578125" style="1" customWidth="1"/>
    <col min="16" max="16" width="8.42578125" style="1" customWidth="1"/>
    <col min="17" max="17" width="9.7109375" style="1" customWidth="1"/>
    <col min="18" max="18" width="9" style="1" customWidth="1"/>
    <col min="19" max="19" width="9.140625" style="1"/>
    <col min="20" max="21" width="10.28515625" style="1" customWidth="1"/>
    <col min="22" max="22" width="9.140625" style="1" customWidth="1"/>
    <col min="23"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74</v>
      </c>
      <c r="AA1" s="5"/>
    </row>
    <row r="2" spans="1:40" ht="18.75">
      <c r="A2" s="62"/>
      <c r="B2" s="239" t="s">
        <v>56</v>
      </c>
      <c r="C2" s="239"/>
      <c r="D2" s="239"/>
      <c r="E2" s="239"/>
      <c r="F2" s="239"/>
      <c r="G2" s="239"/>
      <c r="H2" s="239"/>
      <c r="I2" s="239"/>
      <c r="J2" s="239"/>
      <c r="K2" s="239"/>
      <c r="L2" s="239"/>
      <c r="M2" s="239"/>
      <c r="N2" s="239"/>
      <c r="O2" s="239"/>
      <c r="P2" s="239"/>
      <c r="Q2" s="239"/>
      <c r="R2" s="63"/>
      <c r="S2" s="49"/>
      <c r="T2" s="49"/>
      <c r="U2" s="49"/>
      <c r="V2" s="49"/>
      <c r="X2" s="1" t="s">
        <v>73</v>
      </c>
      <c r="AA2" s="5"/>
      <c r="AE2" s="1" t="b">
        <v>0</v>
      </c>
    </row>
    <row r="3" spans="1:40" ht="18.75">
      <c r="A3" s="64"/>
      <c r="B3" s="240" t="str">
        <f>CONCATENATE("OFFICE OF THE PRINCIPAL , ",Master!C3)</f>
        <v>OFFICE OF THE PRINCIPAL , Government Senior Secondry School Inderwara (RANI), Pali</v>
      </c>
      <c r="C3" s="240"/>
      <c r="D3" s="240"/>
      <c r="E3" s="240"/>
      <c r="F3" s="240"/>
      <c r="G3" s="240"/>
      <c r="H3" s="240"/>
      <c r="I3" s="240"/>
      <c r="J3" s="240"/>
      <c r="K3" s="240"/>
      <c r="L3" s="240"/>
      <c r="M3" s="240"/>
      <c r="N3" s="240"/>
      <c r="O3" s="240"/>
      <c r="P3" s="240"/>
      <c r="Q3" s="240"/>
      <c r="R3" s="65"/>
      <c r="S3" s="49"/>
      <c r="T3" s="49"/>
      <c r="U3" s="49"/>
      <c r="V3" s="49"/>
      <c r="X3" s="1" t="s">
        <v>75</v>
      </c>
      <c r="AA3" s="5"/>
      <c r="AE3" s="1" t="b">
        <v>1</v>
      </c>
    </row>
    <row r="4" spans="1:40" ht="18.75">
      <c r="A4" s="64"/>
      <c r="B4" s="66"/>
      <c r="C4" s="224" t="s">
        <v>57</v>
      </c>
      <c r="D4" s="224"/>
      <c r="E4" s="224"/>
      <c r="F4" s="241" t="str">
        <f>IF(ISNA(VLOOKUP($Q$4,Master!A$9:AO$78,2,FALSE)),"",VLOOKUP($Q$4,Master!A$9:AO$78,2,FALSE))</f>
        <v>MANGAL SINGH</v>
      </c>
      <c r="G4" s="241"/>
      <c r="H4" s="241"/>
      <c r="I4" s="224" t="s">
        <v>36</v>
      </c>
      <c r="J4" s="224"/>
      <c r="K4" s="241" t="str">
        <f>IF(ISNA(VLOOKUP($Q$4,Master!A$9:AO$78,3,FALSE)),"",VLOOKUP($Q$4,Master!A$9:AO$78,3,FALSE))</f>
        <v>TEACHER</v>
      </c>
      <c r="L4" s="241"/>
      <c r="M4" s="241"/>
      <c r="N4" s="241"/>
      <c r="O4" s="242" t="s">
        <v>77</v>
      </c>
      <c r="P4" s="242"/>
      <c r="Q4" s="84">
        <v>2</v>
      </c>
      <c r="R4" s="65"/>
      <c r="S4" s="223"/>
      <c r="T4" s="223"/>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21270</v>
      </c>
      <c r="AD4" s="1">
        <f>IF(ISNA(VLOOKUP($Q$4,Master!A$9:AO$78,9,FALSE)),"",VLOOKUP($Q$4,Master!A$9:AO$78,9,FALSE))</f>
        <v>56100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224" t="s">
        <v>85</v>
      </c>
      <c r="C5" s="224"/>
      <c r="D5" s="224"/>
      <c r="E5" s="224"/>
      <c r="F5" s="224"/>
      <c r="G5" s="224"/>
      <c r="H5" s="224"/>
      <c r="I5" s="224"/>
      <c r="J5" s="224"/>
      <c r="K5" s="224"/>
      <c r="L5" s="224"/>
      <c r="M5" s="224"/>
      <c r="N5" s="224"/>
      <c r="O5" s="224"/>
      <c r="P5" s="224"/>
      <c r="Q5" s="224"/>
      <c r="R5" s="65"/>
      <c r="S5" s="50"/>
      <c r="T5" s="50"/>
      <c r="U5" s="50"/>
      <c r="V5" s="50"/>
      <c r="AA5" s="5"/>
    </row>
    <row r="6" spans="1:40" ht="18.75">
      <c r="A6" s="64"/>
      <c r="B6" s="162"/>
      <c r="C6" s="299"/>
      <c r="D6" s="299"/>
      <c r="E6" s="299"/>
      <c r="F6" s="299"/>
      <c r="G6" s="299"/>
      <c r="H6" s="299"/>
      <c r="I6" s="299"/>
      <c r="J6" s="299"/>
      <c r="K6" s="299"/>
      <c r="L6" s="299"/>
      <c r="M6" s="299"/>
      <c r="N6" s="299"/>
      <c r="O6" s="299"/>
      <c r="P6" s="299"/>
      <c r="Q6" s="162"/>
      <c r="R6" s="163"/>
      <c r="X6" s="1" t="s">
        <v>1</v>
      </c>
      <c r="Y6" s="1" t="s">
        <v>4</v>
      </c>
      <c r="Z6" s="1" t="s">
        <v>0</v>
      </c>
      <c r="AA6" s="5"/>
    </row>
    <row r="7" spans="1:40" ht="20.25">
      <c r="A7" s="69"/>
      <c r="B7" s="70"/>
      <c r="C7" s="70"/>
      <c r="D7" s="70"/>
      <c r="E7" s="232" t="s">
        <v>73</v>
      </c>
      <c r="F7" s="232"/>
      <c r="G7" s="232"/>
      <c r="H7" s="232"/>
      <c r="I7" s="232"/>
      <c r="J7" s="232"/>
      <c r="K7" s="232"/>
      <c r="L7" s="232"/>
      <c r="M7" s="232"/>
      <c r="N7" s="70"/>
      <c r="O7" s="70"/>
      <c r="P7" s="70"/>
      <c r="Q7" s="4"/>
      <c r="R7" s="68"/>
      <c r="X7" s="1" t="s">
        <v>3</v>
      </c>
      <c r="Y7" s="1" t="s">
        <v>5</v>
      </c>
      <c r="Z7" s="1" t="s">
        <v>2</v>
      </c>
      <c r="AA7" s="5"/>
      <c r="AC7" s="54">
        <f>IF(ISNA(VLOOKUP($Q$4,Master!A$9:AO$78,6,FALSE)),"",VLOOKUP($Q$4,Master!A$9:AO$78,6,FALSE))</f>
        <v>42370</v>
      </c>
    </row>
    <row r="8" spans="1:40" ht="27.75" customHeight="1">
      <c r="A8" s="235" t="s">
        <v>6</v>
      </c>
      <c r="B8" s="236" t="s">
        <v>7</v>
      </c>
      <c r="C8" s="237" t="s">
        <v>8</v>
      </c>
      <c r="D8" s="237"/>
      <c r="E8" s="237"/>
      <c r="F8" s="237" t="s">
        <v>9</v>
      </c>
      <c r="G8" s="237"/>
      <c r="H8" s="237"/>
      <c r="I8" s="238" t="s">
        <v>10</v>
      </c>
      <c r="J8" s="238"/>
      <c r="K8" s="238"/>
      <c r="L8" s="233" t="str">
        <f>IF(AND($Q$4=""),"",IF(AND(F4=""),"",IF(AND(E7=""),"",IF(AND(E7="First installment of Arrear on 01-04-2018 (30% Amount)"),"First install. of 30% Amount",IF(AND(E7="Second installment of Arrear on 01-07-2018 (30% Amount)"),"Second install. of 30% Amount",IF(AND(E7="Third installment of Arrear on 01-10-2018 (40% Amount)"),"Third install. of 40% Amount"))))))</f>
        <v>Second install. of 30% Amount</v>
      </c>
      <c r="M8" s="226" t="s">
        <v>70</v>
      </c>
      <c r="N8" s="227"/>
      <c r="O8" s="228"/>
      <c r="P8" s="229" t="s">
        <v>13</v>
      </c>
      <c r="Q8" s="230" t="s">
        <v>14</v>
      </c>
      <c r="R8" s="231" t="s">
        <v>15</v>
      </c>
      <c r="AA8" s="5"/>
      <c r="AC8" s="54">
        <v>42736</v>
      </c>
    </row>
    <row r="9" spans="1:40" ht="33.75" customHeight="1">
      <c r="A9" s="235"/>
      <c r="B9" s="236"/>
      <c r="C9" s="83" t="s">
        <v>16</v>
      </c>
      <c r="D9" s="83" t="s">
        <v>17</v>
      </c>
      <c r="E9" s="83" t="s">
        <v>18</v>
      </c>
      <c r="F9" s="83" t="s">
        <v>16</v>
      </c>
      <c r="G9" s="83" t="s">
        <v>17</v>
      </c>
      <c r="H9" s="83" t="s">
        <v>18</v>
      </c>
      <c r="I9" s="83" t="s">
        <v>16</v>
      </c>
      <c r="J9" s="83" t="s">
        <v>17</v>
      </c>
      <c r="K9" s="83" t="s">
        <v>18</v>
      </c>
      <c r="L9" s="234"/>
      <c r="M9" s="60" t="str">
        <f>IF(AND($Z$4=$Y$6),"CREDIT IN GPF",IF(AND($Z$4=$Y$7),"NPS Ded. 30%",""))</f>
        <v>CREDIT IN GPF</v>
      </c>
      <c r="N9" s="59" t="s">
        <v>11</v>
      </c>
      <c r="O9" s="60" t="s">
        <v>12</v>
      </c>
      <c r="P9" s="229"/>
      <c r="Q9" s="230"/>
      <c r="R9" s="231"/>
      <c r="T9" s="91" t="s">
        <v>37</v>
      </c>
      <c r="U9" s="91" t="s">
        <v>82</v>
      </c>
      <c r="W9" s="1" t="str">
        <f>IF(AND($Z$4=$Y$6),"CREDIT IN GPF",IF(AND($Z$4=$Y$7),"NPS Ded.",""))</f>
        <v>CREDIT IN GPF</v>
      </c>
      <c r="Y9" s="42" t="s">
        <v>19</v>
      </c>
      <c r="AA9" s="5"/>
    </row>
    <row r="10" spans="1:40" ht="30" customHeight="1" thickBot="1">
      <c r="A10" s="90">
        <v>1</v>
      </c>
      <c r="B10" s="94" t="str">
        <f>IF(AND($Q$4=""),"",U13)</f>
        <v>APR-17</v>
      </c>
      <c r="C10" s="85">
        <f>IF(AND($Q$4=""),"",T10/2)</f>
        <v>19550</v>
      </c>
      <c r="D10" s="80">
        <f>IF(AND($Q$4=""),"",X18)</f>
        <v>782</v>
      </c>
      <c r="E10" s="86">
        <f t="shared" ref="E10" si="0">IF(AND($Q$4=""),"",IF(AND(C10=""),"",SUM(C10:D10)))</f>
        <v>20332</v>
      </c>
      <c r="F10" s="85">
        <f>IF(AND($Q$4=""),"",U10/2)</f>
        <v>7495</v>
      </c>
      <c r="G10" s="80">
        <f>IF(AND($Q$4=""),"",X20)</f>
        <v>10193</v>
      </c>
      <c r="H10" s="86">
        <f t="shared" ref="H10" si="1">IF(AND($Q$4=""),"",IF(AND(F10=""),"",SUM(F10:G10)))</f>
        <v>17688</v>
      </c>
      <c r="I10" s="88">
        <f t="shared" ref="I10:J10" si="2">IF(AND(C10=""),"",IF(AND(F10=""),"",C10-F10))</f>
        <v>12055</v>
      </c>
      <c r="J10" s="88">
        <f t="shared" si="2"/>
        <v>-9411</v>
      </c>
      <c r="K10" s="88">
        <f t="shared" ref="K10" si="3">IF(AND($Q$4=""),"",IF(AND(I10=""),"",SUM(I10:J10)))</f>
        <v>2644</v>
      </c>
      <c r="L10" s="131">
        <f t="shared" ref="L10" si="4">IF(AND($Q$4=""),"",IF(AND(I10=""),"",IF(AND(F$4=""),"",IF(AND(E$7=""),"",IF(AND(E$7=X$1),ROUND(K10*30%,0),IF(AND(E$7=X$2),ROUND(K10*30%,0),IF(AND(E$7=X$3),ROUND(K10*40%,0))))))))</f>
        <v>793</v>
      </c>
      <c r="M10" s="131">
        <f t="shared" ref="M10" si="5">IF(AND(C10=""),"",IF(AND(K10=""),"",IF(AND($Z$4=$Y$6),L10-ROUND(((L10)*10%),0),ROUND(((L10)*10%),0))))</f>
        <v>714</v>
      </c>
      <c r="N10" s="131">
        <f t="shared" ref="N10" si="6">IF(AND(C10=""),"",IF(AND(C10=0),"",IF(AND(K10=""),"",IF(AND($Z$4=$Y$6),ROUND(((L10)*10%),0),ROUND(((L10-M10)*$AB$4%),0)))))</f>
        <v>79</v>
      </c>
      <c r="O10" s="80">
        <f t="shared" ref="O10" si="7">IF(AND(K10=""),"",IF(AND(M10=""),"",IF(AND(N10=""),"",SUM(M10+N10))))</f>
        <v>793</v>
      </c>
      <c r="P10" s="87">
        <f t="shared" ref="P10" si="8">IF(AND(K10=""),"",IF(AND(C10=0),"",IF(AND(O10=""),L10,L10-O10)))</f>
        <v>0</v>
      </c>
      <c r="Q10" s="129"/>
      <c r="R10" s="130"/>
      <c r="T10" s="92">
        <v>39100</v>
      </c>
      <c r="U10" s="92">
        <v>14990</v>
      </c>
      <c r="Y10" s="42" t="s">
        <v>20</v>
      </c>
      <c r="AB10" s="1">
        <v>1</v>
      </c>
      <c r="AC10" s="2">
        <f>IF(ISNA(VLOOKUP($Q$4,Master!A$9:AO$78,9,FALSE)),"",VLOOKUP($Q$4,Master!A$9:AO$78,9,FALSE))</f>
        <v>56100</v>
      </c>
      <c r="AD10" s="3">
        <f>IF(AND($AE$4=$AE$2),"",IF(AND($AE$4=$AE$3),AC10,""))</f>
        <v>56100</v>
      </c>
      <c r="AE10" s="1">
        <f>IF(ISNA(VLOOKUP($Q$4,Master!A$9:AO$78,8,FALSE)),"",VLOOKUP($Q$4,Master!A$9:AO$78,8,FALSE))</f>
        <v>21270</v>
      </c>
      <c r="AF10" s="3">
        <f>IF(AND($AE$4=$AE$2),"",IF(AND($AE$4=$AE$3),AE10,""))</f>
        <v>21270</v>
      </c>
      <c r="AG10" s="54">
        <f>IF(ISNA(VLOOKUP($Q$4,Master!A$9:AO$78,6,FALSE)),"",VLOOKUP($Q$4,Master!A$9:AO$78,6,FALSE))</f>
        <v>42370</v>
      </c>
      <c r="AH10" s="1">
        <f>DAY(AG10)</f>
        <v>1</v>
      </c>
      <c r="AI10" s="1">
        <f>MONTH(AG10)</f>
        <v>1</v>
      </c>
      <c r="AJ10" s="1">
        <f>IF(AND(AI10=1),31-AH10,IF(AND(AI10=2),28-AH10,IF(AND(AI10=3),31-AH10,IF(AND(AI10=4),30-AH10,IF(AND(AI10=5),31-AH10,IF(AND(AI10=6),30-AH10,IF(AND(AI10=7),31-AH10,IF(AND(AI10=8),31-AH10,IF(AND(AI10=9),30-AH10,"")))))))))+1</f>
        <v>31</v>
      </c>
    </row>
    <row r="11" spans="1:40" ht="15.75" hidden="1" thickBot="1">
      <c r="A11" s="71"/>
      <c r="B11" s="89"/>
      <c r="C11" s="89"/>
      <c r="D11" s="88"/>
      <c r="E11" s="85"/>
      <c r="F11" s="88"/>
      <c r="G11" s="88"/>
      <c r="H11" s="86"/>
      <c r="I11" s="88"/>
      <c r="J11" s="88"/>
      <c r="K11" s="88"/>
      <c r="L11" s="85"/>
      <c r="M11" s="85"/>
      <c r="N11" s="85"/>
      <c r="O11" s="80"/>
      <c r="P11" s="87"/>
      <c r="Q11" s="129"/>
      <c r="R11" s="130"/>
      <c r="Y11" s="42" t="s">
        <v>21</v>
      </c>
      <c r="AB11" s="1">
        <v>7</v>
      </c>
      <c r="AD11" s="3" t="e">
        <f>IF(AND(AI10&gt;=8),"",IF(AND($AK$4=$AE$3),AC10,MROUND(#REF!*1.03,100)))</f>
        <v>#REF!</v>
      </c>
      <c r="AF11" s="3" t="e">
        <f>IF(AND(AI10&gt;=8),"",IF(AND($AK$4=$AE$3),AE10,ROUNDUP(ROUND(#REF!*1.03,),-1)))</f>
        <v>#REF!</v>
      </c>
    </row>
    <row r="12" spans="1:40" ht="15.75" hidden="1" thickBot="1">
      <c r="A12" s="71"/>
      <c r="B12" s="89"/>
      <c r="C12" s="89"/>
      <c r="D12" s="88"/>
      <c r="E12" s="85"/>
      <c r="F12" s="88"/>
      <c r="G12" s="88"/>
      <c r="H12" s="86"/>
      <c r="I12" s="88"/>
      <c r="J12" s="88"/>
      <c r="K12" s="88"/>
      <c r="L12" s="85"/>
      <c r="M12" s="85"/>
      <c r="N12" s="85"/>
      <c r="O12" s="80"/>
      <c r="P12" s="87"/>
      <c r="Q12" s="129"/>
      <c r="R12" s="130"/>
      <c r="T12" s="54"/>
      <c r="Y12" s="42" t="s">
        <v>22</v>
      </c>
      <c r="AB12" s="1">
        <v>8</v>
      </c>
      <c r="AD12" s="3" t="e">
        <f>IF(AND($AL$4=$AE$3),AC10,AD11)</f>
        <v>#REF!</v>
      </c>
      <c r="AF12" s="39" t="e">
        <f>IF(AND($AL$4=$AE$3),AE10,AF11)</f>
        <v>#REF!</v>
      </c>
    </row>
    <row r="13" spans="1:40" ht="36" customHeight="1" thickTop="1" thickBot="1">
      <c r="A13" s="216" t="s">
        <v>28</v>
      </c>
      <c r="B13" s="217"/>
      <c r="C13" s="43">
        <f t="shared" ref="C13:P13" si="9">IF(AND($Q$4=""),"",SUM(C10:C12))</f>
        <v>19550</v>
      </c>
      <c r="D13" s="43">
        <f t="shared" si="9"/>
        <v>782</v>
      </c>
      <c r="E13" s="43">
        <f t="shared" si="9"/>
        <v>20332</v>
      </c>
      <c r="F13" s="55">
        <f t="shared" si="9"/>
        <v>7495</v>
      </c>
      <c r="G13" s="55">
        <f t="shared" si="9"/>
        <v>10193</v>
      </c>
      <c r="H13" s="55">
        <f t="shared" si="9"/>
        <v>17688</v>
      </c>
      <c r="I13" s="55">
        <f t="shared" si="9"/>
        <v>12055</v>
      </c>
      <c r="J13" s="55">
        <f t="shared" si="9"/>
        <v>-9411</v>
      </c>
      <c r="K13" s="55">
        <f t="shared" si="9"/>
        <v>2644</v>
      </c>
      <c r="L13" s="55">
        <f t="shared" si="9"/>
        <v>793</v>
      </c>
      <c r="M13" s="55">
        <f t="shared" si="9"/>
        <v>714</v>
      </c>
      <c r="N13" s="55">
        <f t="shared" si="9"/>
        <v>79</v>
      </c>
      <c r="O13" s="55">
        <f t="shared" si="9"/>
        <v>793</v>
      </c>
      <c r="P13" s="56">
        <f t="shared" si="9"/>
        <v>0</v>
      </c>
      <c r="Q13" s="218"/>
      <c r="R13" s="219"/>
      <c r="T13" s="93" t="s">
        <v>83</v>
      </c>
      <c r="U13" s="92" t="s">
        <v>22</v>
      </c>
      <c r="Y13" s="42" t="s">
        <v>23</v>
      </c>
      <c r="AB13" s="1">
        <v>9</v>
      </c>
      <c r="AD13" s="3" t="e">
        <f>IF(AND($AM$4=$AE$3),AC10,AD12)</f>
        <v>#REF!</v>
      </c>
      <c r="AF13" s="40" t="e">
        <f>IF(AND($AM$4=$AE$3),AE10,AF12)</f>
        <v>#REF!</v>
      </c>
    </row>
    <row r="14" spans="1:40" ht="18.75" thickTop="1" thickBot="1">
      <c r="A14" s="146"/>
      <c r="B14" s="147" t="s">
        <v>76</v>
      </c>
      <c r="C14" s="303" t="str">
        <f>IF(AND(Q$4=""),"",IF(AND(AC7&lt;=AC8),"01-01-2017",AC7))</f>
        <v>01-01-2017</v>
      </c>
      <c r="D14" s="303"/>
      <c r="E14" s="304" t="s">
        <v>84</v>
      </c>
      <c r="F14" s="304"/>
      <c r="G14" s="304"/>
      <c r="H14" s="304"/>
      <c r="I14" s="304"/>
      <c r="J14" s="304"/>
      <c r="K14" s="305">
        <f>IF(AND(Q4=""),"",IF(AND(Z4=$Y$7),P13,M13))</f>
        <v>714</v>
      </c>
      <c r="L14" s="305"/>
      <c r="M14" s="306" t="str">
        <f>IF(AND(Q$4=""),"",IF(AND(Z4=$Y$7),"dk udn Hkqxrku fd;k x;k A","jkf'k thih,Q esa tek A"))</f>
        <v>jkf'k thih,Q esa tek A</v>
      </c>
      <c r="N14" s="306"/>
      <c r="O14" s="306"/>
      <c r="P14" s="306"/>
      <c r="Q14" s="148"/>
      <c r="R14" s="149"/>
      <c r="U14" s="61"/>
      <c r="Y14" s="42" t="s">
        <v>24</v>
      </c>
      <c r="AD14" s="39"/>
      <c r="AF14" s="39"/>
    </row>
    <row r="15" spans="1:40" ht="20.25" thickTop="1" thickBot="1">
      <c r="A15" s="150"/>
      <c r="B15" s="95"/>
      <c r="C15" s="95"/>
      <c r="D15" s="307"/>
      <c r="E15" s="307"/>
      <c r="F15" s="307"/>
      <c r="G15" s="307"/>
      <c r="H15" s="95"/>
      <c r="I15" s="95"/>
      <c r="J15" s="289" t="s">
        <v>59</v>
      </c>
      <c r="K15" s="289"/>
      <c r="L15" s="289"/>
      <c r="M15" s="289"/>
      <c r="N15" s="290">
        <f>IF(AND($Q$4=""),"",L13)</f>
        <v>793</v>
      </c>
      <c r="O15" s="290"/>
      <c r="P15" s="308" t="s">
        <v>62</v>
      </c>
      <c r="Q15" s="308"/>
      <c r="R15" s="309"/>
      <c r="X15" s="1">
        <f>IF(AND($Q$4=""),"",K14)</f>
        <v>714</v>
      </c>
      <c r="Y15" s="42" t="s">
        <v>25</v>
      </c>
      <c r="AD15" s="40"/>
      <c r="AF15" s="40"/>
    </row>
    <row r="16" spans="1:40" ht="21" customHeight="1" thickTop="1">
      <c r="A16" s="150"/>
      <c r="B16" s="292" t="str">
        <f>IF(AND($Q$4=""),"",IF(AND(F4=""),"",IF(AND(E7=""),"",E7)))</f>
        <v>Second installment of Arrear on 01-07-2018 (30% Amount)</v>
      </c>
      <c r="C16" s="292"/>
      <c r="D16" s="292"/>
      <c r="E16" s="292"/>
      <c r="F16" s="292"/>
      <c r="G16" s="292"/>
      <c r="H16" s="292"/>
      <c r="I16" s="292"/>
      <c r="J16" s="289" t="str">
        <f>IF(AND(Q4=""),"",IF(AND(Z4=$Y$7),",u-ih-,l- dVkSrh","jkf'k thih,Q esa tek A"))</f>
        <v>jkf'k thih,Q esa tek A</v>
      </c>
      <c r="K16" s="289"/>
      <c r="L16" s="289"/>
      <c r="M16" s="289"/>
      <c r="N16" s="290">
        <f>IF(AND($Q$4=""),"",M13)</f>
        <v>714</v>
      </c>
      <c r="O16" s="290"/>
      <c r="P16" s="293" t="str">
        <f>IF(AND($Q$4=""),"",X16)</f>
        <v>( Rs.    SEVEN  HUNDRED  FOURTEEN  Only)</v>
      </c>
      <c r="Q16" s="293"/>
      <c r="R16" s="294"/>
      <c r="X16" s="1" t="str">
        <f>"( Rs. "&amp;LOOKUP(IF(INT(RIGHT(X15,7)/100000)&gt;19,INT(RIGHT(X15,7)/1000000),IF(INT(RIGHT(X15,7)/100000)&gt;=10,INT(RIGHT(X15,7)/100000),0)),{0,1,2,3,4,5,6,7,8,9,10,11,12,13,14,15,16,17,18,19},{""," TEN "," TWENTY "," THIRTY "," FOURTY "," FIFTY "," SIXTY "," SEVENTY "," EIGHTY "," NINETY "," TEN "," ELEVEN "," TWELVE "," THIRTEEN "," FOURTEEN "," FIFTEEN "," SIXTEEN"," SEVENTEEN"," EIGHTEEN "," NINETEEN "})&amp;IF((IF(INT(RIGHT(X15,7)/100000)&gt;19,INT(RIGHT(X15,7)/1000000),IF(INT(RIGHT(X15,7)/100000)&gt;=10,INT(RIGHT(X15,7)/100000),0))+IF(INT(RIGHT(X15,7)/100000)&gt;19,INT(RIGHT(X15,6)/100000),IF(INT(RIGHT(X15,7)/100000)&gt;10,0,INT(RIGHT(X15,6)/100000))))&gt;0,LOOKUP(IF(INT(RIGHT(X15,7)/100000)&gt;19,INT(RIGHT(X15,6)/100000),IF(INT(RIGHT(X15,7)/100000)&gt;10,0,INT(RIGHT(X15,6)/100000))),{0,1,2,3,4,5,6,7,8,9,10,11,12,13,14,15,16,17,18,19},{""," ONE "," TWO "," THREE "," FOUR "," FIVE "," SIX "," SEVEN "," EIGHT "," NINE "," TEN "," ELEVEN "," TWELVE "," THIRTEEN "," FOURTEEN "," FIFTEEN "," SIXTEEN"," SEVENTEEN"," EIGHTEEN "," NINETEEN "})&amp;" Lac. "," ")&amp;LOOKUP(IF(INT(RIGHT(X15,5)/1000)&gt;19,INT(RIGHT(X15,5)/10000),IF(INT(RIGHT(X15,5)/1000)&gt;=10,INT(RIGHT(X15,5)/1000),0)),{0,1,2,3,4,5,6,7,8,9,10,11,12,13,14,15,16,17,18,19},{""," TEN "," TWENTY "," THIRTY "," FOURTY "," FIFTY "," SIXTY "," SEVENTY "," EIGHTY "," NINETY "," TEN "," ELEVEN "," TWELVE "," THIRTEEN "," FOURTEEN "," FIFTEEN "," SIXTEEN"," SEVENTEEN"," EIGHTEEN "," NINETEEN "})&amp;IF((IF(INT(RIGHT(X15,5)/1000)&gt;19,INT(RIGHT(X15,4)/1000),IF(INT(RIGHT(X15,5)/1000)&gt;10,0,INT(RIGHT(X15,4)/1000)))+IF(INT(RIGHT(X15,5)/1000)&gt;19,INT(RIGHT(X15,5)/10000),IF(INT(RIGHT(X15,5)/1000)&gt;=10,INT(RIGHT(X15,5)/1000),0)))&gt;0,LOOKUP(IF(INT(RIGHT(X15,5)/1000)&gt;19,INT(RIGHT(X15,4)/1000),IF(INT(RIGHT(X15,5)/1000)&gt;10,0,INT(RIGHT(X15,4)/1000))),{0,1,2,3,4,5,6,7,8,9,10,11,12,13,14,15,16,17,18,19},{""," ONE "," TWO "," THREE "," FOUR "," FIVE "," SIX "," SEVEN "," EIGHT "," NINE "," TEN "," ELEVEN "," TWELVE "," THIRTEEN "," FOURTEEN "," FIFTEEN "," SIXTEEN"," SEVENTEEN"," EIGHTEEN "," NINETEEN "})&amp;" THOUSAND "," ")&amp;IF((INT((RIGHT(X15,3))/100))&gt;0,LOOKUP(INT((RIGHT(X15,3))/100),{0,1,2,3,4,5,6,7,8,9,10,11,12,13,14,15,16,17,18,19},{""," ONE "," TWO "," THREE "," FOUR "," FIVE "," SIX "," SEVEN "," EIGHT "," NINE "," TEN "," ELEVEN "," TWELVE "," THIRTEEN "," FOURTEEN "," FIFTEEN "," SIXTEEN"," SEVENTEEN"," EIGHTEEN "," NINETEEN "})&amp;" HUNDRED "," ")&amp;LOOKUP(IF(INT(RIGHT(X15,2))&gt;19,INT(RIGHT(X15,2)/10),IF(INT(RIGHT(X15,2))&gt;=10,INT(RIGHT(X15,2)),0)),{0,1,2,3,4,5,6,7,8,9,10,11,12,13,14,15,16,17,18,19},{""," TEN "," TWENTY "," THIRTY "," FOURTY "," FIFTY "," SIXTY "," SEVENTY "," EIGHTY "," NINETY "," TEN "," ELEVEN "," TWELVE "," THIRTEEN "," FOURTEEN "," FIFTEEN "," SIXTEEN"," SEVENTEEN"," EIGHTEEN "," NINETEEN "})&amp;LOOKUP(IF(INT(RIGHT(X15,2))&lt;10,INT(RIGHT(X15,1)),IF(INT(RIGHT(X15,2))&lt;20,0,INT(RIGHT(X15,1)))),{0,1,2,3,4,5,6,7,8,9,10,11,12,13,14,15,16,17,18,19},{""," ONE "," TWO "," THREE "," FOUR "," FIVE "," SIX "," SEVEN "," EIGHT "," NINE "," TEN "," ELEVEN "," TWELVE "," THIRTEEN "," FOURTEEN "," FIFTEEN "," SIXTEEN"," SEVENTEEN"," EIGHTEEN "," NINETEEN "})&amp;" Only)"</f>
        <v>( Rs.    SEVEN  HUNDRED  FOURTEEN  Only)</v>
      </c>
      <c r="Y16" s="42" t="s">
        <v>26</v>
      </c>
      <c r="AD16" s="4"/>
      <c r="AF16" s="4"/>
    </row>
    <row r="17" spans="1:25" ht="21" customHeight="1">
      <c r="A17" s="150"/>
      <c r="B17" s="151"/>
      <c r="C17" s="300"/>
      <c r="D17" s="300"/>
      <c r="E17" s="300"/>
      <c r="F17" s="300"/>
      <c r="G17" s="300"/>
      <c r="H17" s="152"/>
      <c r="I17" s="152"/>
      <c r="J17" s="289" t="s">
        <v>60</v>
      </c>
      <c r="K17" s="289"/>
      <c r="L17" s="289"/>
      <c r="M17" s="289"/>
      <c r="N17" s="290">
        <f>IF(AND($Q$4=""),"",N13)</f>
        <v>79</v>
      </c>
      <c r="O17" s="290"/>
      <c r="P17" s="293"/>
      <c r="Q17" s="293"/>
      <c r="R17" s="294"/>
      <c r="Y17" s="42" t="s">
        <v>27</v>
      </c>
    </row>
    <row r="18" spans="1:25" ht="15.75">
      <c r="A18" s="153"/>
      <c r="B18" s="154"/>
      <c r="C18" s="291"/>
      <c r="D18" s="291"/>
      <c r="E18" s="291"/>
      <c r="F18" s="291"/>
      <c r="G18" s="291"/>
      <c r="H18" s="155"/>
      <c r="I18" s="155"/>
      <c r="J18" s="295" t="s">
        <v>61</v>
      </c>
      <c r="K18" s="295"/>
      <c r="L18" s="295"/>
      <c r="M18" s="295"/>
      <c r="N18" s="296">
        <f>IF(AND(Z4=$Y$7),SUM(N15-N16-N17),0)</f>
        <v>0</v>
      </c>
      <c r="O18" s="296"/>
      <c r="P18" s="297" t="str">
        <f>IF(AND(Q$4=""),"",IF(AND(Z4=$Y$7),"dk udn Hkqxrku fd;k x;k","jkf'k thih,Q esa tek"))</f>
        <v>jkf'k thih,Q esa tek</v>
      </c>
      <c r="Q18" s="297"/>
      <c r="R18" s="298"/>
      <c r="X18" s="1">
        <f>IF(AND($Q$4=""),"",IF(AND(B10=Y9),ROUND((C10*4%),0),IF(AND(B10=Y10),ROUND((C10*4%),0),IF(AND(B10=Y11),ROUND((C10*4%),0),IF(AND(B10=Y12),ROUND((C10*4%),0),IF(AND(B10=Y13),ROUND((C10*4%),0),IF(AND(B10=Y14),ROUND((C10*4%),0),IF(AND(B10=Y15),ROUND((C10*5%),0),IF(AND(B10=Y16),ROUND((C10*5%),0),IF(AND(B10=Y17),ROUND((C10*5%),0)))))))))))</f>
        <v>782</v>
      </c>
    </row>
    <row r="19" spans="1:25" ht="18.75">
      <c r="A19" s="150"/>
      <c r="B19" s="151"/>
      <c r="C19" s="300"/>
      <c r="D19" s="300"/>
      <c r="E19" s="300"/>
      <c r="F19" s="300"/>
      <c r="G19" s="300"/>
      <c r="H19" s="152"/>
      <c r="I19" s="152"/>
      <c r="J19" s="152"/>
      <c r="K19" s="156"/>
      <c r="L19" s="156"/>
      <c r="M19" s="95"/>
      <c r="N19" s="95"/>
      <c r="O19" s="157"/>
      <c r="P19" s="157"/>
      <c r="Q19" s="157"/>
      <c r="R19" s="158"/>
    </row>
    <row r="20" spans="1:25" ht="19.5" customHeight="1">
      <c r="A20" s="150"/>
      <c r="B20" s="151"/>
      <c r="C20" s="159"/>
      <c r="D20" s="159"/>
      <c r="E20" s="159"/>
      <c r="F20" s="159"/>
      <c r="G20" s="159"/>
      <c r="H20" s="152"/>
      <c r="I20" s="152"/>
      <c r="J20" s="152"/>
      <c r="K20" s="156"/>
      <c r="L20" s="156"/>
      <c r="M20" s="95"/>
      <c r="N20" s="95"/>
      <c r="O20" s="157"/>
      <c r="P20" s="200" t="str">
        <f>CONCATENATE("(  ",Master!C4," )")</f>
        <v>(  Mishari lal )</v>
      </c>
      <c r="Q20" s="200"/>
      <c r="R20" s="201"/>
      <c r="X20" s="1">
        <f>IF(AND($Q$4=""),"",IF(AND(B10=Y9),ROUND((F10*136%),0),IF(AND(B10=Y10),ROUND((F10*136%),0),IF(AND(B10=Y11),ROUND((F10*136%),0),IF(AND(B10=Y12),ROUND((F10*136%),0),IF(AND(B10=Y13),ROUND((F10*136%),0),IF(AND(B10=Y14),ROUND((F10*136%),0),IF(AND(B10=Y15),ROUND((F10*139%),0),IF(AND(B10=Y16),ROUND((F10*139%),0),IF(AND(B10=Y17),ROUND((F10*139%),0)))))))))))</f>
        <v>10193</v>
      </c>
    </row>
    <row r="21" spans="1:25" ht="15.75">
      <c r="A21" s="150"/>
      <c r="B21" s="95"/>
      <c r="C21" s="95"/>
      <c r="D21" s="95"/>
      <c r="E21" s="95"/>
      <c r="F21" s="95"/>
      <c r="G21" s="95"/>
      <c r="H21" s="95"/>
      <c r="I21" s="95"/>
      <c r="J21" s="95"/>
      <c r="K21" s="95"/>
      <c r="L21" s="95"/>
      <c r="M21" s="95"/>
      <c r="N21" s="95"/>
      <c r="O21" s="95"/>
      <c r="P21" s="310" t="s">
        <v>71</v>
      </c>
      <c r="Q21" s="310"/>
      <c r="R21" s="311"/>
    </row>
    <row r="22" spans="1:25" ht="16.5" thickBot="1">
      <c r="A22" s="160"/>
      <c r="B22" s="161"/>
      <c r="C22" s="161"/>
      <c r="D22" s="161"/>
      <c r="E22" s="161"/>
      <c r="F22" s="161"/>
      <c r="G22" s="161"/>
      <c r="H22" s="161"/>
      <c r="I22" s="161"/>
      <c r="J22" s="161"/>
      <c r="K22" s="161"/>
      <c r="L22" s="161"/>
      <c r="M22" s="161"/>
      <c r="N22" s="161"/>
      <c r="O22" s="161"/>
      <c r="P22" s="301" t="s">
        <v>72</v>
      </c>
      <c r="Q22" s="301"/>
      <c r="R22" s="302"/>
    </row>
    <row r="23" spans="1:25">
      <c r="A23" s="96"/>
      <c r="B23" s="96"/>
      <c r="C23" s="96"/>
      <c r="D23" s="96"/>
      <c r="E23" s="96"/>
      <c r="F23" s="96"/>
      <c r="G23" s="96"/>
      <c r="H23" s="96"/>
      <c r="I23" s="96"/>
      <c r="J23" s="96"/>
      <c r="K23" s="96"/>
      <c r="L23" s="96"/>
      <c r="M23" s="96"/>
      <c r="N23" s="96"/>
      <c r="O23" s="96"/>
      <c r="P23" s="96"/>
      <c r="Q23" s="96"/>
      <c r="R23" s="96"/>
    </row>
  </sheetData>
  <sheetProtection password="C1FB" sheet="1" objects="1" scenarios="1" formatCells="0" formatColumns="0" formatRows="0"/>
  <mergeCells count="46">
    <mergeCell ref="C19:G19"/>
    <mergeCell ref="P22:R22"/>
    <mergeCell ref="Q13:R13"/>
    <mergeCell ref="C14:D14"/>
    <mergeCell ref="E14:J14"/>
    <mergeCell ref="K14:L14"/>
    <mergeCell ref="M14:P14"/>
    <mergeCell ref="D15:G15"/>
    <mergeCell ref="P15:R15"/>
    <mergeCell ref="P20:R20"/>
    <mergeCell ref="P21:R21"/>
    <mergeCell ref="N16:O16"/>
    <mergeCell ref="C17:G17"/>
    <mergeCell ref="J17:M17"/>
    <mergeCell ref="N17:O17"/>
    <mergeCell ref="J16:M16"/>
    <mergeCell ref="S4:T4"/>
    <mergeCell ref="B5:Q5"/>
    <mergeCell ref="C6:P6"/>
    <mergeCell ref="E7:M7"/>
    <mergeCell ref="A8:A9"/>
    <mergeCell ref="B8:B9"/>
    <mergeCell ref="C8:E8"/>
    <mergeCell ref="F8:H8"/>
    <mergeCell ref="I8:K8"/>
    <mergeCell ref="L8:L9"/>
    <mergeCell ref="R8:R9"/>
    <mergeCell ref="M8:O8"/>
    <mergeCell ref="P8:P9"/>
    <mergeCell ref="Q8:Q9"/>
    <mergeCell ref="C18:G18"/>
    <mergeCell ref="B16:I16"/>
    <mergeCell ref="P16:R17"/>
    <mergeCell ref="J18:M18"/>
    <mergeCell ref="N18:O18"/>
    <mergeCell ref="P18:R18"/>
    <mergeCell ref="B2:Q2"/>
    <mergeCell ref="C4:E4"/>
    <mergeCell ref="F4:H4"/>
    <mergeCell ref="J15:M15"/>
    <mergeCell ref="N15:O15"/>
    <mergeCell ref="B3:Q3"/>
    <mergeCell ref="I4:J4"/>
    <mergeCell ref="K4:N4"/>
    <mergeCell ref="O4:P4"/>
    <mergeCell ref="A13:B13"/>
  </mergeCells>
  <dataValidations count="2">
    <dataValidation type="list" allowBlank="1" showInputMessage="1" showErrorMessage="1" sqref="E7">
      <formula1>$X$1:$X$4</formula1>
    </dataValidation>
    <dataValidation type="list" allowBlank="1" showInputMessage="1" showErrorMessage="1" sqref="U13">
      <formula1>$Y$9:$Y$18</formula1>
    </dataValidation>
  </dataValidations>
  <pageMargins left="0.7" right="0.45" top="0.75" bottom="0.5" header="0.3" footer="0.3"/>
  <pageSetup paperSize="9" scale="9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dimension ref="A1:AP30"/>
  <sheetViews>
    <sheetView workbookViewId="0">
      <selection activeCell="AR14" sqref="AR14"/>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0" width="9.140625" style="1"/>
    <col min="21" max="21" width="9.140625" style="1" customWidth="1"/>
    <col min="22"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74</v>
      </c>
      <c r="AA1" s="5"/>
    </row>
    <row r="2" spans="1:40" ht="18.75">
      <c r="A2" s="62"/>
      <c r="B2" s="239" t="s">
        <v>56</v>
      </c>
      <c r="C2" s="239"/>
      <c r="D2" s="239"/>
      <c r="E2" s="239"/>
      <c r="F2" s="239"/>
      <c r="G2" s="239"/>
      <c r="H2" s="239"/>
      <c r="I2" s="239"/>
      <c r="J2" s="239"/>
      <c r="K2" s="239"/>
      <c r="L2" s="239"/>
      <c r="M2" s="239"/>
      <c r="N2" s="239"/>
      <c r="O2" s="239"/>
      <c r="P2" s="239"/>
      <c r="Q2" s="239"/>
      <c r="R2" s="63"/>
      <c r="S2" s="49"/>
      <c r="T2" s="49"/>
      <c r="U2" s="49"/>
      <c r="V2" s="49"/>
      <c r="X2" s="1" t="s">
        <v>73</v>
      </c>
      <c r="AA2" s="5"/>
      <c r="AD2" s="1" t="s">
        <v>3</v>
      </c>
      <c r="AE2" s="1" t="b">
        <v>0</v>
      </c>
    </row>
    <row r="3" spans="1:40" ht="18.75">
      <c r="A3" s="64"/>
      <c r="B3" s="240" t="str">
        <f>CONCATENATE("OFFICE OF THE PRINCIPAL , ",Master!C3)</f>
        <v>OFFICE OF THE PRINCIPAL , Government Senior Secondry School Inderwara (RANI), Pali</v>
      </c>
      <c r="C3" s="240"/>
      <c r="D3" s="240"/>
      <c r="E3" s="240"/>
      <c r="F3" s="240"/>
      <c r="G3" s="240"/>
      <c r="H3" s="240"/>
      <c r="I3" s="240"/>
      <c r="J3" s="240"/>
      <c r="K3" s="240"/>
      <c r="L3" s="240"/>
      <c r="M3" s="240"/>
      <c r="N3" s="240"/>
      <c r="O3" s="240"/>
      <c r="P3" s="240"/>
      <c r="Q3" s="240"/>
      <c r="R3" s="65"/>
      <c r="S3" s="49"/>
      <c r="T3" s="49"/>
      <c r="U3" s="49"/>
      <c r="V3" s="49"/>
      <c r="X3" s="1" t="s">
        <v>75</v>
      </c>
      <c r="AA3" s="5"/>
      <c r="AE3" s="1" t="b">
        <v>1</v>
      </c>
    </row>
    <row r="4" spans="1:40" ht="18.75">
      <c r="A4" s="64"/>
      <c r="B4" s="66"/>
      <c r="C4" s="224" t="s">
        <v>57</v>
      </c>
      <c r="D4" s="224"/>
      <c r="E4" s="224"/>
      <c r="F4" s="241" t="str">
        <f>IF(ISNA(VLOOKUP($Q$4,Master!A$9:AO$78,2,FALSE)),"",VLOOKUP($Q$4,Master!A$9:AO$78,2,FALSE))</f>
        <v>PEERARAM</v>
      </c>
      <c r="G4" s="241"/>
      <c r="H4" s="241"/>
      <c r="I4" s="224" t="s">
        <v>36</v>
      </c>
      <c r="J4" s="224"/>
      <c r="K4" s="241" t="str">
        <f>IF(ISNA(VLOOKUP($Q$4,Master!A$9:AO$78,3,FALSE)),"",VLOOKUP($Q$4,Master!A$9:AO$78,3,FALSE))</f>
        <v>Sr. Teacher</v>
      </c>
      <c r="L4" s="241"/>
      <c r="M4" s="241"/>
      <c r="N4" s="241"/>
      <c r="O4" s="242" t="s">
        <v>77</v>
      </c>
      <c r="P4" s="242"/>
      <c r="Q4" s="84">
        <v>1</v>
      </c>
      <c r="R4" s="65"/>
      <c r="S4" s="223"/>
      <c r="T4" s="223"/>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23800</v>
      </c>
      <c r="AD4" s="1">
        <f>IF(ISNA(VLOOKUP($Q$4,Master!A$9:AO$78,9,FALSE)),"",VLOOKUP($Q$4,Master!A$9:AO$78,9,FALSE))</f>
        <v>61500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224" t="s">
        <v>58</v>
      </c>
      <c r="C5" s="224"/>
      <c r="D5" s="224"/>
      <c r="E5" s="224"/>
      <c r="F5" s="224"/>
      <c r="G5" s="224"/>
      <c r="H5" s="224"/>
      <c r="I5" s="224"/>
      <c r="J5" s="224"/>
      <c r="K5" s="224"/>
      <c r="L5" s="224"/>
      <c r="M5" s="224"/>
      <c r="N5" s="224"/>
      <c r="O5" s="224"/>
      <c r="P5" s="224"/>
      <c r="Q5" s="224"/>
      <c r="R5" s="65"/>
      <c r="S5" s="50"/>
      <c r="T5" s="50"/>
      <c r="U5" s="50"/>
      <c r="V5" s="50"/>
      <c r="AA5" s="5"/>
    </row>
    <row r="6" spans="1:40" ht="18.75">
      <c r="A6" s="64"/>
      <c r="B6" s="67"/>
      <c r="C6" s="225"/>
      <c r="D6" s="225"/>
      <c r="E6" s="225"/>
      <c r="F6" s="225"/>
      <c r="G6" s="225"/>
      <c r="H6" s="225"/>
      <c r="I6" s="225"/>
      <c r="J6" s="225"/>
      <c r="K6" s="225"/>
      <c r="L6" s="225"/>
      <c r="M6" s="225"/>
      <c r="N6" s="225"/>
      <c r="O6" s="225"/>
      <c r="P6" s="225"/>
      <c r="Q6" s="67"/>
      <c r="R6" s="68"/>
      <c r="X6" s="1" t="s">
        <v>1</v>
      </c>
      <c r="Y6" s="1" t="s">
        <v>4</v>
      </c>
      <c r="Z6" s="1" t="s">
        <v>0</v>
      </c>
      <c r="AA6" s="5"/>
    </row>
    <row r="7" spans="1:40" ht="20.25">
      <c r="A7" s="69"/>
      <c r="B7" s="70"/>
      <c r="C7" s="70"/>
      <c r="D7" s="70"/>
      <c r="E7" s="232" t="s">
        <v>75</v>
      </c>
      <c r="F7" s="232"/>
      <c r="G7" s="232"/>
      <c r="H7" s="232"/>
      <c r="I7" s="232"/>
      <c r="J7" s="232"/>
      <c r="K7" s="232"/>
      <c r="L7" s="232"/>
      <c r="M7" s="232"/>
      <c r="N7" s="70"/>
      <c r="O7" s="70"/>
      <c r="P7" s="70"/>
      <c r="Q7" s="4"/>
      <c r="R7" s="68"/>
      <c r="X7" s="1" t="s">
        <v>3</v>
      </c>
      <c r="Y7" s="1" t="s">
        <v>5</v>
      </c>
      <c r="Z7" s="1" t="s">
        <v>2</v>
      </c>
      <c r="AA7" s="5"/>
      <c r="AC7" s="54">
        <f>IF(ISNA(VLOOKUP($Q$4,Master!A$9:AO$78,6,FALSE)),"",VLOOKUP($Q$4,Master!A$9:AO$78,6,FALSE))</f>
        <v>42736</v>
      </c>
    </row>
    <row r="8" spans="1:40" ht="27.75" customHeight="1">
      <c r="A8" s="235" t="s">
        <v>6</v>
      </c>
      <c r="B8" s="236" t="s">
        <v>7</v>
      </c>
      <c r="C8" s="237" t="s">
        <v>8</v>
      </c>
      <c r="D8" s="237"/>
      <c r="E8" s="237"/>
      <c r="F8" s="237" t="s">
        <v>9</v>
      </c>
      <c r="G8" s="237"/>
      <c r="H8" s="237"/>
      <c r="I8" s="238" t="s">
        <v>10</v>
      </c>
      <c r="J8" s="238"/>
      <c r="K8" s="238"/>
      <c r="L8" s="233" t="str">
        <f>IF(AND($Q$4=""),"",IF(AND(F4=""),"",IF(AND(E7=""),"",IF(AND(E7="First installment of Arrear on 01-04-2018 (30% Amount)"),"First install. of 30% Amount",IF(AND(E7="Second installment of Arrear on 01-07-2018 (30% Amount)"),"Second install. of 30% Amount",IF(AND(E7="Third installment of Arrear on 01-10-2018 (40% Amount)"),"Third install. of 40% Amount"))))))</f>
        <v>Third install. of 40% Amount</v>
      </c>
      <c r="M8" s="226" t="s">
        <v>70</v>
      </c>
      <c r="N8" s="227"/>
      <c r="O8" s="228"/>
      <c r="P8" s="229" t="s">
        <v>13</v>
      </c>
      <c r="Q8" s="230" t="s">
        <v>14</v>
      </c>
      <c r="R8" s="231" t="s">
        <v>15</v>
      </c>
      <c r="AA8" s="5"/>
      <c r="AC8" s="54">
        <v>42736</v>
      </c>
    </row>
    <row r="9" spans="1:40" ht="33.75" customHeight="1">
      <c r="A9" s="235"/>
      <c r="B9" s="236"/>
      <c r="C9" s="83" t="s">
        <v>16</v>
      </c>
      <c r="D9" s="83" t="s">
        <v>17</v>
      </c>
      <c r="E9" s="83" t="s">
        <v>18</v>
      </c>
      <c r="F9" s="83" t="s">
        <v>16</v>
      </c>
      <c r="G9" s="83" t="s">
        <v>17</v>
      </c>
      <c r="H9" s="83" t="s">
        <v>18</v>
      </c>
      <c r="I9" s="83" t="s">
        <v>16</v>
      </c>
      <c r="J9" s="83" t="s">
        <v>17</v>
      </c>
      <c r="K9" s="83" t="s">
        <v>18</v>
      </c>
      <c r="L9" s="234"/>
      <c r="M9" s="60" t="str">
        <f>IF(AND($Z$4=$Y$6),"CREDIT IN GPF",IF(AND($Z$4=$Y$7),"NPS Ded. 30%",""))</f>
        <v>CREDIT IN GPF</v>
      </c>
      <c r="N9" s="59" t="s">
        <v>11</v>
      </c>
      <c r="O9" s="60" t="s">
        <v>12</v>
      </c>
      <c r="P9" s="229"/>
      <c r="Q9" s="230"/>
      <c r="R9" s="231"/>
      <c r="AA9" s="5"/>
    </row>
    <row r="10" spans="1:40" ht="18" customHeight="1">
      <c r="A10" s="71">
        <v>1</v>
      </c>
      <c r="B10" s="42" t="s">
        <v>19</v>
      </c>
      <c r="C10" s="85">
        <v>60597</v>
      </c>
      <c r="D10" s="86">
        <f>IF(AND($Q$4=""),"",IF(AND(C10=""),"",IF(AND($AA$4=$X$7),"",ROUND((C10*4%),0))))</f>
        <v>2424</v>
      </c>
      <c r="E10" s="86">
        <f>IF(AND($Q$4=""),"",IF(AND(C10=""),"",SUM(C10:D10)))</f>
        <v>63021</v>
      </c>
      <c r="F10" s="85">
        <v>23222</v>
      </c>
      <c r="G10" s="86">
        <f>IF(AND($Q$4=""),"",IF(AND(C10=""),"",IF(AND($AA$4=$X$7),"",ROUND((F10*136%),0))))</f>
        <v>31582</v>
      </c>
      <c r="H10" s="86">
        <f>IF(AND($Q$4=""),"",IF(AND(F10=""),"",SUM(F10:G10)))</f>
        <v>54804</v>
      </c>
      <c r="I10" s="85">
        <f>IF(AND(C10=""),"",IF(AND(F10=""),"",C10-F10))</f>
        <v>37375</v>
      </c>
      <c r="J10" s="85">
        <f>IF(AND(D10=""),"",IF(AND(G10=""),"",D10-G10))</f>
        <v>-29158</v>
      </c>
      <c r="K10" s="85">
        <f t="shared" ref="K10:K18" si="0">IF(AND($Q$4=""),"",IF(AND(I10=""),"",SUM(I10:J10)))</f>
        <v>8217</v>
      </c>
      <c r="L10" s="85">
        <f>IF(AND($Q$4=""),"",IF(AND(I10=""),"",IF(AND(F$4=""),"",IF(AND(E$7=""),"",IF(AND(E$7=X$1),ROUND(K10*30%,0),IF(AND(E$7=X$2),ROUND(K10*30%,0),IF(AND(E$7=X$3),ROUND(K10*40%,0))))))))</f>
        <v>3287</v>
      </c>
      <c r="M10" s="131">
        <f>IF(AND(C10=""),"",IF(AND(K10=""),"",IF(AND($Z$4=$Y$6),L10-ROUND(((L10)*10%),0),ROUND(((L10)*10%),0))))</f>
        <v>2958</v>
      </c>
      <c r="N10" s="131">
        <f>IF(AND(C10=""),"",IF(AND(C10=0),"",IF(AND(K10=""),"",IF(AND($Z$4=$Y$6),ROUND(((L10)*10%),0),ROUND(((L10-M10)*$AB$4%),0)))))</f>
        <v>329</v>
      </c>
      <c r="O10" s="86">
        <f>IF(AND(K10=""),"",IF(AND(M10=""),"",IF(AND(N10=""),"",SUM(M10+N10))))</f>
        <v>3287</v>
      </c>
      <c r="P10" s="87">
        <f>IF(AND(K10=""),"",IF(AND(C10=0),"",IF(AND(O10=""),L10,L10-O10)))</f>
        <v>0</v>
      </c>
      <c r="Q10" s="164"/>
      <c r="R10" s="165"/>
      <c r="V10" s="1" t="str">
        <f>IF(AND($Z$4=$Y$6),"CREDIT IN GPF",IF(AND($Z$4=$Y$7),"NPS Ded.",""))</f>
        <v>CREDIT IN GPF</v>
      </c>
      <c r="AA10" s="5"/>
      <c r="AL10" s="1">
        <f>IF(AND(C10=""),"",IF(AND(C10=0),"",IF(AND(K10=""),"",ROUND(((L10-M10)*$AB$4%),0))))</f>
        <v>33</v>
      </c>
    </row>
    <row r="11" spans="1:40" ht="18" customHeight="1">
      <c r="A11" s="71">
        <v>2</v>
      </c>
      <c r="B11" s="42" t="s">
        <v>20</v>
      </c>
      <c r="C11" s="85">
        <f>IF(AND($Q$4=""),"",IF(AND(AD14=""),"",IF(AND(AH$13&gt;0,AI$13=2),AD14/28*AJ$13,AD14)))</f>
        <v>61500</v>
      </c>
      <c r="D11" s="80">
        <f t="shared" ref="D11:D15" si="1">IF(AND($Q$4=""),"",IF(AND(C11=""),"",IF(AND($AA$4=$X$7),"",ROUND((C11*4%),0))))</f>
        <v>2460</v>
      </c>
      <c r="E11" s="86">
        <f t="shared" ref="E11:E18" si="2">IF(AND($Q$4=""),"",IF(AND(C11=""),"",SUM(C11:D11)))</f>
        <v>63960</v>
      </c>
      <c r="F11" s="85">
        <f>IF(AND($Q$4=""),"",IF(AND(AF14=""),"",IF(AND(AH$13&gt;0,AI$13=2),AF14/28*AJ$13,AF14)))</f>
        <v>23800</v>
      </c>
      <c r="G11" s="80">
        <f t="shared" ref="G11:G15" si="3">IF(AND($Q$4=""),"",IF(AND(C11=""),"",IF(AND($AA$4=$X$7),"",ROUND((F11*136%),0))))</f>
        <v>32368</v>
      </c>
      <c r="H11" s="86">
        <f t="shared" ref="H11:H18" si="4">IF(AND($Q$4=""),"",IF(AND(F11=""),"",SUM(F11:G11)))</f>
        <v>56168</v>
      </c>
      <c r="I11" s="85">
        <f t="shared" ref="I11:J18" si="5">IF(AND(C11=""),"",IF(AND(F11=""),"",C11-F11))</f>
        <v>37700</v>
      </c>
      <c r="J11" s="85">
        <f t="shared" si="5"/>
        <v>-29908</v>
      </c>
      <c r="K11" s="85">
        <f t="shared" si="0"/>
        <v>7792</v>
      </c>
      <c r="L11" s="85">
        <f t="shared" ref="L11:L18" si="6">IF(AND($Q$4=""),"",IF(AND(I11=""),"",IF(AND(F$4=""),"",IF(AND(E$7=""),"",IF(AND(E$7=X$1),ROUND(K11*30%,0),IF(AND(E$7=X$2),ROUND(K11*30%,0),IF(AND(E$7=X$3),ROUND(K11*40%,0))))))))</f>
        <v>3117</v>
      </c>
      <c r="M11" s="131">
        <f t="shared" ref="M11:M18" si="7">IF(AND(C11=""),"",IF(AND(K11=""),"",IF(AND($Z$4=$Y$6),L11-ROUND(((L11)*10%),0),ROUND(((L11)*10%),0))))</f>
        <v>2805</v>
      </c>
      <c r="N11" s="131">
        <f t="shared" ref="N11:N18" si="8">IF(AND(C11=""),"",IF(AND(C11=0),"",IF(AND(K11=""),"",IF(AND($Z$4=$Y$6),ROUND(((L11)*10%),0),ROUND(((L11-M11)*$AB$4%),0)))))</f>
        <v>312</v>
      </c>
      <c r="O11" s="86">
        <f t="shared" ref="O11:O18" si="9">IF(AND(K11=""),"",IF(AND(M11=""),"",IF(AND(N11=""),"",SUM(M11+N11))))</f>
        <v>3117</v>
      </c>
      <c r="P11" s="87">
        <f t="shared" ref="P11:P18" si="10">IF(AND(K11=""),"",IF(AND(C11=0),"",IF(AND(O11=""),L11,L11-O11)))</f>
        <v>0</v>
      </c>
      <c r="Q11" s="164"/>
      <c r="R11" s="165"/>
      <c r="W11" s="1">
        <v>30</v>
      </c>
      <c r="AA11" s="5"/>
    </row>
    <row r="12" spans="1:40" ht="18" customHeight="1">
      <c r="A12" s="71">
        <v>3</v>
      </c>
      <c r="B12" s="42" t="s">
        <v>21</v>
      </c>
      <c r="C12" s="85">
        <f>IF(AND($Q$4=""),"",IF(AND(AD15=""),"",IF(AND(AH$13&gt;0,AI$13=3),AD15/31*AJ$13,AD15)))</f>
        <v>61500</v>
      </c>
      <c r="D12" s="80">
        <f t="shared" si="1"/>
        <v>2460</v>
      </c>
      <c r="E12" s="86">
        <f t="shared" si="2"/>
        <v>63960</v>
      </c>
      <c r="F12" s="85">
        <f>IF(AND($Q$4=""),"",IF(AND(AF15=""),"",IF(AND(AH$13&gt;0,AI$13=3),AF15/31*AJ$13,AF15)))</f>
        <v>23800</v>
      </c>
      <c r="G12" s="80">
        <f t="shared" si="3"/>
        <v>32368</v>
      </c>
      <c r="H12" s="86">
        <f t="shared" si="4"/>
        <v>56168</v>
      </c>
      <c r="I12" s="85">
        <f t="shared" si="5"/>
        <v>37700</v>
      </c>
      <c r="J12" s="85">
        <f t="shared" si="5"/>
        <v>-29908</v>
      </c>
      <c r="K12" s="85">
        <f t="shared" si="0"/>
        <v>7792</v>
      </c>
      <c r="L12" s="85">
        <f t="shared" si="6"/>
        <v>3117</v>
      </c>
      <c r="M12" s="131">
        <f t="shared" si="7"/>
        <v>2805</v>
      </c>
      <c r="N12" s="131">
        <f t="shared" si="8"/>
        <v>312</v>
      </c>
      <c r="O12" s="86">
        <f t="shared" si="9"/>
        <v>3117</v>
      </c>
      <c r="P12" s="87">
        <f t="shared" si="10"/>
        <v>0</v>
      </c>
      <c r="Q12" s="164"/>
      <c r="R12" s="165"/>
      <c r="W12" s="1">
        <v>40</v>
      </c>
      <c r="Y12" s="2"/>
      <c r="AA12" s="5"/>
    </row>
    <row r="13" spans="1:40" ht="18" customHeight="1">
      <c r="A13" s="71">
        <v>4</v>
      </c>
      <c r="B13" s="42" t="s">
        <v>22</v>
      </c>
      <c r="C13" s="85">
        <f>IF(AND($Q$4=""),"",IF(AND(AD16=""),"",IF(AND(AH$13&gt;0,AI$13=4),AD16/30*AJ$13,AD16)))</f>
        <v>61500</v>
      </c>
      <c r="D13" s="80">
        <f t="shared" si="1"/>
        <v>2460</v>
      </c>
      <c r="E13" s="86">
        <f t="shared" si="2"/>
        <v>63960</v>
      </c>
      <c r="F13" s="85">
        <f>IF(AND($Q$4=""),"",IF(AND(AF16=""),"",IF(AND(AH$13&gt;0,AI$13=4),AF16/30*AJ$13,AF16)))</f>
        <v>23800</v>
      </c>
      <c r="G13" s="80">
        <f t="shared" si="3"/>
        <v>32368</v>
      </c>
      <c r="H13" s="86">
        <f t="shared" si="4"/>
        <v>56168</v>
      </c>
      <c r="I13" s="88">
        <f t="shared" si="5"/>
        <v>37700</v>
      </c>
      <c r="J13" s="88">
        <f t="shared" si="5"/>
        <v>-29908</v>
      </c>
      <c r="K13" s="88">
        <f t="shared" si="0"/>
        <v>7792</v>
      </c>
      <c r="L13" s="85">
        <f t="shared" si="6"/>
        <v>3117</v>
      </c>
      <c r="M13" s="131">
        <f t="shared" si="7"/>
        <v>2805</v>
      </c>
      <c r="N13" s="131">
        <f t="shared" si="8"/>
        <v>312</v>
      </c>
      <c r="O13" s="80">
        <f t="shared" si="9"/>
        <v>3117</v>
      </c>
      <c r="P13" s="87">
        <f t="shared" si="10"/>
        <v>0</v>
      </c>
      <c r="Q13" s="164"/>
      <c r="R13" s="165"/>
      <c r="AB13" s="1">
        <v>1</v>
      </c>
      <c r="AC13" s="2">
        <f>IF(ISNA(VLOOKUP($Q$4,Master!A$9:AO$78,9,FALSE)),"",VLOOKUP($Q$4,Master!A$9:AO$78,9,FALSE))</f>
        <v>61500</v>
      </c>
      <c r="AD13" s="3">
        <f>IF(AND($AE$4=$AE$2),"",IF(AND($AE$4=$AE$3),AC13,""))</f>
        <v>61500</v>
      </c>
      <c r="AE13" s="1">
        <f>IF(ISNA(VLOOKUP($Q$4,Master!A$9:AO$78,8,FALSE)),"",VLOOKUP($Q$4,Master!A$9:AO$78,8,FALSE))</f>
        <v>23800</v>
      </c>
      <c r="AF13" s="3">
        <f>IF(AND($AE$4=$AE$2),"",IF(AND($AE$4=$AE$3),AE13,""))</f>
        <v>23800</v>
      </c>
      <c r="AG13" s="54">
        <f>IF(ISNA(VLOOKUP($Q$4,Master!A$9:AO$78,6,FALSE)),"",VLOOKUP($Q$4,Master!A$9:AO$78,6,FALSE))</f>
        <v>42736</v>
      </c>
      <c r="AH13" s="1">
        <f>DAY(AG13)</f>
        <v>1</v>
      </c>
      <c r="AI13" s="1">
        <f>MONTH(AG13)</f>
        <v>1</v>
      </c>
      <c r="AJ13" s="1">
        <f>IF(AND(AI13=1),31-AH13,IF(AND(AI13=2),28-AH13,IF(AND(AI13=3),31-AH13,IF(AND(AI13=4),30-AH13,IF(AND(AI13=5),31-AH13,IF(AND(AI13=6),30-AH13,IF(AND(AI13=7),31-AH13,IF(AND(AI13=8),31-AH13,IF(AND(AI13=9),30-AH13,"")))))))))+1</f>
        <v>31</v>
      </c>
    </row>
    <row r="14" spans="1:40" ht="18" customHeight="1">
      <c r="A14" s="71">
        <v>5</v>
      </c>
      <c r="B14" s="42" t="s">
        <v>23</v>
      </c>
      <c r="C14" s="85">
        <f>IF(AND($Q$4=""),"",IF(AND(AD17=""),"",IF(AND(AH$13&gt;0,AI$13=5),AD17/31*AJ$13,AD17)))</f>
        <v>61500</v>
      </c>
      <c r="D14" s="80">
        <f t="shared" si="1"/>
        <v>2460</v>
      </c>
      <c r="E14" s="86">
        <f t="shared" si="2"/>
        <v>63960</v>
      </c>
      <c r="F14" s="85">
        <f>IF(AND($Q$4=""),"",IF(AND(AF17=""),"",IF(AND(AH$13&gt;0,AI$13=5),AF17/31*AJ$13,AF17)))</f>
        <v>23800</v>
      </c>
      <c r="G14" s="80">
        <f t="shared" si="3"/>
        <v>32368</v>
      </c>
      <c r="H14" s="86">
        <f t="shared" si="4"/>
        <v>56168</v>
      </c>
      <c r="I14" s="88">
        <f t="shared" si="5"/>
        <v>37700</v>
      </c>
      <c r="J14" s="88">
        <f t="shared" si="5"/>
        <v>-29908</v>
      </c>
      <c r="K14" s="88">
        <f t="shared" si="0"/>
        <v>7792</v>
      </c>
      <c r="L14" s="85">
        <f t="shared" si="6"/>
        <v>3117</v>
      </c>
      <c r="M14" s="131">
        <f t="shared" si="7"/>
        <v>2805</v>
      </c>
      <c r="N14" s="131">
        <f t="shared" si="8"/>
        <v>312</v>
      </c>
      <c r="O14" s="80">
        <f t="shared" si="9"/>
        <v>3117</v>
      </c>
      <c r="P14" s="87">
        <f t="shared" si="10"/>
        <v>0</v>
      </c>
      <c r="Q14" s="164"/>
      <c r="R14" s="165"/>
      <c r="Y14" s="2"/>
      <c r="AB14" s="1">
        <v>2</v>
      </c>
      <c r="AD14" s="3">
        <f>IF(AND($AF$4=$AE$3),AC13,AD13)</f>
        <v>61500</v>
      </c>
      <c r="AF14" s="3">
        <f>IF(AND($AF$4=$AE$3),AE13,AF13)</f>
        <v>23800</v>
      </c>
    </row>
    <row r="15" spans="1:40" ht="18" customHeight="1">
      <c r="A15" s="71">
        <v>6</v>
      </c>
      <c r="B15" s="42" t="s">
        <v>24</v>
      </c>
      <c r="C15" s="85">
        <f>IF(AND($Q$4=""),"",IF(AND(AD18=""),"",IF(AND(AH$13&gt;0,AI$13=6),AD18/30*AJ$13,AD18)))</f>
        <v>61500</v>
      </c>
      <c r="D15" s="80">
        <f t="shared" si="1"/>
        <v>2460</v>
      </c>
      <c r="E15" s="86">
        <f t="shared" si="2"/>
        <v>63960</v>
      </c>
      <c r="F15" s="85">
        <f>IF(AND($Q$4=""),"",IF(AND(AF18=""),"",IF(AND(AH$13&gt;0,AI$13=6),AF18/30*AJ$13,AF18)))</f>
        <v>23800</v>
      </c>
      <c r="G15" s="80">
        <f t="shared" si="3"/>
        <v>32368</v>
      </c>
      <c r="H15" s="86">
        <f t="shared" si="4"/>
        <v>56168</v>
      </c>
      <c r="I15" s="88">
        <f t="shared" si="5"/>
        <v>37700</v>
      </c>
      <c r="J15" s="88">
        <f t="shared" si="5"/>
        <v>-29908</v>
      </c>
      <c r="K15" s="88">
        <f t="shared" si="0"/>
        <v>7792</v>
      </c>
      <c r="L15" s="85">
        <f t="shared" si="6"/>
        <v>3117</v>
      </c>
      <c r="M15" s="131">
        <f t="shared" si="7"/>
        <v>2805</v>
      </c>
      <c r="N15" s="131">
        <f t="shared" si="8"/>
        <v>312</v>
      </c>
      <c r="O15" s="80">
        <f t="shared" si="9"/>
        <v>3117</v>
      </c>
      <c r="P15" s="87">
        <f t="shared" si="10"/>
        <v>0</v>
      </c>
      <c r="Q15" s="164"/>
      <c r="R15" s="165"/>
      <c r="W15" s="57">
        <f>IF(AND($Q$4=""),"",IF(AND($Z$4=$Y$6),SUM(L10:L20),SUM(L10:L20)))</f>
        <v>28307</v>
      </c>
      <c r="AB15" s="1">
        <v>3</v>
      </c>
      <c r="AD15" s="3">
        <f>IF(AND($AG$4=$AE$3),AC13,AD14)</f>
        <v>61500</v>
      </c>
      <c r="AF15" s="3">
        <f>IF(AND($AG$4=$AE$3),AE13,AF14)</f>
        <v>23800</v>
      </c>
    </row>
    <row r="16" spans="1:40" ht="18" customHeight="1">
      <c r="A16" s="71">
        <v>7</v>
      </c>
      <c r="B16" s="42" t="s">
        <v>25</v>
      </c>
      <c r="C16" s="85">
        <f>IF(AND($Q$4=""),"",IF(AND(AD19=""),"",IF(AND(AH$13&gt;0,AI$13=7),AD19/31*AJ$13,AD19)))</f>
        <v>63300</v>
      </c>
      <c r="D16" s="80">
        <f>IF(AND($Q$4=""),"",IF(AND(C16=""),"",IF(AND($AA$4=$X$7),"",ROUND((C16*5%),0))))</f>
        <v>3165</v>
      </c>
      <c r="E16" s="86">
        <f t="shared" si="2"/>
        <v>66465</v>
      </c>
      <c r="F16" s="85">
        <f>IF(AND($Q$4=""),"",IF(AND(AF19=""),"",IF(AND(AH$13&gt;0,AI$13=7),AF19/31*AJ$13,AF19)))</f>
        <v>24520</v>
      </c>
      <c r="G16" s="80">
        <f>IF(AND($Q$4=""),"",IF(AND(C16=""),"",IF(AND($AA$4=$X$7),"",ROUND((F16*139%),0))))</f>
        <v>34083</v>
      </c>
      <c r="H16" s="86">
        <f t="shared" si="4"/>
        <v>58603</v>
      </c>
      <c r="I16" s="85">
        <f t="shared" si="5"/>
        <v>38780</v>
      </c>
      <c r="J16" s="85">
        <f t="shared" si="5"/>
        <v>-30918</v>
      </c>
      <c r="K16" s="85">
        <f t="shared" si="0"/>
        <v>7862</v>
      </c>
      <c r="L16" s="85">
        <f t="shared" si="6"/>
        <v>3145</v>
      </c>
      <c r="M16" s="131">
        <f t="shared" si="7"/>
        <v>2830</v>
      </c>
      <c r="N16" s="131">
        <f t="shared" si="8"/>
        <v>315</v>
      </c>
      <c r="O16" s="86">
        <f t="shared" si="9"/>
        <v>3145</v>
      </c>
      <c r="P16" s="87">
        <f t="shared" si="10"/>
        <v>0</v>
      </c>
      <c r="Q16" s="164"/>
      <c r="R16" s="165"/>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TWENTY  EIGHT  THOUSAND  THREE  HUNDRED  SEVEN  Only)</v>
      </c>
      <c r="Y16" s="2"/>
      <c r="AB16" s="1">
        <v>4</v>
      </c>
      <c r="AD16" s="3">
        <f>IF(AND($AH$4=$AE$3),AC13,AD15)</f>
        <v>61500</v>
      </c>
      <c r="AF16" s="3">
        <f>IF(AND($AH$4=$AE$3),AE13,AF15)</f>
        <v>23800</v>
      </c>
    </row>
    <row r="17" spans="1:32" ht="18" customHeight="1">
      <c r="A17" s="71">
        <v>8</v>
      </c>
      <c r="B17" s="42" t="s">
        <v>26</v>
      </c>
      <c r="C17" s="85">
        <f>IF(AND($Q$4=""),"",IF(AND(AD20=""),"",IF(AND(AH$13&gt;0,AI$13=8),AD20/31*AJ$13,AD20)))</f>
        <v>63300</v>
      </c>
      <c r="D17" s="80">
        <f>IF(AND($Q$4=""),"",IF(AND(C17=""),"",IF(AND($AA$4=$X$7),"",ROUND((C17*5%),0))))</f>
        <v>3165</v>
      </c>
      <c r="E17" s="86">
        <f t="shared" si="2"/>
        <v>66465</v>
      </c>
      <c r="F17" s="85">
        <f>IF(AND($Q$4=""),"",IF(AND(AF20=""),"",IF(AND(AH$13&gt;0,AI$13=8),AF20/31*AJ$13,AF20)))</f>
        <v>24520</v>
      </c>
      <c r="G17" s="80">
        <f>IF(AND($Q$4=""),"",IF(AND(C17=""),"",IF(AND($AA$4=$X$7),"",ROUND((F17*139%),0))))</f>
        <v>34083</v>
      </c>
      <c r="H17" s="86">
        <f t="shared" si="4"/>
        <v>58603</v>
      </c>
      <c r="I17" s="85">
        <f t="shared" si="5"/>
        <v>38780</v>
      </c>
      <c r="J17" s="85">
        <f t="shared" si="5"/>
        <v>-30918</v>
      </c>
      <c r="K17" s="85">
        <f t="shared" si="0"/>
        <v>7862</v>
      </c>
      <c r="L17" s="85">
        <f t="shared" si="6"/>
        <v>3145</v>
      </c>
      <c r="M17" s="131">
        <f t="shared" si="7"/>
        <v>2830</v>
      </c>
      <c r="N17" s="131">
        <f t="shared" si="8"/>
        <v>315</v>
      </c>
      <c r="O17" s="86">
        <f t="shared" si="9"/>
        <v>3145</v>
      </c>
      <c r="P17" s="87">
        <f t="shared" si="10"/>
        <v>0</v>
      </c>
      <c r="Q17" s="164"/>
      <c r="R17" s="165"/>
      <c r="W17" s="1">
        <f>IF(AND($Q$4=""),"",K22)</f>
        <v>25473</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TWENTY  FIVE  THOUSAND  FOUR  HUNDRED  SEVENTY  THREE  Only)</v>
      </c>
      <c r="AB17" s="1">
        <v>5</v>
      </c>
      <c r="AD17" s="3">
        <f>IF(AND($AI$4=$AE$3),AC13,AD16)</f>
        <v>61500</v>
      </c>
      <c r="AF17" s="3">
        <f>IF(AND($AI$4=$AE$3),AE13,AF16)</f>
        <v>23800</v>
      </c>
    </row>
    <row r="18" spans="1:32" ht="18" customHeight="1" thickBot="1">
      <c r="A18" s="71">
        <v>9</v>
      </c>
      <c r="B18" s="42" t="s">
        <v>27</v>
      </c>
      <c r="C18" s="85">
        <f>IF(AND($Q$4=""),"",IF(AND(AD21=""),"",IF(AND(AH$13&gt;0,AI$13=9),AD21/30*AJ$13,AD21)))</f>
        <v>63300</v>
      </c>
      <c r="D18" s="80">
        <f>IF(AND($Q$4=""),"",IF(AND(C18=""),"",IF(AND($AA$4=$X$7),"",ROUND((C18*5%),0))))</f>
        <v>3165</v>
      </c>
      <c r="E18" s="86">
        <f t="shared" si="2"/>
        <v>66465</v>
      </c>
      <c r="F18" s="85">
        <f>IF(AND($Q$4=""),"",IF(AND(AF21=""),"",IF(AND(AH$13&gt;0,AI$13=9),AF21/30*AJ$13,AF21)))</f>
        <v>24520</v>
      </c>
      <c r="G18" s="80">
        <f>IF(AND($Q$4=""),"",IF(AND(C18=""),"",IF(AND($AA$4=$X$7),"",ROUND((F18*139%),0))))</f>
        <v>34083</v>
      </c>
      <c r="H18" s="86">
        <f t="shared" si="4"/>
        <v>58603</v>
      </c>
      <c r="I18" s="88">
        <f t="shared" si="5"/>
        <v>38780</v>
      </c>
      <c r="J18" s="88">
        <f t="shared" si="5"/>
        <v>-30918</v>
      </c>
      <c r="K18" s="88">
        <f t="shared" si="0"/>
        <v>7862</v>
      </c>
      <c r="L18" s="85">
        <f t="shared" si="6"/>
        <v>3145</v>
      </c>
      <c r="M18" s="131">
        <f t="shared" si="7"/>
        <v>2830</v>
      </c>
      <c r="N18" s="131">
        <f t="shared" si="8"/>
        <v>315</v>
      </c>
      <c r="O18" s="80">
        <f t="shared" si="9"/>
        <v>3145</v>
      </c>
      <c r="P18" s="87">
        <f t="shared" si="10"/>
        <v>0</v>
      </c>
      <c r="Q18" s="164"/>
      <c r="R18" s="165"/>
      <c r="Y18" s="2"/>
      <c r="AB18" s="1">
        <v>6</v>
      </c>
      <c r="AD18" s="3">
        <f>IF(AND($AJ$4=$AE$3),AC13,AD17)</f>
        <v>61500</v>
      </c>
      <c r="AF18" s="3">
        <f>IF(AND($AJ$4=$AE$3),AE13,AF17)</f>
        <v>23800</v>
      </c>
    </row>
    <row r="19" spans="1:32" ht="15.75" hidden="1" thickBot="1">
      <c r="A19" s="71"/>
      <c r="B19" s="89"/>
      <c r="C19" s="89"/>
      <c r="D19" s="88"/>
      <c r="E19" s="85"/>
      <c r="F19" s="88"/>
      <c r="G19" s="88"/>
      <c r="H19" s="86"/>
      <c r="I19" s="88"/>
      <c r="J19" s="88"/>
      <c r="K19" s="88"/>
      <c r="L19" s="85"/>
      <c r="M19" s="85"/>
      <c r="N19" s="85"/>
      <c r="O19" s="80"/>
      <c r="P19" s="87"/>
      <c r="Q19" s="164"/>
      <c r="R19" s="165"/>
      <c r="Y19" s="2"/>
      <c r="AB19" s="1">
        <v>7</v>
      </c>
      <c r="AD19" s="3">
        <f>IF(AND(AI13&gt;=8),"",IF(AND(AA4=AD2),AC13,IF(AND(AI13&gt;=7),AC13,MROUND(AD18*1.03,100))))</f>
        <v>63300</v>
      </c>
      <c r="AF19" s="3">
        <f>IF(AND(AI13&gt;=8),"",IF(AND(AA4=AD2),AE13,IF(AND(AI13&gt;=7),AE13,ROUNDUP(ROUND(AF18*1.03,),-1))))</f>
        <v>24520</v>
      </c>
    </row>
    <row r="20" spans="1:32" ht="15.75" hidden="1" thickBot="1">
      <c r="A20" s="71"/>
      <c r="B20" s="89"/>
      <c r="C20" s="89"/>
      <c r="D20" s="88"/>
      <c r="E20" s="85"/>
      <c r="F20" s="88"/>
      <c r="G20" s="88"/>
      <c r="H20" s="86"/>
      <c r="I20" s="88"/>
      <c r="J20" s="88"/>
      <c r="K20" s="88"/>
      <c r="L20" s="85"/>
      <c r="M20" s="85"/>
      <c r="N20" s="85"/>
      <c r="O20" s="80"/>
      <c r="P20" s="87"/>
      <c r="Q20" s="164"/>
      <c r="R20" s="165"/>
      <c r="T20" s="54"/>
      <c r="Y20" s="2"/>
      <c r="AB20" s="1">
        <v>8</v>
      </c>
      <c r="AD20" s="3">
        <f>IF(AND($AL$4=$AE$3),AC13,AD19)</f>
        <v>63300</v>
      </c>
      <c r="AF20" s="39">
        <f>IF(AND($AL$4=$AE$3),AE13,AF19)</f>
        <v>24520</v>
      </c>
    </row>
    <row r="21" spans="1:32" ht="20.25" thickTop="1" thickBot="1">
      <c r="A21" s="216" t="s">
        <v>28</v>
      </c>
      <c r="B21" s="217"/>
      <c r="C21" s="43">
        <f t="shared" ref="C21:P21" si="11">IF(AND($Q$4=""),"",SUM(C10:C20))</f>
        <v>557997</v>
      </c>
      <c r="D21" s="43">
        <f t="shared" si="11"/>
        <v>24219</v>
      </c>
      <c r="E21" s="43">
        <f t="shared" si="11"/>
        <v>582216</v>
      </c>
      <c r="F21" s="55">
        <f t="shared" si="11"/>
        <v>215782</v>
      </c>
      <c r="G21" s="55">
        <f t="shared" si="11"/>
        <v>295671</v>
      </c>
      <c r="H21" s="55">
        <f t="shared" si="11"/>
        <v>511453</v>
      </c>
      <c r="I21" s="55">
        <f t="shared" si="11"/>
        <v>342215</v>
      </c>
      <c r="J21" s="55">
        <f t="shared" si="11"/>
        <v>-271452</v>
      </c>
      <c r="K21" s="55">
        <f t="shared" si="11"/>
        <v>70763</v>
      </c>
      <c r="L21" s="55">
        <f t="shared" si="11"/>
        <v>28307</v>
      </c>
      <c r="M21" s="55">
        <f t="shared" si="11"/>
        <v>25473</v>
      </c>
      <c r="N21" s="55">
        <f t="shared" si="11"/>
        <v>2834</v>
      </c>
      <c r="O21" s="55">
        <f t="shared" si="11"/>
        <v>28307</v>
      </c>
      <c r="P21" s="56">
        <f t="shared" si="11"/>
        <v>0</v>
      </c>
      <c r="Q21" s="218"/>
      <c r="R21" s="219"/>
      <c r="AB21" s="1">
        <v>9</v>
      </c>
      <c r="AD21" s="3">
        <f>IF(AND($AM$4=$AE$3),AC13,AD20)</f>
        <v>63300</v>
      </c>
      <c r="AF21" s="40">
        <f>IF(AND($AM$4=$AE$3),AE13,AF20)</f>
        <v>24520</v>
      </c>
    </row>
    <row r="22" spans="1:32" ht="18.75" thickTop="1" thickBot="1">
      <c r="A22" s="72"/>
      <c r="B22" s="81" t="s">
        <v>76</v>
      </c>
      <c r="C22" s="199" t="str">
        <f>IF(AND(Q$4=""),"",IF(AND(AC7&lt;=AC8),"01-01-2017",AC7))</f>
        <v>01-01-2017</v>
      </c>
      <c r="D22" s="199"/>
      <c r="E22" s="222" t="s">
        <v>91</v>
      </c>
      <c r="F22" s="222"/>
      <c r="G22" s="222"/>
      <c r="H22" s="222"/>
      <c r="I22" s="222"/>
      <c r="J22" s="222"/>
      <c r="K22" s="220">
        <f>IF(AND(Q4=""),"",IF(AND(Z4=$Y$7),P21,M21))</f>
        <v>25473</v>
      </c>
      <c r="L22" s="220"/>
      <c r="M22" s="221" t="str">
        <f>IF(AND(Q$4=""),"",IF(AND(Z4=$Y$7),"dk udn Hkqxrku fd;k x;k A","jkf'k thih,Q esa tek A"))</f>
        <v>jkf'k thih,Q esa tek A</v>
      </c>
      <c r="N22" s="221"/>
      <c r="O22" s="221"/>
      <c r="P22" s="221"/>
      <c r="Q22" s="46"/>
      <c r="R22" s="73"/>
      <c r="U22" s="61"/>
      <c r="AD22" s="39"/>
      <c r="AF22" s="39"/>
    </row>
    <row r="23" spans="1:32" ht="20.25" thickTop="1" thickBot="1">
      <c r="A23" s="64"/>
      <c r="B23" s="4"/>
      <c r="C23" s="4"/>
      <c r="D23" s="207"/>
      <c r="E23" s="207"/>
      <c r="F23" s="207"/>
      <c r="G23" s="207"/>
      <c r="H23" s="4"/>
      <c r="I23" s="4"/>
      <c r="J23" s="208" t="s">
        <v>92</v>
      </c>
      <c r="K23" s="208"/>
      <c r="L23" s="208"/>
      <c r="M23" s="208"/>
      <c r="N23" s="209">
        <f>IF(AND($Q$4=""),"",L21)</f>
        <v>28307</v>
      </c>
      <c r="O23" s="209"/>
      <c r="P23" s="210" t="s">
        <v>62</v>
      </c>
      <c r="Q23" s="210"/>
      <c r="R23" s="211"/>
      <c r="AD23" s="40"/>
      <c r="AF23" s="40"/>
    </row>
    <row r="24" spans="1:32" ht="21" customHeight="1" thickTop="1">
      <c r="A24" s="64"/>
      <c r="B24" s="202" t="str">
        <f>IF(AND($Q$4=""),"",IF(AND(F4=""),"",IF(AND(E7=""),"",E7)))</f>
        <v>Third installment of Arrear on 01-10-2018 (40% Amount)</v>
      </c>
      <c r="C24" s="202"/>
      <c r="D24" s="202"/>
      <c r="E24" s="202"/>
      <c r="F24" s="202"/>
      <c r="G24" s="202"/>
      <c r="H24" s="202"/>
      <c r="I24" s="202"/>
      <c r="J24" s="208" t="str">
        <f>IF(AND(Q4=""),"",IF(AND(Z4=$Y$7),",u-ih-,l- dVkSrh","jkf'k thih,Q esa tek A"))</f>
        <v>jkf'k thih,Q esa tek A</v>
      </c>
      <c r="K24" s="208"/>
      <c r="L24" s="208"/>
      <c r="M24" s="208"/>
      <c r="N24" s="209">
        <f>IF(AND($Q$4=""),"",M21)</f>
        <v>25473</v>
      </c>
      <c r="O24" s="209"/>
      <c r="P24" s="212" t="str">
        <f>IF(AND($Q$4=""),"",X17)</f>
        <v>( Rs.   TWENTY  FIVE  THOUSAND  FOUR  HUNDRED  SEVENTY  THREE  Only)</v>
      </c>
      <c r="Q24" s="212"/>
      <c r="R24" s="213"/>
      <c r="AD24" s="4"/>
      <c r="AF24" s="4"/>
    </row>
    <row r="25" spans="1:32" ht="21" customHeight="1">
      <c r="A25" s="64"/>
      <c r="B25" s="166"/>
      <c r="C25" s="206"/>
      <c r="D25" s="206"/>
      <c r="E25" s="206"/>
      <c r="F25" s="206"/>
      <c r="G25" s="206"/>
      <c r="H25" s="41"/>
      <c r="I25" s="41"/>
      <c r="J25" s="208" t="s">
        <v>60</v>
      </c>
      <c r="K25" s="208"/>
      <c r="L25" s="208"/>
      <c r="M25" s="208"/>
      <c r="N25" s="209">
        <f>IF(AND($Q$4=""),"",N21)</f>
        <v>2834</v>
      </c>
      <c r="O25" s="209"/>
      <c r="P25" s="212"/>
      <c r="Q25" s="212"/>
      <c r="R25" s="213"/>
    </row>
    <row r="26" spans="1:32" ht="15.75">
      <c r="A26" s="74"/>
      <c r="B26" s="47"/>
      <c r="C26" s="214"/>
      <c r="D26" s="214"/>
      <c r="E26" s="214"/>
      <c r="F26" s="214"/>
      <c r="G26" s="214"/>
      <c r="H26" s="48"/>
      <c r="I26" s="48"/>
      <c r="J26" s="215" t="s">
        <v>61</v>
      </c>
      <c r="K26" s="215"/>
      <c r="L26" s="215"/>
      <c r="M26" s="215"/>
      <c r="N26" s="203">
        <f>IF(AND(Z4=$Y$7),SUM(N23-N24-N25),0)</f>
        <v>0</v>
      </c>
      <c r="O26" s="203"/>
      <c r="P26" s="204" t="str">
        <f>IF(AND(Q$4=""),"",IF(AND(Z4=$Y$7),"dk udn Hkqxrku fd;k x;k","jkf'k thih,Q esa tek"))</f>
        <v>jkf'k thih,Q esa tek</v>
      </c>
      <c r="Q26" s="204"/>
      <c r="R26" s="205"/>
    </row>
    <row r="27" spans="1:32" ht="18.75">
      <c r="A27" s="64"/>
      <c r="B27" s="166"/>
      <c r="C27" s="206"/>
      <c r="D27" s="206"/>
      <c r="E27" s="206"/>
      <c r="F27" s="206"/>
      <c r="G27" s="206"/>
      <c r="H27" s="41"/>
      <c r="I27" s="41"/>
      <c r="J27" s="41"/>
      <c r="K27" s="45"/>
      <c r="L27" s="45"/>
      <c r="M27" s="4"/>
      <c r="N27" s="4"/>
      <c r="O27" s="77"/>
      <c r="P27" s="77"/>
      <c r="Q27" s="77"/>
      <c r="R27" s="78"/>
    </row>
    <row r="28" spans="1:32" ht="19.5" customHeight="1">
      <c r="A28" s="64"/>
      <c r="B28" s="166"/>
      <c r="C28" s="167"/>
      <c r="D28" s="167"/>
      <c r="E28" s="167"/>
      <c r="F28" s="167"/>
      <c r="G28" s="167"/>
      <c r="H28" s="41"/>
      <c r="I28" s="41"/>
      <c r="J28" s="41"/>
      <c r="K28" s="45"/>
      <c r="L28" s="45"/>
      <c r="M28" s="4"/>
      <c r="N28" s="4"/>
      <c r="O28" s="77"/>
      <c r="P28" s="200" t="str">
        <f>CONCATENATE("(  ",Master!C4," )")</f>
        <v>(  Mishari lal )</v>
      </c>
      <c r="Q28" s="200"/>
      <c r="R28" s="201"/>
    </row>
    <row r="29" spans="1:32" ht="15.75">
      <c r="A29" s="64"/>
      <c r="B29" s="4"/>
      <c r="C29" s="4"/>
      <c r="D29" s="4"/>
      <c r="E29" s="4"/>
      <c r="F29" s="4"/>
      <c r="G29" s="4"/>
      <c r="H29" s="4"/>
      <c r="I29" s="4"/>
      <c r="J29" s="4"/>
      <c r="K29" s="4"/>
      <c r="L29" s="4"/>
      <c r="M29" s="4"/>
      <c r="N29" s="4"/>
      <c r="O29" s="4"/>
      <c r="P29" s="195" t="s">
        <v>71</v>
      </c>
      <c r="Q29" s="195"/>
      <c r="R29" s="196"/>
    </row>
    <row r="30" spans="1:32" ht="16.5" thickBot="1">
      <c r="A30" s="75"/>
      <c r="B30" s="76"/>
      <c r="C30" s="76"/>
      <c r="D30" s="76"/>
      <c r="E30" s="76"/>
      <c r="F30" s="76"/>
      <c r="G30" s="76"/>
      <c r="H30" s="76"/>
      <c r="I30" s="76"/>
      <c r="J30" s="76"/>
      <c r="K30" s="76"/>
      <c r="L30" s="76"/>
      <c r="M30" s="76"/>
      <c r="N30" s="76"/>
      <c r="O30" s="76"/>
      <c r="P30" s="197" t="s">
        <v>72</v>
      </c>
      <c r="Q30" s="197"/>
      <c r="R30" s="198"/>
    </row>
  </sheetData>
  <mergeCells count="46">
    <mergeCell ref="P29:R29"/>
    <mergeCell ref="P30:R30"/>
    <mergeCell ref="C26:G26"/>
    <mergeCell ref="J26:M26"/>
    <mergeCell ref="N26:O26"/>
    <mergeCell ref="P26:R26"/>
    <mergeCell ref="C27:G27"/>
    <mergeCell ref="P28:R28"/>
    <mergeCell ref="D23:G23"/>
    <mergeCell ref="J23:M23"/>
    <mergeCell ref="N23:O23"/>
    <mergeCell ref="P23:R23"/>
    <mergeCell ref="B24:I24"/>
    <mergeCell ref="J24:M24"/>
    <mergeCell ref="N24:O24"/>
    <mergeCell ref="P24:R25"/>
    <mergeCell ref="C25:G25"/>
    <mergeCell ref="J25:M25"/>
    <mergeCell ref="N25:O25"/>
    <mergeCell ref="A21:B21"/>
    <mergeCell ref="Q21:R21"/>
    <mergeCell ref="C22:D22"/>
    <mergeCell ref="E22:J22"/>
    <mergeCell ref="K22:L22"/>
    <mergeCell ref="M22:P22"/>
    <mergeCell ref="S4:T4"/>
    <mergeCell ref="B5:Q5"/>
    <mergeCell ref="C6:P6"/>
    <mergeCell ref="E7:M7"/>
    <mergeCell ref="A8:A9"/>
    <mergeCell ref="B8:B9"/>
    <mergeCell ref="C8:E8"/>
    <mergeCell ref="F8:H8"/>
    <mergeCell ref="I8:K8"/>
    <mergeCell ref="L8:L9"/>
    <mergeCell ref="M8:O8"/>
    <mergeCell ref="P8:P9"/>
    <mergeCell ref="Q8:Q9"/>
    <mergeCell ref="R8:R9"/>
    <mergeCell ref="B2:Q2"/>
    <mergeCell ref="B3:Q3"/>
    <mergeCell ref="C4:E4"/>
    <mergeCell ref="F4:H4"/>
    <mergeCell ref="I4:J4"/>
    <mergeCell ref="K4:N4"/>
    <mergeCell ref="O4:P4"/>
  </mergeCells>
  <dataValidations count="1">
    <dataValidation type="list" allowBlank="1" showInputMessage="1" showErrorMessage="1" sqref="E7">
      <formula1>$X$1:$X$4</formula1>
    </dataValidation>
  </dataValidations>
  <pageMargins left="0.7" right="0.2" top="0.75" bottom="0.75" header="0.3" footer="0.3"/>
  <pageSetup paperSize="9"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Master</vt:lpstr>
      <vt:lpstr>For 7pay Fixation Arrear module</vt:lpstr>
      <vt:lpstr>For salary Arrear Module</vt:lpstr>
      <vt:lpstr>7th pay Surr. Arrea</vt:lpstr>
      <vt:lpstr>Unlock Sheet</vt:lpstr>
      <vt:lpstr>'7th pay Surr. Arrea'!Print_Area</vt:lpstr>
      <vt:lpstr>'For 7pay Fixation Arrear module'!Print_Area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2018-09-29T11:34:29Z</dcterms:modified>
</cp:coreProperties>
</file>