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Pri Pay Manager" sheetId="8" r:id="rId2"/>
    <sheet name="Unlock Sheet" sheetId="14" r:id="rId3"/>
  </sheets>
  <definedNames>
    <definedName name="_xlnm.Print_Area" localSheetId="1">'Pri Pay Manager'!$A$2:$T$30</definedName>
  </definedNames>
  <calcPr calcId="124519"/>
</workbook>
</file>

<file path=xl/calcChain.xml><?xml version="1.0" encoding="utf-8"?>
<calcChain xmlns="http://schemas.openxmlformats.org/spreadsheetml/2006/main">
  <c r="Y17" i="8"/>
  <c r="H11"/>
  <c r="H12"/>
  <c r="H13"/>
  <c r="H14"/>
  <c r="H15"/>
  <c r="H16"/>
  <c r="H17"/>
  <c r="H18"/>
  <c r="H10"/>
  <c r="D11"/>
  <c r="D12"/>
  <c r="D13"/>
  <c r="D14"/>
  <c r="D15"/>
  <c r="D16"/>
  <c r="D17"/>
  <c r="D18"/>
  <c r="D10"/>
  <c r="D11" i="14"/>
  <c r="D12"/>
  <c r="D13"/>
  <c r="D14"/>
  <c r="D15"/>
  <c r="D16"/>
  <c r="D17"/>
  <c r="D18"/>
  <c r="D10"/>
  <c r="E10" s="1"/>
  <c r="H11"/>
  <c r="H12"/>
  <c r="H13"/>
  <c r="H14"/>
  <c r="H15"/>
  <c r="H16"/>
  <c r="H17"/>
  <c r="H18"/>
  <c r="H10"/>
  <c r="G4" i="8"/>
  <c r="N8" s="1"/>
  <c r="G12" i="14"/>
  <c r="G13" s="1"/>
  <c r="G14" s="1"/>
  <c r="G15" s="1"/>
  <c r="G11"/>
  <c r="C12"/>
  <c r="C13" s="1"/>
  <c r="C11"/>
  <c r="AH11"/>
  <c r="AH12" s="1"/>
  <c r="AH13" s="1"/>
  <c r="AH14" s="1"/>
  <c r="AI11"/>
  <c r="AI12" s="1"/>
  <c r="AI13" s="1"/>
  <c r="AI14" s="1"/>
  <c r="AJ11"/>
  <c r="AJ12" s="1"/>
  <c r="AJ13" s="1"/>
  <c r="AJ14" s="1"/>
  <c r="AK11"/>
  <c r="AK12" s="1"/>
  <c r="AK13" s="1"/>
  <c r="AK14" s="1"/>
  <c r="AL11"/>
  <c r="AL12" s="1"/>
  <c r="AL13" s="1"/>
  <c r="AL14" s="1"/>
  <c r="AM11"/>
  <c r="AM12" s="1"/>
  <c r="AM13" s="1"/>
  <c r="AM14" s="1"/>
  <c r="AN11"/>
  <c r="AN12" s="1"/>
  <c r="AN13" s="1"/>
  <c r="AN14" s="1"/>
  <c r="AO11"/>
  <c r="AO12" s="1"/>
  <c r="AO13" s="1"/>
  <c r="AO14" s="1"/>
  <c r="AP11"/>
  <c r="AP12" s="1"/>
  <c r="AP13" s="1"/>
  <c r="AP14" s="1"/>
  <c r="AQ11"/>
  <c r="AQ12" s="1"/>
  <c r="AQ13" s="1"/>
  <c r="AQ14" s="1"/>
  <c r="R28"/>
  <c r="AE7"/>
  <c r="D22" s="1"/>
  <c r="AP4"/>
  <c r="AO4"/>
  <c r="AN4"/>
  <c r="AM4"/>
  <c r="AL4"/>
  <c r="AK4"/>
  <c r="AJ4"/>
  <c r="AI4"/>
  <c r="AH4"/>
  <c r="AG4"/>
  <c r="AF4"/>
  <c r="AE4"/>
  <c r="AD4"/>
  <c r="AC4"/>
  <c r="AB4"/>
  <c r="R26" s="1"/>
  <c r="M4"/>
  <c r="H4"/>
  <c r="B24" s="1"/>
  <c r="B3"/>
  <c r="B3" i="8"/>
  <c r="R28"/>
  <c r="AE7"/>
  <c r="C22" s="1"/>
  <c r="AB4"/>
  <c r="R26" s="1"/>
  <c r="AI13"/>
  <c r="AK13" s="1"/>
  <c r="AG13"/>
  <c r="AE13"/>
  <c r="AP4"/>
  <c r="AO4"/>
  <c r="AN4"/>
  <c r="AM4"/>
  <c r="AL4"/>
  <c r="AK4"/>
  <c r="AJ4"/>
  <c r="AI4"/>
  <c r="AH4"/>
  <c r="AG4"/>
  <c r="AF4"/>
  <c r="AE4"/>
  <c r="AD4"/>
  <c r="AC4"/>
  <c r="M4"/>
  <c r="O9" l="1"/>
  <c r="O9" i="14"/>
  <c r="I11"/>
  <c r="E11"/>
  <c r="F10"/>
  <c r="I10"/>
  <c r="G16"/>
  <c r="C14"/>
  <c r="AQ15"/>
  <c r="AO15"/>
  <c r="AM15"/>
  <c r="AK15"/>
  <c r="AI15"/>
  <c r="AP15"/>
  <c r="AN15"/>
  <c r="AL15"/>
  <c r="AJ15"/>
  <c r="AH15"/>
  <c r="AH16" s="1"/>
  <c r="AH17" s="1"/>
  <c r="L24"/>
  <c r="N8"/>
  <c r="X10"/>
  <c r="O22"/>
  <c r="B24" i="8"/>
  <c r="AH13"/>
  <c r="AH14" s="1"/>
  <c r="AH15" s="1"/>
  <c r="AH16" s="1"/>
  <c r="AH17" s="1"/>
  <c r="O22"/>
  <c r="AF13"/>
  <c r="AF14" s="1"/>
  <c r="AF15" s="1"/>
  <c r="AJ13"/>
  <c r="X10"/>
  <c r="L24"/>
  <c r="I13" i="14" l="1"/>
  <c r="E13"/>
  <c r="E12"/>
  <c r="I12"/>
  <c r="G17"/>
  <c r="C15"/>
  <c r="G14" i="8"/>
  <c r="G13"/>
  <c r="AL13"/>
  <c r="G10" s="1"/>
  <c r="AF16"/>
  <c r="C11"/>
  <c r="AH18"/>
  <c r="AH19" s="1"/>
  <c r="G11"/>
  <c r="I11" l="1"/>
  <c r="K11"/>
  <c r="E11"/>
  <c r="AH20"/>
  <c r="E14" i="14"/>
  <c r="I14"/>
  <c r="G18"/>
  <c r="C16"/>
  <c r="C12" i="8"/>
  <c r="G12"/>
  <c r="C10"/>
  <c r="C13"/>
  <c r="AF17"/>
  <c r="G15"/>
  <c r="L11" l="1"/>
  <c r="F11"/>
  <c r="I10"/>
  <c r="J10" s="1"/>
  <c r="I12"/>
  <c r="K12"/>
  <c r="I13"/>
  <c r="K13"/>
  <c r="E13"/>
  <c r="L13" s="1"/>
  <c r="I15" i="14"/>
  <c r="E15"/>
  <c r="G19"/>
  <c r="G20" s="1"/>
  <c r="C17"/>
  <c r="J11" i="8"/>
  <c r="M11"/>
  <c r="N11" s="1"/>
  <c r="G16"/>
  <c r="C14"/>
  <c r="AF18"/>
  <c r="AF19" s="1"/>
  <c r="J13"/>
  <c r="K10" l="1"/>
  <c r="E12"/>
  <c r="L12" s="1"/>
  <c r="I14"/>
  <c r="K14"/>
  <c r="F12"/>
  <c r="E10"/>
  <c r="X11" i="14"/>
  <c r="Z11"/>
  <c r="Z12" s="1"/>
  <c r="Z13" s="1"/>
  <c r="Z14" s="1"/>
  <c r="AF20" i="8"/>
  <c r="AF21" s="1"/>
  <c r="E16" i="14"/>
  <c r="I16"/>
  <c r="C18"/>
  <c r="X12"/>
  <c r="X13" s="1"/>
  <c r="X14" s="1"/>
  <c r="J12" i="8"/>
  <c r="AH18" i="14"/>
  <c r="O11" i="8"/>
  <c r="F13"/>
  <c r="M13"/>
  <c r="N13" s="1"/>
  <c r="C15"/>
  <c r="G17"/>
  <c r="H21" s="1"/>
  <c r="AH21"/>
  <c r="G18" s="1"/>
  <c r="E14" l="1"/>
  <c r="L14" s="1"/>
  <c r="I15"/>
  <c r="K15"/>
  <c r="L10"/>
  <c r="F10"/>
  <c r="M10"/>
  <c r="N10" s="1"/>
  <c r="G21"/>
  <c r="AA11" i="14"/>
  <c r="Y11"/>
  <c r="Y12" s="1"/>
  <c r="Y13" s="1"/>
  <c r="Y14" s="1"/>
  <c r="I18"/>
  <c r="E18"/>
  <c r="E17"/>
  <c r="I17"/>
  <c r="AA12"/>
  <c r="AA13" s="1"/>
  <c r="AA14" s="1"/>
  <c r="X15"/>
  <c r="Z15"/>
  <c r="M12" i="8"/>
  <c r="N12" s="1"/>
  <c r="AH19" i="14"/>
  <c r="P11" i="8"/>
  <c r="O13"/>
  <c r="M14"/>
  <c r="N14" s="1"/>
  <c r="C16"/>
  <c r="F14"/>
  <c r="J15"/>
  <c r="J14"/>
  <c r="E15" l="1"/>
  <c r="K16"/>
  <c r="I16"/>
  <c r="O10"/>
  <c r="AC11" i="14"/>
  <c r="AC12" s="1"/>
  <c r="AC13" s="1"/>
  <c r="AC14" s="1"/>
  <c r="AB11"/>
  <c r="AB12" s="1"/>
  <c r="AB13" s="1"/>
  <c r="AB14" s="1"/>
  <c r="AA15"/>
  <c r="Y15"/>
  <c r="Z16" s="1"/>
  <c r="O12" i="8"/>
  <c r="AH20" i="14"/>
  <c r="P13" i="8"/>
  <c r="O14"/>
  <c r="C17"/>
  <c r="C18"/>
  <c r="L15" l="1"/>
  <c r="F15"/>
  <c r="E16"/>
  <c r="F16" s="1"/>
  <c r="E17"/>
  <c r="F17" s="1"/>
  <c r="I17"/>
  <c r="I18"/>
  <c r="K18"/>
  <c r="I21"/>
  <c r="P10"/>
  <c r="AD11" i="14"/>
  <c r="AD12" s="1"/>
  <c r="AD13" s="1"/>
  <c r="AD14" s="1"/>
  <c r="AC15"/>
  <c r="AB15"/>
  <c r="P12" i="8"/>
  <c r="AH21" i="14"/>
  <c r="P14" i="8"/>
  <c r="J18"/>
  <c r="J16"/>
  <c r="C21"/>
  <c r="M15"/>
  <c r="N15" s="1"/>
  <c r="J17"/>
  <c r="L16" l="1"/>
  <c r="M16" s="1"/>
  <c r="N16" s="1"/>
  <c r="L17"/>
  <c r="K17"/>
  <c r="K21" s="1"/>
  <c r="D21"/>
  <c r="E18"/>
  <c r="J21"/>
  <c r="AE11" i="14"/>
  <c r="AE12" s="1"/>
  <c r="AE13" s="1"/>
  <c r="AE14" s="1"/>
  <c r="AD15"/>
  <c r="H21"/>
  <c r="O15" i="8"/>
  <c r="O16"/>
  <c r="F18"/>
  <c r="F21" s="1"/>
  <c r="L18" l="1"/>
  <c r="E21"/>
  <c r="AE15" i="14"/>
  <c r="P16" i="8"/>
  <c r="P15"/>
  <c r="M17"/>
  <c r="N17" s="1"/>
  <c r="M18" l="1"/>
  <c r="L21"/>
  <c r="N18" l="1"/>
  <c r="M21"/>
  <c r="O17"/>
  <c r="Y15"/>
  <c r="N21" l="1"/>
  <c r="P23" s="1"/>
  <c r="O18"/>
  <c r="P18" s="1"/>
  <c r="P17"/>
  <c r="AN10"/>
  <c r="Q10"/>
  <c r="P21" l="1"/>
  <c r="P25" s="1"/>
  <c r="O21"/>
  <c r="R10"/>
  <c r="P24"/>
  <c r="Q14"/>
  <c r="R14" s="1"/>
  <c r="Q11"/>
  <c r="R11" s="1"/>
  <c r="Q17"/>
  <c r="R17" s="1"/>
  <c r="Q18"/>
  <c r="R18" s="1"/>
  <c r="Q15"/>
  <c r="R15" s="1"/>
  <c r="Q13"/>
  <c r="R13" s="1"/>
  <c r="Q12"/>
  <c r="Q16"/>
  <c r="R16" s="1"/>
  <c r="Q21" l="1"/>
  <c r="AF11" i="14"/>
  <c r="AF12" s="1"/>
  <c r="AF13" s="1"/>
  <c r="AF14" s="1"/>
  <c r="R12" i="8"/>
  <c r="P26"/>
  <c r="AG11" i="14" l="1"/>
  <c r="AG12" s="1"/>
  <c r="AG13" s="1"/>
  <c r="AG14" s="1"/>
  <c r="AF15"/>
  <c r="AF16" s="1"/>
  <c r="AF17" s="1"/>
  <c r="R21" i="8"/>
  <c r="M22" s="1"/>
  <c r="Z17" s="1"/>
  <c r="AG15" i="14" l="1"/>
  <c r="Z16" i="8"/>
  <c r="K11" i="14" l="1"/>
  <c r="J11"/>
  <c r="F11"/>
  <c r="R24" i="8"/>
  <c r="L11" i="14" l="1"/>
  <c r="M11" s="1"/>
  <c r="N11" l="1"/>
  <c r="O11" s="1"/>
  <c r="K12"/>
  <c r="F12"/>
  <c r="P11" l="1"/>
  <c r="Q11" s="1"/>
  <c r="R11" s="1"/>
  <c r="AF18"/>
  <c r="J12"/>
  <c r="K13"/>
  <c r="J13"/>
  <c r="L12"/>
  <c r="M12" s="1"/>
  <c r="N12" l="1"/>
  <c r="O12" s="1"/>
  <c r="L13"/>
  <c r="M13" s="1"/>
  <c r="AF19"/>
  <c r="K14"/>
  <c r="J14"/>
  <c r="F14"/>
  <c r="F13"/>
  <c r="P12" l="1"/>
  <c r="Q12" s="1"/>
  <c r="R12" s="1"/>
  <c r="N13"/>
  <c r="O13" s="1"/>
  <c r="L14"/>
  <c r="AF20"/>
  <c r="M14"/>
  <c r="J15"/>
  <c r="K15"/>
  <c r="L15"/>
  <c r="N14" l="1"/>
  <c r="O14" s="1"/>
  <c r="P14" s="1"/>
  <c r="Q14" s="1"/>
  <c r="P13"/>
  <c r="Q13" s="1"/>
  <c r="R13" s="1"/>
  <c r="M15"/>
  <c r="K16"/>
  <c r="J16"/>
  <c r="AF21"/>
  <c r="F15"/>
  <c r="N15" l="1"/>
  <c r="O15" s="1"/>
  <c r="R14"/>
  <c r="K18"/>
  <c r="L18"/>
  <c r="F16"/>
  <c r="L16"/>
  <c r="M16" s="1"/>
  <c r="J17"/>
  <c r="K17"/>
  <c r="F17"/>
  <c r="N16" l="1"/>
  <c r="O16" s="1"/>
  <c r="P16" s="1"/>
  <c r="Q16" s="1"/>
  <c r="P15"/>
  <c r="Q15" s="1"/>
  <c r="R15" s="1"/>
  <c r="J18"/>
  <c r="L17"/>
  <c r="M18"/>
  <c r="F18"/>
  <c r="N18" l="1"/>
  <c r="O18" s="1"/>
  <c r="R16"/>
  <c r="M17"/>
  <c r="P18" l="1"/>
  <c r="Q18" s="1"/>
  <c r="R18" s="1"/>
  <c r="N17"/>
  <c r="O17" s="1"/>
  <c r="P17" l="1"/>
  <c r="Q17" s="1"/>
  <c r="R17" s="1"/>
  <c r="E21"/>
  <c r="D21"/>
  <c r="F21"/>
  <c r="K10"/>
  <c r="I21"/>
  <c r="K21" l="1"/>
  <c r="J10"/>
  <c r="J21" s="1"/>
  <c r="L10"/>
  <c r="L21" s="1"/>
  <c r="M10" l="1"/>
  <c r="N10" l="1"/>
  <c r="O10" s="1"/>
  <c r="M21"/>
  <c r="N21" l="1"/>
  <c r="P23" s="1"/>
  <c r="O21"/>
  <c r="P24" s="1"/>
  <c r="P10"/>
  <c r="P21" s="1"/>
  <c r="P25" s="1"/>
  <c r="P26" s="1"/>
  <c r="AN10"/>
  <c r="Q10" l="1"/>
  <c r="R10" s="1"/>
  <c r="R21" s="1"/>
  <c r="M22" s="1"/>
  <c r="Y17" s="1"/>
  <c r="Z17" s="1"/>
  <c r="R24" s="1"/>
  <c r="Q21" l="1"/>
</calcChain>
</file>

<file path=xl/sharedStrings.xml><?xml version="1.0" encoding="utf-8"?>
<sst xmlns="http://schemas.openxmlformats.org/spreadsheetml/2006/main" count="200" uniqueCount="101">
  <si>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</si>
  <si>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</si>
  <si>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</si>
  <si>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</si>
  <si>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</si>
  <si>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</si>
  <si>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</si>
  <si>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</si>
  <si>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</si>
  <si>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</si>
  <si>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</si>
  <si>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</si>
  <si>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</si>
  <si>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</si>
  <si>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</si>
  <si>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</si>
  <si>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</si>
  <si>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</si>
  <si>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</si>
  <si>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</si>
  <si>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</si>
  <si>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</si>
  <si>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</si>
  <si>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</si>
  <si>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</si>
  <si>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</si>
  <si>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</si>
  <si>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</si>
  <si>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</si>
  <si>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</si>
  <si>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</si>
  <si>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</si>
  <si>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</si>
  <si>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</si>
  <si>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</si>
  <si>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</si>
  <si>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</si>
  <si>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</si>
  <si>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</si>
  <si>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</si>
  <si>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</si>
  <si>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</si>
  <si>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</si>
  <si>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</si>
  <si>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</si>
  <si>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</si>
  <si>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</si>
  <si>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</si>
  <si>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</si>
  <si>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</si>
  <si>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</si>
  <si>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</si>
  <si>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</si>
  <si>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</si>
  <si>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</si>
  <si>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</si>
  <si>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</si>
  <si>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</si>
  <si>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</si>
  <si>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</si>
  <si>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</si>
  <si>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</si>
  <si>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</si>
  <si>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</si>
  <si>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</si>
  <si>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</si>
  <si>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</si>
  <si>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</si>
  <si>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</si>
  <si>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</si>
  <si>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</si>
  <si>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</si>
  <si>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</si>
  <si>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</si>
  <si>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</si>
  <si>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t xml:space="preserve">fnukad </t>
  </si>
  <si>
    <t>Øekad %&amp;</t>
  </si>
  <si>
    <t>Government Senior Secondry School Inderwara (RANI), Pali</t>
  </si>
  <si>
    <t>Mishari lal</t>
  </si>
  <si>
    <t>feJhyky</t>
  </si>
  <si>
    <t>HEERALAL JAT</t>
  </si>
  <si>
    <t>MANDEEP</t>
  </si>
  <si>
    <t>INDRA SINGH</t>
  </si>
  <si>
    <t>Sr. Teacher</t>
  </si>
  <si>
    <t>Lecturer</t>
  </si>
  <si>
    <t>P.T.I.</t>
  </si>
  <si>
    <t>A.S.</t>
  </si>
  <si>
    <t>Teacher</t>
  </si>
  <si>
    <t>B.R.M.</t>
  </si>
  <si>
    <t>C.S.R.</t>
  </si>
  <si>
    <t>Principal</t>
  </si>
  <si>
    <t>mahendra patel</t>
  </si>
  <si>
    <t>sawar mal yadav</t>
  </si>
  <si>
    <t>KS</t>
  </si>
  <si>
    <t>MISHRI LAL</t>
  </si>
  <si>
    <t>MANGILAL RANGI</t>
  </si>
  <si>
    <t>SURESH KUMAR ADARA</t>
  </si>
  <si>
    <t>Pay 40%</t>
  </si>
  <si>
    <r>
      <rPr>
        <b/>
        <sz val="11"/>
        <color theme="1"/>
        <rFont val="Calibri"/>
        <family val="2"/>
        <scheme val="minor"/>
      </rPr>
      <t>(40 %</t>
    </r>
    <r>
      <rPr>
        <b/>
        <sz val="11"/>
        <color theme="1"/>
        <rFont val="Kruti Dev 010"/>
      </rPr>
      <t xml:space="preserve"> jkf'k </t>
    </r>
    <r>
      <rPr>
        <b/>
        <sz val="11"/>
        <color theme="1"/>
        <rFont val="Calibri"/>
        <family val="2"/>
        <scheme val="minor"/>
      </rPr>
      <t>)</t>
    </r>
  </si>
  <si>
    <r>
      <t xml:space="preserve">ls </t>
    </r>
    <r>
      <rPr>
        <b/>
        <sz val="13"/>
        <color theme="1"/>
        <rFont val="Calibri"/>
        <family val="2"/>
        <scheme val="minor"/>
      </rPr>
      <t>30-09-2017</t>
    </r>
    <r>
      <rPr>
        <b/>
        <sz val="13"/>
        <color theme="1"/>
        <rFont val="Kruti Dev 010"/>
      </rPr>
      <t xml:space="preserve"> rd fQDls'ku ,fj;j dh 40</t>
    </r>
    <r>
      <rPr>
        <b/>
        <sz val="13"/>
        <color theme="1"/>
        <rFont val="Calibri"/>
        <family val="2"/>
        <scheme val="minor"/>
      </rPr>
      <t>%</t>
    </r>
    <r>
      <rPr>
        <b/>
        <sz val="13"/>
        <color theme="1"/>
        <rFont val="Kruti Dev 010"/>
      </rPr>
      <t xml:space="preserve"> jkf'k </t>
    </r>
  </si>
  <si>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40%</t>
    </r>
    <r>
      <rPr>
        <b/>
        <sz val="13"/>
        <color theme="1"/>
        <rFont val="Kruti Dev 010"/>
      </rPr>
      <t xml:space="preserve"> jkf'k </t>
    </r>
  </si>
</sst>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259">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18" fillId="0" borderId="23" xfId="0" applyFont="1" applyBorder="1" applyAlignment="1" applyProtection="1">
      <alignment horizontal="right" vertical="center"/>
      <protection locked="0"/>
    </xf>
    <xf numFmtId="0" fontId="7" fillId="0" borderId="22" xfId="0" applyFont="1" applyBorder="1" applyAlignment="1" applyProtection="1">
      <alignment horizontal="center" vertical="center"/>
      <protection locked="0"/>
    </xf>
    <xf numFmtId="0" fontId="11" fillId="0" borderId="25"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28" fillId="0" borderId="35" xfId="0" applyFont="1" applyBorder="1" applyAlignment="1" applyProtection="1">
      <alignment horizontal="center"/>
      <protection locked="0"/>
    </xf>
    <xf numFmtId="49"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49" fontId="7" fillId="0" borderId="22"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Protection="1">
      <protection locked="0"/>
    </xf>
    <xf numFmtId="0" fontId="0" fillId="0" borderId="30" xfId="0" applyBorder="1" applyProtection="1">
      <protection locked="0"/>
    </xf>
    <xf numFmtId="0" fontId="11" fillId="0" borderId="32" xfId="1" applyFont="1" applyFill="1" applyBorder="1" applyAlignment="1" applyProtection="1">
      <alignment vertical="center"/>
      <protection locked="0"/>
    </xf>
    <xf numFmtId="0" fontId="0" fillId="0" borderId="33" xfId="0" applyBorder="1" applyProtection="1">
      <protection locked="0"/>
    </xf>
    <xf numFmtId="0" fontId="11" fillId="0" borderId="34" xfId="1" applyFont="1" applyFill="1" applyBorder="1" applyAlignment="1" applyProtection="1">
      <alignment vertical="center"/>
      <protection locked="0"/>
    </xf>
    <xf numFmtId="0" fontId="32"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0" fillId="0" borderId="34" xfId="0" applyBorder="1" applyProtection="1">
      <protection locked="0"/>
    </xf>
    <xf numFmtId="0" fontId="5" fillId="0" borderId="3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28" fillId="5" borderId="22" xfId="0" applyNumberFormat="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xf>
    <xf numFmtId="1" fontId="12" fillId="0" borderId="22" xfId="0" applyNumberFormat="1" applyFont="1" applyBorder="1" applyAlignment="1" applyProtection="1">
      <alignment horizontal="center" vertical="center"/>
      <protection locked="0"/>
    </xf>
    <xf numFmtId="1" fontId="12" fillId="5" borderId="22" xfId="0" applyNumberFormat="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3" fillId="0" borderId="22" xfId="0" applyNumberFormat="1" applyFont="1" applyBorder="1" applyAlignment="1" applyProtection="1">
      <alignment horizontal="center" vertical="center"/>
      <protection locked="0"/>
    </xf>
    <xf numFmtId="1" fontId="13" fillId="0" borderId="22" xfId="0" applyNumberFormat="1" applyFont="1" applyBorder="1" applyAlignment="1" applyProtection="1">
      <alignment horizontal="center" vertical="center"/>
      <protection locked="0"/>
    </xf>
    <xf numFmtId="1" fontId="14" fillId="0" borderId="22" xfId="0" applyNumberFormat="1" applyFont="1" applyBorder="1" applyAlignment="1" applyProtection="1">
      <alignment horizontal="center" vertical="center"/>
      <protection locked="0"/>
    </xf>
    <xf numFmtId="0" fontId="0" fillId="0" borderId="37" xfId="0" applyBorder="1" applyProtection="1">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39" xfId="0" applyBorder="1" applyProtection="1">
      <protection locked="0"/>
    </xf>
    <xf numFmtId="0" fontId="3" fillId="0" borderId="24" xfId="0"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0" fillId="0" borderId="41" xfId="0" applyBorder="1" applyProtection="1">
      <protection locked="0"/>
    </xf>
    <xf numFmtId="0" fontId="0" fillId="0" borderId="42" xfId="0" applyBorder="1" applyProtection="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hidden="1"/>
    </xf>
    <xf numFmtId="0" fontId="3" fillId="0" borderId="0" xfId="0" applyFont="1" applyBorder="1" applyAlignment="1" applyProtection="1">
      <alignment horizontal="left"/>
      <protection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48" fillId="0" borderId="0" xfId="0" applyFont="1" applyBorder="1" applyAlignment="1" applyProtection="1">
      <alignment horizontal="center"/>
      <protection locked="0"/>
    </xf>
    <xf numFmtId="0" fontId="48" fillId="0" borderId="34" xfId="0" applyFont="1" applyBorder="1" applyAlignment="1" applyProtection="1">
      <alignment horizontal="center"/>
      <protection locked="0"/>
    </xf>
    <xf numFmtId="0" fontId="48" fillId="0" borderId="42" xfId="0" applyFont="1" applyBorder="1" applyAlignment="1" applyProtection="1">
      <alignment horizontal="center"/>
      <protection locked="0"/>
    </xf>
    <xf numFmtId="0" fontId="48" fillId="0" borderId="43" xfId="0" applyFont="1" applyBorder="1" applyAlignment="1" applyProtection="1">
      <alignment horizontal="center"/>
      <protection locked="0"/>
    </xf>
    <xf numFmtId="0" fontId="3" fillId="0" borderId="24" xfId="0" applyFont="1" applyBorder="1" applyAlignment="1" applyProtection="1">
      <alignment horizontal="left"/>
      <protection locked="0"/>
    </xf>
    <xf numFmtId="0" fontId="34" fillId="0" borderId="24" xfId="0" applyFont="1" applyBorder="1" applyAlignment="1" applyProtection="1">
      <alignment horizontal="center"/>
      <protection locked="0"/>
    </xf>
    <xf numFmtId="0" fontId="3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48" fillId="0" borderId="0"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15" fillId="0" borderId="0" xfId="0" applyFont="1" applyBorder="1" applyAlignment="1" applyProtection="1">
      <alignment horizontal="center" vertical="top"/>
      <protection locked="0"/>
    </xf>
    <xf numFmtId="0" fontId="34"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textRotation="90"/>
      <protection locked="0"/>
    </xf>
    <xf numFmtId="0" fontId="11" fillId="0" borderId="36" xfId="0" applyFont="1" applyBorder="1" applyAlignment="1" applyProtection="1">
      <alignment horizontal="center" vertical="center" textRotation="90"/>
      <protection locked="0"/>
    </xf>
    <xf numFmtId="0" fontId="27" fillId="0" borderId="2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32" fillId="0" borderId="31" xfId="1" applyFon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right" vertical="center"/>
      <protection locked="0"/>
    </xf>
    <xf numFmtId="1" fontId="11" fillId="0" borderId="22" xfId="0" applyNumberFormat="1" applyFont="1" applyBorder="1" applyAlignment="1" applyProtection="1">
      <alignment horizontal="center" vertical="center"/>
      <protection hidden="1"/>
    </xf>
    <xf numFmtId="1" fontId="12" fillId="2" borderId="22" xfId="0" applyNumberFormat="1" applyFont="1" applyFill="1" applyBorder="1" applyAlignment="1" applyProtection="1">
      <alignment horizontal="center" vertical="center" wrapText="1"/>
      <protection hidden="1"/>
    </xf>
    <xf numFmtId="1" fontId="13" fillId="0" borderId="22" xfId="0" applyNumberFormat="1" applyFont="1" applyBorder="1" applyAlignment="1" applyProtection="1">
      <alignment horizontal="center" vertical="center"/>
      <protection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581025</xdr:colOff>
      <xdr:row>4</xdr:row>
      <xdr:rowOff>104775</xdr:rowOff>
    </xdr:from>
    <xdr:to>
      <xdr:col>48</xdr:col>
      <xdr:colOff>428625</xdr:colOff>
      <xdr:row>7</xdr:row>
      <xdr:rowOff>22098</xdr:rowOff>
    </xdr:to>
    <xdr:sp macro="" textlink="">
      <xdr:nvSpPr>
        <xdr:cNvPr id="2" name="Oval Callout 1"/>
        <xdr:cNvSpPr/>
      </xdr:nvSpPr>
      <xdr:spPr>
        <a:xfrm>
          <a:off x="11087100" y="942975"/>
          <a:ext cx="3505200"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43</xdr:col>
      <xdr:colOff>190500</xdr:colOff>
      <xdr:row>0</xdr:row>
      <xdr:rowOff>114300</xdr:rowOff>
    </xdr:from>
    <xdr:to>
      <xdr:col>47</xdr:col>
      <xdr:colOff>28575</xdr:colOff>
      <xdr:row>3</xdr:row>
      <xdr:rowOff>126873</xdr:rowOff>
    </xdr:to>
    <xdr:sp macro="" textlink="">
      <xdr:nvSpPr>
        <xdr:cNvPr id="3" name="Oval Callout 2"/>
        <xdr:cNvSpPr/>
      </xdr:nvSpPr>
      <xdr:spPr>
        <a:xfrm>
          <a:off x="11306175" y="114300"/>
          <a:ext cx="2276475"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S19" sqref="S19"/>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35" t="s">
        <v>32</v>
      </c>
      <c r="D1" s="135"/>
      <c r="E1" s="135"/>
      <c r="F1" s="135"/>
      <c r="G1" s="135"/>
      <c r="H1" s="135"/>
      <c r="I1" s="135"/>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36" t="s">
        <v>33</v>
      </c>
      <c r="B3" s="136"/>
      <c r="C3" s="137" t="s">
        <v>77</v>
      </c>
      <c r="D3" s="137"/>
      <c r="E3" s="137"/>
      <c r="F3" s="137"/>
      <c r="G3" s="137"/>
      <c r="H3" s="137"/>
      <c r="I3" s="137"/>
      <c r="J3" s="137"/>
      <c r="K3" s="137"/>
      <c r="L3" s="137"/>
      <c r="M3" s="137"/>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36" t="s">
        <v>41</v>
      </c>
      <c r="B4" s="136"/>
      <c r="C4" s="140" t="s">
        <v>78</v>
      </c>
      <c r="D4" s="141"/>
      <c r="E4" s="141"/>
      <c r="F4" s="141"/>
      <c r="G4" s="144" t="s">
        <v>42</v>
      </c>
      <c r="H4" s="144"/>
      <c r="I4" s="144"/>
      <c r="J4" s="145"/>
      <c r="K4" s="138" t="s">
        <v>62</v>
      </c>
      <c r="L4" s="138"/>
      <c r="M4" s="138"/>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36" t="s">
        <v>43</v>
      </c>
      <c r="B5" s="136"/>
      <c r="C5" s="142" t="s">
        <v>79</v>
      </c>
      <c r="D5" s="143"/>
      <c r="E5" s="143"/>
      <c r="F5" s="143"/>
      <c r="G5" s="146" t="s">
        <v>29</v>
      </c>
      <c r="H5" s="146"/>
      <c r="I5" s="146"/>
      <c r="J5" s="147"/>
      <c r="K5" s="139" t="s">
        <v>63</v>
      </c>
      <c r="L5" s="139"/>
      <c r="M5" s="139"/>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53" t="s">
        <v>34</v>
      </c>
      <c r="B7" s="154" t="s">
        <v>35</v>
      </c>
      <c r="C7" s="155" t="s">
        <v>36</v>
      </c>
      <c r="D7" s="157" t="s">
        <v>39</v>
      </c>
      <c r="E7" s="157" t="s">
        <v>54</v>
      </c>
      <c r="F7" s="160" t="s">
        <v>68</v>
      </c>
      <c r="G7" s="157" t="s">
        <v>55</v>
      </c>
      <c r="H7" s="155" t="s">
        <v>44</v>
      </c>
      <c r="I7" s="155"/>
      <c r="J7" s="155"/>
      <c r="K7" s="155"/>
      <c r="L7" s="155"/>
      <c r="M7" s="155"/>
      <c r="N7" s="155"/>
      <c r="O7" s="155"/>
      <c r="P7" s="155"/>
      <c r="Q7" s="155"/>
      <c r="R7" s="155"/>
      <c r="S7" s="159"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53"/>
      <c r="B8" s="154"/>
      <c r="C8" s="155"/>
      <c r="D8" s="158"/>
      <c r="E8" s="158"/>
      <c r="F8" s="161"/>
      <c r="G8" s="158"/>
      <c r="H8" s="38" t="s">
        <v>38</v>
      </c>
      <c r="I8" s="38" t="s">
        <v>37</v>
      </c>
      <c r="J8" s="38" t="s">
        <v>45</v>
      </c>
      <c r="K8" s="38" t="s">
        <v>46</v>
      </c>
      <c r="L8" s="38" t="s">
        <v>47</v>
      </c>
      <c r="M8" s="38" t="s">
        <v>48</v>
      </c>
      <c r="N8" s="38" t="s">
        <v>49</v>
      </c>
      <c r="O8" s="38" t="s">
        <v>50</v>
      </c>
      <c r="P8" s="38" t="s">
        <v>51</v>
      </c>
      <c r="Q8" s="38" t="s">
        <v>52</v>
      </c>
      <c r="R8" s="38" t="s">
        <v>53</v>
      </c>
      <c r="S8" s="159"/>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80</v>
      </c>
      <c r="C9" s="9" t="s">
        <v>83</v>
      </c>
      <c r="D9" s="36" t="s">
        <v>4</v>
      </c>
      <c r="E9" s="9" t="s">
        <v>1</v>
      </c>
      <c r="F9" s="52">
        <v>42917</v>
      </c>
      <c r="G9" s="8">
        <v>10</v>
      </c>
      <c r="H9" s="8">
        <v>17550</v>
      </c>
      <c r="I9" s="8">
        <v>46500</v>
      </c>
      <c r="J9" s="24"/>
      <c r="K9" s="24"/>
      <c r="L9" s="24"/>
      <c r="M9" s="24"/>
      <c r="N9" s="24"/>
      <c r="O9" s="24"/>
      <c r="P9" s="24"/>
      <c r="Q9" s="24"/>
      <c r="R9" s="24"/>
      <c r="S9" s="10"/>
      <c r="T9" s="23"/>
      <c r="U9" s="23"/>
      <c r="V9" s="23"/>
      <c r="W9" s="23"/>
      <c r="X9" s="23"/>
      <c r="Y9" s="156" t="s">
        <v>31</v>
      </c>
      <c r="Z9" s="156"/>
      <c r="AA9" s="156"/>
      <c r="AB9" s="23"/>
      <c r="AC9" s="23"/>
      <c r="AD9" s="23"/>
      <c r="AE9" s="23"/>
      <c r="AF9" s="23"/>
      <c r="AG9" s="23"/>
      <c r="AH9" s="26" t="b">
        <v>0</v>
      </c>
      <c r="AI9" s="27" t="b">
        <v>0</v>
      </c>
      <c r="AJ9" s="27" t="b">
        <v>0</v>
      </c>
      <c r="AK9" s="27" t="b">
        <v>0</v>
      </c>
      <c r="AL9" s="27" t="b">
        <v>0</v>
      </c>
      <c r="AM9" s="27" t="b">
        <v>0</v>
      </c>
      <c r="AN9" s="27" t="b">
        <v>1</v>
      </c>
      <c r="AO9" s="27" t="b">
        <v>0</v>
      </c>
      <c r="AP9" s="28" t="b">
        <v>0</v>
      </c>
      <c r="AQ9" s="23"/>
      <c r="AR9" s="23"/>
      <c r="AS9" s="23"/>
      <c r="AT9" s="23"/>
      <c r="AU9" s="23"/>
      <c r="AV9" s="23"/>
      <c r="AW9" s="23"/>
      <c r="AX9" s="23"/>
      <c r="AY9" s="23"/>
      <c r="AZ9" s="23"/>
    </row>
    <row r="10" spans="1:52" s="6" customFormat="1" ht="15.95" customHeight="1">
      <c r="A10" s="11">
        <v>2</v>
      </c>
      <c r="B10" s="12" t="s">
        <v>91</v>
      </c>
      <c r="C10" s="12" t="s">
        <v>83</v>
      </c>
      <c r="D10" s="37" t="s">
        <v>5</v>
      </c>
      <c r="E10" s="12" t="s">
        <v>1</v>
      </c>
      <c r="F10" s="77">
        <v>42370</v>
      </c>
      <c r="G10" s="11">
        <v>10</v>
      </c>
      <c r="H10" s="11">
        <v>13690</v>
      </c>
      <c r="I10" s="11">
        <v>35800</v>
      </c>
      <c r="J10" s="25"/>
      <c r="K10" s="25"/>
      <c r="L10" s="25"/>
      <c r="M10" s="25"/>
      <c r="N10" s="25"/>
      <c r="O10" s="25"/>
      <c r="P10" s="25"/>
      <c r="Q10" s="25"/>
      <c r="R10" s="25"/>
      <c r="S10" s="13"/>
      <c r="T10" s="23"/>
      <c r="U10" s="23"/>
      <c r="V10" s="23"/>
      <c r="W10" s="23"/>
      <c r="X10" s="23"/>
      <c r="Y10" s="156"/>
      <c r="Z10" s="156"/>
      <c r="AA10" s="156"/>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81</v>
      </c>
      <c r="C11" s="9" t="s">
        <v>85</v>
      </c>
      <c r="D11" s="36" t="s">
        <v>5</v>
      </c>
      <c r="E11" s="9" t="s">
        <v>3</v>
      </c>
      <c r="F11" s="52">
        <v>42370</v>
      </c>
      <c r="G11" s="8">
        <v>5</v>
      </c>
      <c r="H11" s="8">
        <v>13200</v>
      </c>
      <c r="I11" s="8">
        <v>23700</v>
      </c>
      <c r="J11" s="24"/>
      <c r="K11" s="24"/>
      <c r="L11" s="24"/>
      <c r="M11" s="24"/>
      <c r="N11" s="24"/>
      <c r="O11" s="24"/>
      <c r="P11" s="24"/>
      <c r="Q11" s="24"/>
      <c r="R11" s="24"/>
      <c r="S11" s="13"/>
      <c r="T11" s="23"/>
      <c r="U11" s="23"/>
      <c r="V11" s="23"/>
      <c r="W11" s="23"/>
      <c r="X11" s="23"/>
      <c r="Y11" s="156"/>
      <c r="Z11" s="156"/>
      <c r="AA11" s="156"/>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82</v>
      </c>
      <c r="C12" s="12" t="s">
        <v>83</v>
      </c>
      <c r="D12" s="36" t="s">
        <v>4</v>
      </c>
      <c r="E12" s="9" t="s">
        <v>1</v>
      </c>
      <c r="F12" s="52">
        <v>43002</v>
      </c>
      <c r="G12" s="8">
        <v>10</v>
      </c>
      <c r="H12" s="8">
        <v>21410</v>
      </c>
      <c r="I12" s="8">
        <v>56100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0</v>
      </c>
      <c r="AI12" s="30" t="b">
        <v>0</v>
      </c>
      <c r="AJ12" s="30" t="b">
        <v>0</v>
      </c>
      <c r="AK12" s="30" t="b">
        <v>0</v>
      </c>
      <c r="AL12" s="30" t="b">
        <v>0</v>
      </c>
      <c r="AM12" s="30" t="b">
        <v>0</v>
      </c>
      <c r="AN12" s="30" t="b">
        <v>0</v>
      </c>
      <c r="AO12" s="30" t="b">
        <v>0</v>
      </c>
      <c r="AP12" s="31" t="b">
        <v>1</v>
      </c>
      <c r="AQ12" s="23"/>
      <c r="AR12" s="23"/>
      <c r="AS12" s="23"/>
      <c r="AT12" s="23"/>
      <c r="AU12" s="23"/>
      <c r="AV12" s="23"/>
      <c r="AW12" s="23"/>
      <c r="AX12" s="23"/>
      <c r="AY12" s="23"/>
      <c r="AZ12" s="23"/>
    </row>
    <row r="13" spans="1:52" s="6" customFormat="1" ht="15.95" customHeight="1">
      <c r="A13" s="11">
        <v>5</v>
      </c>
      <c r="B13" s="9" t="s">
        <v>86</v>
      </c>
      <c r="C13" s="9" t="s">
        <v>87</v>
      </c>
      <c r="D13" s="36" t="s">
        <v>4</v>
      </c>
      <c r="E13" s="9" t="s">
        <v>1</v>
      </c>
      <c r="F13" s="52">
        <v>42807</v>
      </c>
      <c r="G13" s="8">
        <v>10</v>
      </c>
      <c r="H13" s="11">
        <v>16120</v>
      </c>
      <c r="I13" s="11">
        <v>42500</v>
      </c>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0</v>
      </c>
      <c r="AI13" s="30" t="b">
        <v>0</v>
      </c>
      <c r="AJ13" s="30" t="b">
        <v>1</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t="s">
        <v>95</v>
      </c>
      <c r="C14" s="12" t="s">
        <v>83</v>
      </c>
      <c r="D14" s="37" t="s">
        <v>4</v>
      </c>
      <c r="E14" s="12" t="s">
        <v>1</v>
      </c>
      <c r="F14" s="77">
        <v>42370</v>
      </c>
      <c r="G14" s="11">
        <v>10</v>
      </c>
      <c r="H14" s="11">
        <v>24970</v>
      </c>
      <c r="I14" s="11">
        <v>65200</v>
      </c>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1</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t="s">
        <v>96</v>
      </c>
      <c r="C15" s="12" t="s">
        <v>87</v>
      </c>
      <c r="D15" s="37" t="s">
        <v>5</v>
      </c>
      <c r="E15" s="12" t="s">
        <v>1</v>
      </c>
      <c r="F15" s="77">
        <v>42370</v>
      </c>
      <c r="G15" s="11">
        <v>10</v>
      </c>
      <c r="H15" s="11">
        <v>17900</v>
      </c>
      <c r="I15" s="11">
        <v>46500</v>
      </c>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1</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t="s">
        <v>88</v>
      </c>
      <c r="C16" s="12" t="s">
        <v>87</v>
      </c>
      <c r="D16" s="37" t="s">
        <v>4</v>
      </c>
      <c r="E16" s="12" t="s">
        <v>1</v>
      </c>
      <c r="F16" s="77">
        <v>42370</v>
      </c>
      <c r="G16" s="11">
        <v>10</v>
      </c>
      <c r="H16" s="11">
        <v>23570</v>
      </c>
      <c r="I16" s="11">
        <v>61300</v>
      </c>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1</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t="s">
        <v>89</v>
      </c>
      <c r="C17" s="12" t="s">
        <v>84</v>
      </c>
      <c r="D17" s="37" t="s">
        <v>4</v>
      </c>
      <c r="E17" s="12" t="s">
        <v>1</v>
      </c>
      <c r="F17" s="77">
        <v>42370</v>
      </c>
      <c r="G17" s="11">
        <v>10</v>
      </c>
      <c r="H17" s="11">
        <v>22930</v>
      </c>
      <c r="I17" s="11">
        <v>59500</v>
      </c>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1</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t="s">
        <v>94</v>
      </c>
      <c r="C18" s="12" t="s">
        <v>90</v>
      </c>
      <c r="D18" s="37" t="s">
        <v>4</v>
      </c>
      <c r="E18" s="12" t="s">
        <v>1</v>
      </c>
      <c r="F18" s="77">
        <v>42370</v>
      </c>
      <c r="G18" s="11">
        <v>10</v>
      </c>
      <c r="H18" s="11">
        <v>22580</v>
      </c>
      <c r="I18" s="11">
        <v>59700</v>
      </c>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1</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t="s">
        <v>92</v>
      </c>
      <c r="C19" s="12" t="s">
        <v>84</v>
      </c>
      <c r="D19" s="37" t="s">
        <v>5</v>
      </c>
      <c r="E19" s="12" t="s">
        <v>1</v>
      </c>
      <c r="F19" s="77">
        <v>42370</v>
      </c>
      <c r="G19" s="11">
        <v>10</v>
      </c>
      <c r="H19" s="11">
        <v>13690</v>
      </c>
      <c r="I19" s="11">
        <v>35800</v>
      </c>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1</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t="s">
        <v>93</v>
      </c>
      <c r="C20" s="12" t="s">
        <v>84</v>
      </c>
      <c r="D20" s="37" t="s">
        <v>5</v>
      </c>
      <c r="E20" s="12" t="s">
        <v>1</v>
      </c>
      <c r="F20" s="77">
        <v>42370</v>
      </c>
      <c r="G20" s="11">
        <v>5</v>
      </c>
      <c r="H20" s="11">
        <v>15320</v>
      </c>
      <c r="I20" s="11">
        <v>40100</v>
      </c>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1</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52" t="s">
        <v>67</v>
      </c>
      <c r="AA21" s="152"/>
      <c r="AB21" s="152"/>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148" t="s">
        <v>30</v>
      </c>
      <c r="AA23" s="148"/>
      <c r="AB23" s="148"/>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1"/>
      <c r="AA24" s="51" t="s">
        <v>64</v>
      </c>
      <c r="AB24" s="51"/>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49" t="s">
        <v>65</v>
      </c>
      <c r="AA25" s="149"/>
      <c r="AB25" s="149"/>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150" t="s">
        <v>66</v>
      </c>
      <c r="Z26" s="151"/>
      <c r="AA26" s="151"/>
      <c r="AB26" s="151"/>
      <c r="AC26" s="151"/>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Z23:AB23"/>
    <mergeCell ref="Z25:AB25"/>
    <mergeCell ref="Y26:AC26"/>
    <mergeCell ref="Z21:AB21"/>
    <mergeCell ref="A7:A8"/>
    <mergeCell ref="B7:B8"/>
    <mergeCell ref="C7:C8"/>
    <mergeCell ref="Y9:AA11"/>
    <mergeCell ref="D7:D8"/>
    <mergeCell ref="E7:E8"/>
    <mergeCell ref="G7:G8"/>
    <mergeCell ref="S7:S8"/>
    <mergeCell ref="H7:R7"/>
    <mergeCell ref="F7:F8"/>
    <mergeCell ref="C1:I1"/>
    <mergeCell ref="A3:B3"/>
    <mergeCell ref="A4:B4"/>
    <mergeCell ref="A5:B5"/>
    <mergeCell ref="C3:M3"/>
    <mergeCell ref="K4:M4"/>
    <mergeCell ref="K5:M5"/>
    <mergeCell ref="C4:F4"/>
    <mergeCell ref="C5:F5"/>
    <mergeCell ref="G4:J4"/>
    <mergeCell ref="G5:J5"/>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Q30"/>
  <sheetViews>
    <sheetView workbookViewId="0">
      <selection activeCell="V16" sqref="V16"/>
    </sheetView>
  </sheetViews>
  <sheetFormatPr defaultRowHeight="15"/>
  <cols>
    <col min="1" max="1" width="4.85546875" style="1" customWidth="1"/>
    <col min="2" max="2" width="10.42578125" style="1" customWidth="1"/>
    <col min="3" max="4" width="8.140625" style="1" customWidth="1"/>
    <col min="5" max="5" width="8.28515625" style="1" customWidth="1"/>
    <col min="6" max="6" width="7.85546875" style="1" customWidth="1"/>
    <col min="7" max="8" width="8.140625" style="1" customWidth="1"/>
    <col min="9" max="9" width="7.85546875" style="1" customWidth="1"/>
    <col min="10" max="10" width="8.140625" style="1" customWidth="1"/>
    <col min="11" max="11" width="8" style="1" customWidth="1"/>
    <col min="12" max="12" width="8.5703125" style="1" customWidth="1"/>
    <col min="13" max="15" width="8" style="1" customWidth="1"/>
    <col min="16" max="17" width="7.42578125" style="1" customWidth="1"/>
    <col min="18" max="18" width="8.42578125" style="1" customWidth="1"/>
    <col min="19" max="19" width="9.7109375" style="1" customWidth="1"/>
    <col min="20" max="20" width="11.140625" style="1" customWidth="1"/>
    <col min="21" max="21" width="9.140625" style="1"/>
    <col min="22" max="22" width="9.28515625" style="1" customWidth="1"/>
    <col min="23" max="25" width="9.140625" style="1" hidden="1" customWidth="1"/>
    <col min="26" max="26" width="27.140625" style="1" hidden="1" customWidth="1"/>
    <col min="27" max="43" width="9.140625" style="1" hidden="1" customWidth="1"/>
    <col min="44" max="50" width="9.140625" style="1" customWidth="1"/>
    <col min="51" max="16384" width="9.140625" style="1"/>
  </cols>
  <sheetData>
    <row r="1" spans="1:42" ht="9.75" customHeight="1" thickBot="1">
      <c r="Z1" s="1" t="s">
        <v>73</v>
      </c>
      <c r="AC1" s="5"/>
    </row>
    <row r="2" spans="1:42" ht="18.75">
      <c r="A2" s="60"/>
      <c r="B2" s="206" t="s">
        <v>56</v>
      </c>
      <c r="C2" s="206"/>
      <c r="D2" s="206"/>
      <c r="E2" s="206"/>
      <c r="F2" s="206"/>
      <c r="G2" s="206"/>
      <c r="H2" s="206"/>
      <c r="I2" s="206"/>
      <c r="J2" s="206"/>
      <c r="K2" s="206"/>
      <c r="L2" s="206"/>
      <c r="M2" s="206"/>
      <c r="N2" s="206"/>
      <c r="O2" s="206"/>
      <c r="P2" s="206"/>
      <c r="Q2" s="206"/>
      <c r="R2" s="206"/>
      <c r="S2" s="206"/>
      <c r="T2" s="61"/>
      <c r="U2" s="48"/>
      <c r="V2" s="48"/>
      <c r="W2" s="48"/>
      <c r="X2" s="48"/>
      <c r="Z2" s="1" t="s">
        <v>72</v>
      </c>
      <c r="AC2" s="5"/>
      <c r="AF2" s="1" t="s">
        <v>3</v>
      </c>
      <c r="AG2" s="1" t="b">
        <v>0</v>
      </c>
    </row>
    <row r="3" spans="1:42" ht="18.75">
      <c r="A3" s="62"/>
      <c r="B3" s="207" t="str">
        <f>CONCATENATE("OFFICE OF THE PRINCIPAL , ",Master!C3)</f>
        <v>OFFICE OF THE PRINCIPAL , Government Senior Secondry School Inderwara (RANI), Pali</v>
      </c>
      <c r="C3" s="207"/>
      <c r="D3" s="207"/>
      <c r="E3" s="207"/>
      <c r="F3" s="207"/>
      <c r="G3" s="207"/>
      <c r="H3" s="207"/>
      <c r="I3" s="207"/>
      <c r="J3" s="207"/>
      <c r="K3" s="207"/>
      <c r="L3" s="207"/>
      <c r="M3" s="207"/>
      <c r="N3" s="207"/>
      <c r="O3" s="207"/>
      <c r="P3" s="207"/>
      <c r="Q3" s="207"/>
      <c r="R3" s="207"/>
      <c r="S3" s="207"/>
      <c r="T3" s="63"/>
      <c r="U3" s="48"/>
      <c r="V3" s="48"/>
      <c r="W3" s="48"/>
      <c r="X3" s="48"/>
      <c r="Z3" s="1" t="s">
        <v>74</v>
      </c>
      <c r="AC3" s="5"/>
      <c r="AG3" s="1" t="b">
        <v>1</v>
      </c>
    </row>
    <row r="4" spans="1:42" ht="18.75">
      <c r="A4" s="62"/>
      <c r="B4" s="64"/>
      <c r="C4" s="191" t="s">
        <v>57</v>
      </c>
      <c r="D4" s="191"/>
      <c r="E4" s="191"/>
      <c r="F4" s="191"/>
      <c r="G4" s="208" t="str">
        <f>IF(ISNA(VLOOKUP($S$4,Master!A$9:AO$78,2,FALSE)),"",VLOOKUP($S$4,Master!A$9:AO$78,2,FALSE))</f>
        <v>mahendra patel</v>
      </c>
      <c r="H4" s="208"/>
      <c r="I4" s="208"/>
      <c r="J4" s="208"/>
      <c r="K4" s="191" t="s">
        <v>36</v>
      </c>
      <c r="L4" s="191"/>
      <c r="M4" s="208" t="str">
        <f>IF(ISNA(VLOOKUP($S$4,Master!A$9:AO$78,3,FALSE)),"",VLOOKUP($S$4,Master!A$9:AO$78,3,FALSE))</f>
        <v>Sr. Teacher</v>
      </c>
      <c r="N4" s="208"/>
      <c r="O4" s="208"/>
      <c r="P4" s="208"/>
      <c r="Q4" s="209" t="s">
        <v>76</v>
      </c>
      <c r="R4" s="209"/>
      <c r="S4" s="81">
        <v>2</v>
      </c>
      <c r="T4" s="63"/>
      <c r="U4" s="190"/>
      <c r="V4" s="190"/>
      <c r="W4" s="50"/>
      <c r="X4" s="50"/>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2" ht="15.75">
      <c r="A5" s="62"/>
      <c r="B5" s="191" t="s">
        <v>58</v>
      </c>
      <c r="C5" s="191"/>
      <c r="D5" s="191"/>
      <c r="E5" s="191"/>
      <c r="F5" s="191"/>
      <c r="G5" s="191"/>
      <c r="H5" s="191"/>
      <c r="I5" s="191"/>
      <c r="J5" s="191"/>
      <c r="K5" s="191"/>
      <c r="L5" s="191"/>
      <c r="M5" s="191"/>
      <c r="N5" s="191"/>
      <c r="O5" s="191"/>
      <c r="P5" s="191"/>
      <c r="Q5" s="191"/>
      <c r="R5" s="191"/>
      <c r="S5" s="191"/>
      <c r="T5" s="63"/>
      <c r="U5" s="49"/>
      <c r="V5" s="49"/>
      <c r="W5" s="49"/>
      <c r="X5" s="49"/>
      <c r="AC5" s="5"/>
    </row>
    <row r="6" spans="1:42" ht="18.75">
      <c r="A6" s="62"/>
      <c r="B6" s="65"/>
      <c r="C6" s="192"/>
      <c r="D6" s="192"/>
      <c r="E6" s="192"/>
      <c r="F6" s="192"/>
      <c r="G6" s="192"/>
      <c r="H6" s="192"/>
      <c r="I6" s="192"/>
      <c r="J6" s="192"/>
      <c r="K6" s="192"/>
      <c r="L6" s="192"/>
      <c r="M6" s="192"/>
      <c r="N6" s="192"/>
      <c r="O6" s="192"/>
      <c r="P6" s="192"/>
      <c r="Q6" s="192"/>
      <c r="R6" s="192"/>
      <c r="S6" s="65"/>
      <c r="T6" s="66"/>
      <c r="Z6" s="1" t="s">
        <v>1</v>
      </c>
      <c r="AA6" s="1" t="s">
        <v>4</v>
      </c>
      <c r="AB6" s="1" t="s">
        <v>0</v>
      </c>
      <c r="AC6" s="5"/>
    </row>
    <row r="7" spans="1:42" ht="20.25">
      <c r="A7" s="67"/>
      <c r="B7" s="68"/>
      <c r="C7" s="68"/>
      <c r="D7" s="68"/>
      <c r="E7" s="68"/>
      <c r="F7" s="199" t="s">
        <v>74</v>
      </c>
      <c r="G7" s="199"/>
      <c r="H7" s="199"/>
      <c r="I7" s="199"/>
      <c r="J7" s="199"/>
      <c r="K7" s="199"/>
      <c r="L7" s="199"/>
      <c r="M7" s="199"/>
      <c r="N7" s="199"/>
      <c r="O7" s="199"/>
      <c r="P7" s="68"/>
      <c r="Q7" s="68"/>
      <c r="R7" s="68"/>
      <c r="S7" s="4"/>
      <c r="T7" s="66"/>
      <c r="Z7" s="1" t="s">
        <v>3</v>
      </c>
      <c r="AA7" s="1" t="s">
        <v>5</v>
      </c>
      <c r="AB7" s="1" t="s">
        <v>2</v>
      </c>
      <c r="AC7" s="5"/>
      <c r="AE7" s="53">
        <f>IF(ISNA(VLOOKUP($S$4,Master!A$9:AO$78,6,FALSE)),"",VLOOKUP($S$4,Master!A$9:AO$78,6,FALSE))</f>
        <v>42370</v>
      </c>
    </row>
    <row r="8" spans="1:42" ht="27.75" customHeight="1">
      <c r="A8" s="202" t="s">
        <v>6</v>
      </c>
      <c r="B8" s="203" t="s">
        <v>7</v>
      </c>
      <c r="C8" s="204" t="s">
        <v>8</v>
      </c>
      <c r="D8" s="204"/>
      <c r="E8" s="204"/>
      <c r="F8" s="204"/>
      <c r="G8" s="204" t="s">
        <v>9</v>
      </c>
      <c r="H8" s="204"/>
      <c r="I8" s="204"/>
      <c r="J8" s="204"/>
      <c r="K8" s="205" t="s">
        <v>10</v>
      </c>
      <c r="L8" s="205"/>
      <c r="M8" s="205"/>
      <c r="N8" s="200" t="str">
        <f>IF(AND($S$4=""),"",IF(AND(G4=""),"",IF(AND(F7=""),"",IF(AND(F7="First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193" t="s">
        <v>69</v>
      </c>
      <c r="P8" s="194"/>
      <c r="Q8" s="195"/>
      <c r="R8" s="196" t="s">
        <v>13</v>
      </c>
      <c r="S8" s="197" t="s">
        <v>14</v>
      </c>
      <c r="T8" s="198" t="s">
        <v>15</v>
      </c>
      <c r="AC8" s="5"/>
      <c r="AE8" s="53">
        <v>42736</v>
      </c>
    </row>
    <row r="9" spans="1:42" ht="33.75" customHeight="1">
      <c r="A9" s="202"/>
      <c r="B9" s="203"/>
      <c r="C9" s="80" t="s">
        <v>16</v>
      </c>
      <c r="D9" s="86" t="s">
        <v>97</v>
      </c>
      <c r="E9" s="80" t="s">
        <v>17</v>
      </c>
      <c r="F9" s="80" t="s">
        <v>18</v>
      </c>
      <c r="G9" s="80" t="s">
        <v>16</v>
      </c>
      <c r="H9" s="86" t="s">
        <v>97</v>
      </c>
      <c r="I9" s="80" t="s">
        <v>17</v>
      </c>
      <c r="J9" s="80" t="s">
        <v>18</v>
      </c>
      <c r="K9" s="80" t="s">
        <v>16</v>
      </c>
      <c r="L9" s="80" t="s">
        <v>17</v>
      </c>
      <c r="M9" s="80" t="s">
        <v>18</v>
      </c>
      <c r="N9" s="201"/>
      <c r="O9" s="58" t="str">
        <f>IF(AND($AB$4=$AA$6),"CREDIT IN GPF",IF(AND($AB$4=$AA$7),"NPS Ded. ",""))</f>
        <v xml:space="preserve">NPS Ded. </v>
      </c>
      <c r="P9" s="57" t="s">
        <v>11</v>
      </c>
      <c r="Q9" s="58" t="s">
        <v>12</v>
      </c>
      <c r="R9" s="196"/>
      <c r="S9" s="197"/>
      <c r="T9" s="198"/>
      <c r="AC9" s="5"/>
    </row>
    <row r="10" spans="1:42" ht="18" customHeight="1">
      <c r="A10" s="69">
        <v>1</v>
      </c>
      <c r="B10" s="42" t="s">
        <v>19</v>
      </c>
      <c r="C10" s="82">
        <f>IF(AND($S$4=""),"",IF(AND(AF13=""),"",IF(AND(AJ$13&gt;0,AK$13=1),AF13/31*AL$13,AF13)))</f>
        <v>35800</v>
      </c>
      <c r="D10" s="82">
        <f>IF(AND($S$4=""),"",IF(AND(C10=""),"",(C10*40%)))</f>
        <v>14320</v>
      </c>
      <c r="E10" s="83">
        <f>IF(AND($S$4=""),"",IF(AND(C10=""),"",IF(AND($AC$4=$Z$7),"",ROUND((D10*4%),0))))</f>
        <v>573</v>
      </c>
      <c r="F10" s="83">
        <f>IF(AND($S$4=""),"",IF(AND(C10=""),"",SUM(C10:E10)))</f>
        <v>50693</v>
      </c>
      <c r="G10" s="82">
        <f>IF(AND($S$4=""),"",IF(AND(AH13=""),"",IF(AND(AJ$13&gt;0,AK$13=1),AH13/31*AL$13,AH13)))</f>
        <v>13690</v>
      </c>
      <c r="H10" s="82">
        <f>IF(AND($S$4=""),"",IF(AND(G10=""),"",(G10*40%)))</f>
        <v>5476</v>
      </c>
      <c r="I10" s="83">
        <f>IF(AND($S$4=""),"",IF(AND(C10=""),"",IF(AND($AC$4=$Z$7),"",ROUND((H10*136%),0))))</f>
        <v>7447</v>
      </c>
      <c r="J10" s="83">
        <f>IF(AND($S$4=""),"",IF(AND(G10=""),"",SUM(G10:I10)))</f>
        <v>26613</v>
      </c>
      <c r="K10" s="82">
        <f>IF(AND(D10=""),"",IF(AND(H10=""),"",D10-H10))</f>
        <v>8844</v>
      </c>
      <c r="L10" s="82">
        <f>IF(AND(E10=""),"",IF(AND(I10=""),"",E10-I10))</f>
        <v>-6874</v>
      </c>
      <c r="M10" s="82">
        <f>IF(AND($S$4=""),"",IF(AND(K10=""),"",SUM(K10:L10)))</f>
        <v>1970</v>
      </c>
      <c r="N10" s="82">
        <f>M10</f>
        <v>1970</v>
      </c>
      <c r="O10" s="133">
        <f>IF(AND(C10=""),"",IF(AND(M10=""),"",IF(AND($AB$4=$AA$6),N10-ROUND(((N10)*10%),0),ROUND(((N10)*10%),0))))</f>
        <v>197</v>
      </c>
      <c r="P10" s="133">
        <f>IF(AND(C10=""),"",IF(AND(C10=0),"",IF(AND(M10=""),"",IF(AND($AB$4=$AA$6),ROUND(((N10)*10%),0),ROUND(((N10-O10)*$AD$4%),0)))))</f>
        <v>177</v>
      </c>
      <c r="Q10" s="83">
        <f>IF(AND(M10=""),"",IF(AND(O10=""),"",IF(AND(P10=""),"",SUM(O10+P10))))</f>
        <v>374</v>
      </c>
      <c r="R10" s="256">
        <f>IF(AND(M10=""),"",IF(AND(C10=0),"",IF(AND(Q10=""),N10,N10-Q10)))</f>
        <v>1596</v>
      </c>
      <c r="S10" s="131"/>
      <c r="T10" s="132"/>
      <c r="X10" s="1" t="str">
        <f>IF(AND($AB$4=$AA$6),"CREDIT IN GPF",IF(AND($AB$4=$AA$7),"NPS Ded.",""))</f>
        <v>NPS Ded.</v>
      </c>
      <c r="AC10" s="5"/>
      <c r="AN10" s="1">
        <f>IF(AND(C10=""),"",IF(AND(C10=0),"",IF(AND(M10=""),"",ROUND(((N10-O10)*$AD$4%),0))))</f>
        <v>177</v>
      </c>
    </row>
    <row r="11" spans="1:42" ht="18" customHeight="1">
      <c r="A11" s="69">
        <v>2</v>
      </c>
      <c r="B11" s="42" t="s">
        <v>20</v>
      </c>
      <c r="C11" s="82">
        <f>IF(AND($S$4=""),"",IF(AND(AF14=""),"",IF(AND(AJ$13&gt;0,AK$13=2),AF14/28*AL$13,AF14)))</f>
        <v>35800</v>
      </c>
      <c r="D11" s="82">
        <f t="shared" ref="D11:D18" si="0">IF(AND($S$4=""),"",IF(AND(C11=""),"",(C11*40%)))</f>
        <v>14320</v>
      </c>
      <c r="E11" s="83">
        <f t="shared" ref="E11:E15" si="1">IF(AND($S$4=""),"",IF(AND(C11=""),"",IF(AND($AC$4=$Z$7),"",ROUND((D11*4%),0))))</f>
        <v>573</v>
      </c>
      <c r="F11" s="83">
        <f t="shared" ref="F11:F18" si="2">IF(AND($S$4=""),"",IF(AND(C11=""),"",SUM(C11:E11)))</f>
        <v>50693</v>
      </c>
      <c r="G11" s="82">
        <f>IF(AND($S$4=""),"",IF(AND(AH14=""),"",IF(AND(AJ$13&gt;0,AK$13=2),AH14/28*AL$13,AH14)))</f>
        <v>13690</v>
      </c>
      <c r="H11" s="82">
        <f t="shared" ref="H11:H18" si="3">IF(AND($S$4=""),"",IF(AND(G11=""),"",(G11*40%)))</f>
        <v>5476</v>
      </c>
      <c r="I11" s="83">
        <f t="shared" ref="I11:I15" si="4">IF(AND($S$4=""),"",IF(AND(C11=""),"",IF(AND($AC$4=$Z$7),"",ROUND((H11*136%),0))))</f>
        <v>7447</v>
      </c>
      <c r="J11" s="83">
        <f t="shared" ref="J11:J18" si="5">IF(AND($S$4=""),"",IF(AND(G11=""),"",SUM(G11:I11)))</f>
        <v>26613</v>
      </c>
      <c r="K11" s="82">
        <f t="shared" ref="K11:K18" si="6">IF(AND(D11=""),"",IF(AND(H11=""),"",D11-H11))</f>
        <v>8844</v>
      </c>
      <c r="L11" s="82">
        <f t="shared" ref="L11:L18" si="7">IF(AND(E11=""),"",IF(AND(I11=""),"",E11-I11))</f>
        <v>-6874</v>
      </c>
      <c r="M11" s="82">
        <f t="shared" ref="M11:M18" si="8">IF(AND($S$4=""),"",IF(AND(K11=""),"",SUM(K11:L11)))</f>
        <v>1970</v>
      </c>
      <c r="N11" s="82">
        <f t="shared" ref="N11:N18" si="9">M11</f>
        <v>1970</v>
      </c>
      <c r="O11" s="133">
        <f t="shared" ref="O11:O18" si="10">IF(AND(C11=""),"",IF(AND(M11=""),"",IF(AND($AB$4=$AA$6),N11-ROUND(((N11)*10%),0),ROUND(((N11)*10%),0))))</f>
        <v>197</v>
      </c>
      <c r="P11" s="133">
        <f t="shared" ref="P11:P18" si="11">IF(AND(C11=""),"",IF(AND(C11=0),"",IF(AND(M11=""),"",IF(AND($AB$4=$AA$6),ROUND(((N11)*10%),0),ROUND(((N11-O11)*$AD$4%),0)))))</f>
        <v>177</v>
      </c>
      <c r="Q11" s="83">
        <f t="shared" ref="Q11:Q18" si="12">IF(AND(M11=""),"",IF(AND(O11=""),"",IF(AND(P11=""),"",SUM(O11+P11))))</f>
        <v>374</v>
      </c>
      <c r="R11" s="256">
        <f t="shared" ref="R11:R18" si="13">IF(AND(M11=""),"",IF(AND(C11=0),"",IF(AND(Q11=""),N11,N11-Q11)))</f>
        <v>1596</v>
      </c>
      <c r="S11" s="131"/>
      <c r="T11" s="132"/>
      <c r="Y11" s="1">
        <v>30</v>
      </c>
      <c r="AC11" s="5"/>
    </row>
    <row r="12" spans="1:42" ht="18" customHeight="1">
      <c r="A12" s="69">
        <v>3</v>
      </c>
      <c r="B12" s="42" t="s">
        <v>21</v>
      </c>
      <c r="C12" s="82">
        <f>IF(AND($S$4=""),"",IF(AND(AF15=""),"",IF(AND(AJ$13&gt;0,AK$13=3),AF15/31*AL$13,AF15)))</f>
        <v>35800</v>
      </c>
      <c r="D12" s="82">
        <f t="shared" si="0"/>
        <v>14320</v>
      </c>
      <c r="E12" s="83">
        <f t="shared" si="1"/>
        <v>573</v>
      </c>
      <c r="F12" s="83">
        <f t="shared" si="2"/>
        <v>50693</v>
      </c>
      <c r="G12" s="82">
        <f>IF(AND($S$4=""),"",IF(AND(AH15=""),"",IF(AND(AJ$13&gt;0,AK$13=3),AH15/31*AL$13,AH15)))</f>
        <v>13690</v>
      </c>
      <c r="H12" s="82">
        <f t="shared" si="3"/>
        <v>5476</v>
      </c>
      <c r="I12" s="83">
        <f t="shared" si="4"/>
        <v>7447</v>
      </c>
      <c r="J12" s="83">
        <f t="shared" si="5"/>
        <v>26613</v>
      </c>
      <c r="K12" s="82">
        <f t="shared" si="6"/>
        <v>8844</v>
      </c>
      <c r="L12" s="82">
        <f t="shared" si="7"/>
        <v>-6874</v>
      </c>
      <c r="M12" s="82">
        <f t="shared" si="8"/>
        <v>1970</v>
      </c>
      <c r="N12" s="82">
        <f t="shared" si="9"/>
        <v>1970</v>
      </c>
      <c r="O12" s="133">
        <f t="shared" si="10"/>
        <v>197</v>
      </c>
      <c r="P12" s="133">
        <f t="shared" si="11"/>
        <v>177</v>
      </c>
      <c r="Q12" s="83">
        <f t="shared" si="12"/>
        <v>374</v>
      </c>
      <c r="R12" s="256">
        <f t="shared" si="13"/>
        <v>1596</v>
      </c>
      <c r="S12" s="131"/>
      <c r="T12" s="132"/>
      <c r="Y12" s="1">
        <v>40</v>
      </c>
      <c r="AA12" s="2"/>
      <c r="AC12" s="5"/>
    </row>
    <row r="13" spans="1:42" ht="18" customHeight="1">
      <c r="A13" s="69">
        <v>4</v>
      </c>
      <c r="B13" s="42" t="s">
        <v>22</v>
      </c>
      <c r="C13" s="82">
        <f>IF(AND($S$4=""),"",IF(AND(AF16=""),"",IF(AND(AJ$13&gt;0,AK$13=4),AF16/30*AL$13,AF16)))</f>
        <v>35800</v>
      </c>
      <c r="D13" s="82">
        <f t="shared" si="0"/>
        <v>14320</v>
      </c>
      <c r="E13" s="83">
        <f t="shared" si="1"/>
        <v>573</v>
      </c>
      <c r="F13" s="83">
        <f t="shared" si="2"/>
        <v>50693</v>
      </c>
      <c r="G13" s="82">
        <f>IF(AND($S$4=""),"",IF(AND(AH16=""),"",IF(AND(AJ$13&gt;0,AK$13=4),AH16/30*AL$13,AH16)))</f>
        <v>13690</v>
      </c>
      <c r="H13" s="82">
        <f t="shared" si="3"/>
        <v>5476</v>
      </c>
      <c r="I13" s="83">
        <f t="shared" si="4"/>
        <v>7447</v>
      </c>
      <c r="J13" s="83">
        <f t="shared" si="5"/>
        <v>26613</v>
      </c>
      <c r="K13" s="82">
        <f t="shared" si="6"/>
        <v>8844</v>
      </c>
      <c r="L13" s="82">
        <f t="shared" si="7"/>
        <v>-6874</v>
      </c>
      <c r="M13" s="82">
        <f t="shared" si="8"/>
        <v>1970</v>
      </c>
      <c r="N13" s="82">
        <f t="shared" si="9"/>
        <v>1970</v>
      </c>
      <c r="O13" s="133">
        <f t="shared" si="10"/>
        <v>197</v>
      </c>
      <c r="P13" s="133">
        <f t="shared" si="11"/>
        <v>177</v>
      </c>
      <c r="Q13" s="83">
        <f t="shared" si="12"/>
        <v>374</v>
      </c>
      <c r="R13" s="256">
        <f t="shared" si="13"/>
        <v>1596</v>
      </c>
      <c r="S13" s="131"/>
      <c r="T13" s="132"/>
      <c r="AD13" s="1">
        <v>1</v>
      </c>
      <c r="AE13" s="2">
        <f>IF(ISNA(VLOOKUP($S$4,Master!A$9:AO$78,9,FALSE)),"",VLOOKUP($S$4,Master!A$9:AO$78,9,FALSE))</f>
        <v>35800</v>
      </c>
      <c r="AF13" s="3">
        <f>IF(AND($AG$4=$AG$2),"",IF(AND($AG$4=$AG$3),AE13,""))</f>
        <v>35800</v>
      </c>
      <c r="AG13" s="1">
        <f>IF(ISNA(VLOOKUP($S$4,Master!A$9:AO$78,8,FALSE)),"",VLOOKUP($S$4,Master!A$9:AO$78,8,FALSE))</f>
        <v>13690</v>
      </c>
      <c r="AH13" s="3">
        <f>IF(AND($AG$4=$AG$2),"",IF(AND($AG$4=$AG$3),AG13,""))</f>
        <v>13690</v>
      </c>
      <c r="AI13" s="53">
        <f>IF(ISNA(VLOOKUP($S$4,Master!A$9:AO$78,6,FALSE)),"",VLOOKUP($S$4,Master!A$9:AO$78,6,FALSE))</f>
        <v>42370</v>
      </c>
      <c r="AJ13" s="1">
        <f>DAY(AI13)</f>
        <v>1</v>
      </c>
      <c r="AK13" s="1">
        <f>MONTH(AI13)</f>
        <v>1</v>
      </c>
      <c r="AL13" s="1">
        <f>IF(AND(AK13=1),31-AJ13,IF(AND(AK13=2),28-AJ13,IF(AND(AK13=3),31-AJ13,IF(AND(AK13=4),30-AJ13,IF(AND(AK13=5),31-AJ13,IF(AND(AK13=6),30-AJ13,IF(AND(AK13=7),31-AJ13,IF(AND(AK13=8),31-AJ13,IF(AND(AK13=9),30-AJ13,"")))))))))+1</f>
        <v>31</v>
      </c>
    </row>
    <row r="14" spans="1:42" ht="18" customHeight="1">
      <c r="A14" s="69">
        <v>5</v>
      </c>
      <c r="B14" s="42" t="s">
        <v>23</v>
      </c>
      <c r="C14" s="82">
        <f>IF(AND($S$4=""),"",IF(AND(AF17=""),"",IF(AND(AJ$13&gt;0,AK$13=5),AF17/31*AL$13,AF17)))</f>
        <v>35800</v>
      </c>
      <c r="D14" s="82">
        <f t="shared" si="0"/>
        <v>14320</v>
      </c>
      <c r="E14" s="83">
        <f t="shared" si="1"/>
        <v>573</v>
      </c>
      <c r="F14" s="83">
        <f t="shared" si="2"/>
        <v>50693</v>
      </c>
      <c r="G14" s="82">
        <f>IF(AND($S$4=""),"",IF(AND(AH17=""),"",IF(AND(AJ$13&gt;0,AK$13=5),AH17/31*AL$13,AH17)))</f>
        <v>13690</v>
      </c>
      <c r="H14" s="82">
        <f t="shared" si="3"/>
        <v>5476</v>
      </c>
      <c r="I14" s="83">
        <f t="shared" si="4"/>
        <v>7447</v>
      </c>
      <c r="J14" s="83">
        <f t="shared" si="5"/>
        <v>26613</v>
      </c>
      <c r="K14" s="82">
        <f t="shared" si="6"/>
        <v>8844</v>
      </c>
      <c r="L14" s="82">
        <f t="shared" si="7"/>
        <v>-6874</v>
      </c>
      <c r="M14" s="82">
        <f t="shared" si="8"/>
        <v>1970</v>
      </c>
      <c r="N14" s="82">
        <f t="shared" si="9"/>
        <v>1970</v>
      </c>
      <c r="O14" s="133">
        <f t="shared" si="10"/>
        <v>197</v>
      </c>
      <c r="P14" s="133">
        <f t="shared" si="11"/>
        <v>177</v>
      </c>
      <c r="Q14" s="83">
        <f t="shared" si="12"/>
        <v>374</v>
      </c>
      <c r="R14" s="256">
        <f t="shared" si="13"/>
        <v>1596</v>
      </c>
      <c r="S14" s="131"/>
      <c r="T14" s="132"/>
      <c r="AA14" s="2"/>
      <c r="AD14" s="1">
        <v>2</v>
      </c>
      <c r="AF14" s="3">
        <f>IF(AND($AH$4=$AG$3),AE13,AF13)</f>
        <v>35800</v>
      </c>
      <c r="AH14" s="3">
        <f>IF(AND($AH$4=$AG$3),AG13,AH13)</f>
        <v>13690</v>
      </c>
    </row>
    <row r="15" spans="1:42" ht="18" customHeight="1">
      <c r="A15" s="69">
        <v>6</v>
      </c>
      <c r="B15" s="42" t="s">
        <v>24</v>
      </c>
      <c r="C15" s="82">
        <f>IF(AND($S$4=""),"",IF(AND(AF18=""),"",IF(AND(AJ$13&gt;0,AK$13=6),AF18/30*AL$13,AF18)))</f>
        <v>35800</v>
      </c>
      <c r="D15" s="82">
        <f t="shared" si="0"/>
        <v>14320</v>
      </c>
      <c r="E15" s="83">
        <f t="shared" si="1"/>
        <v>573</v>
      </c>
      <c r="F15" s="83">
        <f t="shared" si="2"/>
        <v>50693</v>
      </c>
      <c r="G15" s="82">
        <f>IF(AND($S$4=""),"",IF(AND(AH18=""),"",IF(AND(AJ$13&gt;0,AK$13=6),AH18/30*AL$13,AH18)))</f>
        <v>13690</v>
      </c>
      <c r="H15" s="82">
        <f t="shared" si="3"/>
        <v>5476</v>
      </c>
      <c r="I15" s="83">
        <f t="shared" si="4"/>
        <v>7447</v>
      </c>
      <c r="J15" s="83">
        <f t="shared" si="5"/>
        <v>26613</v>
      </c>
      <c r="K15" s="82">
        <f t="shared" si="6"/>
        <v>8844</v>
      </c>
      <c r="L15" s="82">
        <f t="shared" si="7"/>
        <v>-6874</v>
      </c>
      <c r="M15" s="82">
        <f t="shared" si="8"/>
        <v>1970</v>
      </c>
      <c r="N15" s="82">
        <f t="shared" si="9"/>
        <v>1970</v>
      </c>
      <c r="O15" s="133">
        <f t="shared" si="10"/>
        <v>197</v>
      </c>
      <c r="P15" s="133">
        <f t="shared" si="11"/>
        <v>177</v>
      </c>
      <c r="Q15" s="83">
        <f t="shared" si="12"/>
        <v>374</v>
      </c>
      <c r="R15" s="256">
        <f t="shared" si="13"/>
        <v>1596</v>
      </c>
      <c r="S15" s="131"/>
      <c r="T15" s="132"/>
      <c r="Y15" s="55">
        <f>IF(AND($S$4=""),"",IF(AND($AB$4=$AA$6),SUM(N10:N20),SUM(N10:N20)))</f>
        <v>17847</v>
      </c>
      <c r="AD15" s="1">
        <v>3</v>
      </c>
      <c r="AF15" s="3">
        <f>IF(AND($AI$4=$AG$3),AE13,AF14)</f>
        <v>35800</v>
      </c>
      <c r="AH15" s="3">
        <f>IF(AND($AI$4=$AG$3),AG13,AH14)</f>
        <v>13690</v>
      </c>
    </row>
    <row r="16" spans="1:42" ht="18" customHeight="1">
      <c r="A16" s="69">
        <v>7</v>
      </c>
      <c r="B16" s="42" t="s">
        <v>25</v>
      </c>
      <c r="C16" s="82">
        <f>IF(AND($S$4=""),"",IF(AND(AF19=""),"",IF(AND(AJ$13&gt;0,AK$13=7),AF19/31*AL$13,AF19)))</f>
        <v>36900</v>
      </c>
      <c r="D16" s="82">
        <f t="shared" si="0"/>
        <v>14760</v>
      </c>
      <c r="E16" s="83">
        <f>IF(AND($S$4=""),"",IF(AND(C16=""),"",IF(AND($AC$4=$Z$7),"",ROUND((D16*5%),0))))</f>
        <v>738</v>
      </c>
      <c r="F16" s="83">
        <f t="shared" si="2"/>
        <v>52398</v>
      </c>
      <c r="G16" s="82">
        <f>IF(AND($S$4=""),"",IF(AND(AH19=""),"",IF(AND(AJ$13&gt;0,AK$13=7),AH19/31*AL$13,AH19)))</f>
        <v>14110</v>
      </c>
      <c r="H16" s="82">
        <f t="shared" si="3"/>
        <v>5644</v>
      </c>
      <c r="I16" s="83">
        <f>IF(AND($S$4=""),"",IF(AND(C16=""),"",IF(AND($AC$4=$Z$7),"",ROUND((H16*139%),0))))</f>
        <v>7845</v>
      </c>
      <c r="J16" s="83">
        <f t="shared" si="5"/>
        <v>27599</v>
      </c>
      <c r="K16" s="82">
        <f t="shared" si="6"/>
        <v>9116</v>
      </c>
      <c r="L16" s="82">
        <f t="shared" si="7"/>
        <v>-7107</v>
      </c>
      <c r="M16" s="82">
        <f t="shared" si="8"/>
        <v>2009</v>
      </c>
      <c r="N16" s="82">
        <f t="shared" si="9"/>
        <v>2009</v>
      </c>
      <c r="O16" s="133">
        <f t="shared" si="10"/>
        <v>201</v>
      </c>
      <c r="P16" s="133">
        <f t="shared" si="11"/>
        <v>181</v>
      </c>
      <c r="Q16" s="83">
        <f t="shared" si="12"/>
        <v>382</v>
      </c>
      <c r="R16" s="256">
        <f t="shared" si="13"/>
        <v>1627</v>
      </c>
      <c r="S16" s="131"/>
      <c r="T16" s="132"/>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SEVENTEEN THOUSAND  EIGHT  HUNDRED  FOURTY  SEVEN  Only)</v>
      </c>
      <c r="AA16" s="2"/>
      <c r="AD16" s="1">
        <v>4</v>
      </c>
      <c r="AF16" s="3">
        <f>IF(AND($AJ$4=$AG$3),AE13,AF15)</f>
        <v>35800</v>
      </c>
      <c r="AH16" s="3">
        <f>IF(AND($AJ$4=$AG$3),AG13,AH15)</f>
        <v>13690</v>
      </c>
    </row>
    <row r="17" spans="1:34" ht="18" customHeight="1">
      <c r="A17" s="69">
        <v>8</v>
      </c>
      <c r="B17" s="42" t="s">
        <v>26</v>
      </c>
      <c r="C17" s="82">
        <f>IF(AND($S$4=""),"",IF(AND(AF20=""),"",IF(AND(AJ$13&gt;0,AK$13=8),AF20/31*AL$13,AF20)))</f>
        <v>36900</v>
      </c>
      <c r="D17" s="82">
        <f t="shared" si="0"/>
        <v>14760</v>
      </c>
      <c r="E17" s="83">
        <f t="shared" ref="E17:E18" si="14">IF(AND($S$4=""),"",IF(AND(C17=""),"",IF(AND($AC$4=$Z$7),"",ROUND((D17*5%),0))))</f>
        <v>738</v>
      </c>
      <c r="F17" s="83">
        <f t="shared" si="2"/>
        <v>52398</v>
      </c>
      <c r="G17" s="82">
        <f>IF(AND($S$4=""),"",IF(AND(AH20=""),"",IF(AND(AJ$13&gt;0,AK$13=8),AH20/31*AL$13,AH20)))</f>
        <v>14110</v>
      </c>
      <c r="H17" s="82">
        <f t="shared" si="3"/>
        <v>5644</v>
      </c>
      <c r="I17" s="83">
        <f t="shared" ref="I17:I18" si="15">IF(AND($S$4=""),"",IF(AND(C17=""),"",IF(AND($AC$4=$Z$7),"",ROUND((H17*139%),0))))</f>
        <v>7845</v>
      </c>
      <c r="J17" s="83">
        <f t="shared" si="5"/>
        <v>27599</v>
      </c>
      <c r="K17" s="82">
        <f t="shared" si="6"/>
        <v>9116</v>
      </c>
      <c r="L17" s="82">
        <f t="shared" si="7"/>
        <v>-7107</v>
      </c>
      <c r="M17" s="82">
        <f t="shared" si="8"/>
        <v>2009</v>
      </c>
      <c r="N17" s="82">
        <f t="shared" si="9"/>
        <v>2009</v>
      </c>
      <c r="O17" s="133">
        <f t="shared" si="10"/>
        <v>201</v>
      </c>
      <c r="P17" s="133">
        <f t="shared" si="11"/>
        <v>181</v>
      </c>
      <c r="Q17" s="83">
        <f t="shared" si="12"/>
        <v>382</v>
      </c>
      <c r="R17" s="256">
        <f t="shared" si="13"/>
        <v>1627</v>
      </c>
      <c r="S17" s="131"/>
      <c r="T17" s="132"/>
      <c r="Y17" s="1">
        <f>IF(AND($S$4=""),"",ROUND(M22,0))</f>
        <v>14457</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FOURTEEN  THOUSAND  FOUR  HUNDRED  FIFTY  SEVEN  Only)</v>
      </c>
      <c r="AD17" s="1">
        <v>5</v>
      </c>
      <c r="AF17" s="3">
        <f>IF(AND($AK$4=$AG$3),AE13,AF16)</f>
        <v>35800</v>
      </c>
      <c r="AH17" s="3">
        <f>IF(AND($AK$4=$AG$3),AG13,AH16)</f>
        <v>13690</v>
      </c>
    </row>
    <row r="18" spans="1:34" ht="18" customHeight="1" thickBot="1">
      <c r="A18" s="69">
        <v>9</v>
      </c>
      <c r="B18" s="42" t="s">
        <v>27</v>
      </c>
      <c r="C18" s="82">
        <f>IF(AND($S$4=""),"",IF(AND(AF21=""),"",IF(AND(AJ$13&gt;0,AK$13=9),AF21/30*AL$13,AF21)))</f>
        <v>36900</v>
      </c>
      <c r="D18" s="82">
        <f t="shared" si="0"/>
        <v>14760</v>
      </c>
      <c r="E18" s="83">
        <f t="shared" si="14"/>
        <v>738</v>
      </c>
      <c r="F18" s="83">
        <f t="shared" si="2"/>
        <v>52398</v>
      </c>
      <c r="G18" s="82">
        <f>IF(AND($S$4=""),"",IF(AND(AH21=""),"",IF(AND(AJ$13&gt;0,AK$13=9),AH21/30*AL$13,AH21)))</f>
        <v>14110</v>
      </c>
      <c r="H18" s="82">
        <f t="shared" si="3"/>
        <v>5644</v>
      </c>
      <c r="I18" s="83">
        <f t="shared" si="15"/>
        <v>7845</v>
      </c>
      <c r="J18" s="83">
        <f t="shared" si="5"/>
        <v>27599</v>
      </c>
      <c r="K18" s="82">
        <f t="shared" si="6"/>
        <v>9116</v>
      </c>
      <c r="L18" s="82">
        <f t="shared" si="7"/>
        <v>-7107</v>
      </c>
      <c r="M18" s="82">
        <f t="shared" si="8"/>
        <v>2009</v>
      </c>
      <c r="N18" s="82">
        <f t="shared" si="9"/>
        <v>2009</v>
      </c>
      <c r="O18" s="133">
        <f t="shared" si="10"/>
        <v>201</v>
      </c>
      <c r="P18" s="133">
        <f t="shared" si="11"/>
        <v>181</v>
      </c>
      <c r="Q18" s="83">
        <f t="shared" si="12"/>
        <v>382</v>
      </c>
      <c r="R18" s="256">
        <f t="shared" si="13"/>
        <v>1627</v>
      </c>
      <c r="S18" s="131"/>
      <c r="T18" s="132"/>
      <c r="AA18" s="2"/>
      <c r="AD18" s="1">
        <v>6</v>
      </c>
      <c r="AF18" s="3">
        <f>IF(AND($AL$4=$AG$3),AE13,AF17)</f>
        <v>35800</v>
      </c>
      <c r="AH18" s="3">
        <f>IF(AND($AL$4=$AG$3),AG13,AH17)</f>
        <v>13690</v>
      </c>
    </row>
    <row r="19" spans="1:34" hidden="1">
      <c r="A19" s="69"/>
      <c r="B19" s="84"/>
      <c r="C19" s="257"/>
      <c r="D19" s="257"/>
      <c r="E19" s="82"/>
      <c r="F19" s="82"/>
      <c r="G19" s="82"/>
      <c r="H19" s="82"/>
      <c r="I19" s="82"/>
      <c r="J19" s="83"/>
      <c r="K19" s="82"/>
      <c r="L19" s="82"/>
      <c r="M19" s="82"/>
      <c r="N19" s="82"/>
      <c r="O19" s="82"/>
      <c r="P19" s="82"/>
      <c r="Q19" s="83"/>
      <c r="R19" s="256"/>
      <c r="S19" s="131"/>
      <c r="T19" s="132"/>
      <c r="AA19" s="2"/>
      <c r="AD19" s="1">
        <v>7</v>
      </c>
      <c r="AF19" s="3">
        <f>IF(AND(AK13&gt;=8),"",IF(AND(AC4=AF2),AE13,IF(AND(AK13&gt;=7),AE13,MROUND(AF18*1.03,100))))</f>
        <v>36900</v>
      </c>
      <c r="AH19" s="3">
        <f>IF(AND(AK13&gt;=8),"",IF(AND(AC4=AF2),AG13,IF(AND(AK13&gt;=7),AG13,ROUNDUP(ROUND(AH18*1.03,),-1))))</f>
        <v>14110</v>
      </c>
    </row>
    <row r="20" spans="1:34" ht="15.75" hidden="1" thickBot="1">
      <c r="A20" s="69"/>
      <c r="B20" s="84"/>
      <c r="C20" s="257"/>
      <c r="D20" s="257"/>
      <c r="E20" s="82"/>
      <c r="F20" s="82"/>
      <c r="G20" s="82"/>
      <c r="H20" s="82"/>
      <c r="I20" s="82"/>
      <c r="J20" s="83"/>
      <c r="K20" s="82"/>
      <c r="L20" s="82"/>
      <c r="M20" s="82"/>
      <c r="N20" s="82"/>
      <c r="O20" s="82"/>
      <c r="P20" s="82"/>
      <c r="Q20" s="83"/>
      <c r="R20" s="256"/>
      <c r="S20" s="131"/>
      <c r="T20" s="132"/>
      <c r="V20" s="53"/>
      <c r="AA20" s="2"/>
      <c r="AD20" s="1">
        <v>8</v>
      </c>
      <c r="AF20" s="3">
        <f>IF(AND($AN$4=$AG$3),AE13,AF19)</f>
        <v>36900</v>
      </c>
      <c r="AH20" s="39">
        <f>IF(AND($AN$4=$AG$3),AG13,AH19)</f>
        <v>14110</v>
      </c>
    </row>
    <row r="21" spans="1:34" ht="20.25" thickTop="1" thickBot="1">
      <c r="A21" s="183" t="s">
        <v>28</v>
      </c>
      <c r="B21" s="184"/>
      <c r="C21" s="258">
        <f t="shared" ref="C21:R21" si="16">IF(AND($S$4=""),"",SUM(C10:C20))</f>
        <v>325500</v>
      </c>
      <c r="D21" s="258">
        <f t="shared" si="16"/>
        <v>130200</v>
      </c>
      <c r="E21" s="258">
        <f t="shared" si="16"/>
        <v>5652</v>
      </c>
      <c r="F21" s="258">
        <f t="shared" si="16"/>
        <v>461352</v>
      </c>
      <c r="G21" s="258">
        <f t="shared" si="16"/>
        <v>124470</v>
      </c>
      <c r="H21" s="258">
        <f t="shared" si="16"/>
        <v>49788</v>
      </c>
      <c r="I21" s="258">
        <f t="shared" si="16"/>
        <v>68217</v>
      </c>
      <c r="J21" s="258">
        <f t="shared" si="16"/>
        <v>242475</v>
      </c>
      <c r="K21" s="258">
        <f t="shared" si="16"/>
        <v>80412</v>
      </c>
      <c r="L21" s="258">
        <f t="shared" si="16"/>
        <v>-62565</v>
      </c>
      <c r="M21" s="258">
        <f t="shared" si="16"/>
        <v>17847</v>
      </c>
      <c r="N21" s="258">
        <f t="shared" si="16"/>
        <v>17847</v>
      </c>
      <c r="O21" s="258">
        <f t="shared" si="16"/>
        <v>1785</v>
      </c>
      <c r="P21" s="258">
        <f t="shared" si="16"/>
        <v>1605</v>
      </c>
      <c r="Q21" s="258">
        <f t="shared" si="16"/>
        <v>3390</v>
      </c>
      <c r="R21" s="54">
        <f t="shared" si="16"/>
        <v>14457</v>
      </c>
      <c r="S21" s="185"/>
      <c r="T21" s="186"/>
      <c r="AD21" s="1">
        <v>9</v>
      </c>
      <c r="AF21" s="3">
        <f>IF(AND($AO$4=$AG$3),AE13,AF20)</f>
        <v>36900</v>
      </c>
      <c r="AH21" s="40">
        <f>IF(AND($AO$4=$AG$3),AG13,AH20)</f>
        <v>14110</v>
      </c>
    </row>
    <row r="22" spans="1:34" ht="18.75" thickTop="1" thickBot="1">
      <c r="A22" s="70"/>
      <c r="B22" s="78" t="s">
        <v>75</v>
      </c>
      <c r="C22" s="166" t="str">
        <f>IF(AND(S$4=""),"",IF(AND(AE7&lt;=AE8),"01-01-2017",AE7))</f>
        <v>01-01-2017</v>
      </c>
      <c r="D22" s="166"/>
      <c r="E22" s="166"/>
      <c r="F22" s="189" t="s">
        <v>99</v>
      </c>
      <c r="G22" s="189"/>
      <c r="H22" s="189"/>
      <c r="I22" s="189"/>
      <c r="J22" s="189"/>
      <c r="K22" s="189"/>
      <c r="L22" s="189"/>
      <c r="M22" s="187">
        <f>IF(AND(S4=""),"",IF(AND(AB4=$AA$7),R21,O21))</f>
        <v>14457</v>
      </c>
      <c r="N22" s="187"/>
      <c r="O22" s="188" t="str">
        <f>IF(AND(S$4=""),"",IF(AND(AB4=$AA$7),"dk udn Hkqxrku fd;k x;k A","jkf'k thih,Q esa tek A"))</f>
        <v>dk udn Hkqxrku fd;k x;k A</v>
      </c>
      <c r="P22" s="188"/>
      <c r="Q22" s="188"/>
      <c r="R22" s="188"/>
      <c r="S22" s="45"/>
      <c r="T22" s="71"/>
      <c r="W22" s="59"/>
      <c r="AF22" s="39"/>
      <c r="AH22" s="39"/>
    </row>
    <row r="23" spans="1:34" ht="20.25" thickTop="1" thickBot="1">
      <c r="A23" s="62"/>
      <c r="B23" s="4"/>
      <c r="C23" s="4"/>
      <c r="D23" s="4"/>
      <c r="E23" s="174"/>
      <c r="F23" s="174"/>
      <c r="G23" s="174"/>
      <c r="H23" s="174"/>
      <c r="I23" s="174"/>
      <c r="J23" s="4"/>
      <c r="K23" s="4"/>
      <c r="L23" s="175" t="s">
        <v>98</v>
      </c>
      <c r="M23" s="175"/>
      <c r="N23" s="175"/>
      <c r="O23" s="175"/>
      <c r="P23" s="176">
        <f>IF(AND($S$4=""),"",N21)</f>
        <v>17847</v>
      </c>
      <c r="Q23" s="176"/>
      <c r="R23" s="177" t="s">
        <v>61</v>
      </c>
      <c r="S23" s="177"/>
      <c r="T23" s="178"/>
      <c r="AF23" s="40"/>
      <c r="AH23" s="40"/>
    </row>
    <row r="24" spans="1:34" ht="21" customHeight="1" thickTop="1">
      <c r="A24" s="62"/>
      <c r="B24" s="169" t="str">
        <f>IF(AND($S$4=""),"",IF(AND(G4=""),"",IF(AND(F7=""),"",F7)))</f>
        <v>Third installment of Arrear on 01-10-2018 (40% Amount)</v>
      </c>
      <c r="C24" s="169"/>
      <c r="D24" s="169"/>
      <c r="E24" s="169"/>
      <c r="F24" s="169"/>
      <c r="G24" s="169"/>
      <c r="H24" s="169"/>
      <c r="I24" s="169"/>
      <c r="J24" s="169"/>
      <c r="K24" s="169"/>
      <c r="L24" s="175" t="str">
        <f>IF(AND(S4=""),"",IF(AND(AB4=$AA$7),",u-ih-,l- dVkSrh","jkf'k thih,Q esa tek A"))</f>
        <v>,u-ih-,l- dVkSrh</v>
      </c>
      <c r="M24" s="175"/>
      <c r="N24" s="175"/>
      <c r="O24" s="175"/>
      <c r="P24" s="176">
        <f>IF(AND($S$4=""),"",O21)</f>
        <v>1785</v>
      </c>
      <c r="Q24" s="176"/>
      <c r="R24" s="179" t="str">
        <f>IF(AND($S$4=""),"",Z17)</f>
        <v>( Rs.   FOURTEEN  THOUSAND  FOUR  HUNDRED  FIFTY  SEVEN  Only)</v>
      </c>
      <c r="S24" s="179"/>
      <c r="T24" s="180"/>
      <c r="AF24" s="4"/>
      <c r="AH24" s="4"/>
    </row>
    <row r="25" spans="1:34" ht="21" customHeight="1">
      <c r="A25" s="62"/>
      <c r="B25" s="79"/>
      <c r="C25" s="173"/>
      <c r="D25" s="173"/>
      <c r="E25" s="173"/>
      <c r="F25" s="173"/>
      <c r="G25" s="173"/>
      <c r="H25" s="173"/>
      <c r="I25" s="173"/>
      <c r="J25" s="41"/>
      <c r="K25" s="41"/>
      <c r="L25" s="175" t="s">
        <v>59</v>
      </c>
      <c r="M25" s="175"/>
      <c r="N25" s="175"/>
      <c r="O25" s="175"/>
      <c r="P25" s="176">
        <f>IF(AND($S$4=""),"",P21)</f>
        <v>1605</v>
      </c>
      <c r="Q25" s="176"/>
      <c r="R25" s="179"/>
      <c r="S25" s="179"/>
      <c r="T25" s="180"/>
    </row>
    <row r="26" spans="1:34" ht="15.75">
      <c r="A26" s="72"/>
      <c r="B26" s="46"/>
      <c r="C26" s="181"/>
      <c r="D26" s="181"/>
      <c r="E26" s="181"/>
      <c r="F26" s="181"/>
      <c r="G26" s="181"/>
      <c r="H26" s="181"/>
      <c r="I26" s="181"/>
      <c r="J26" s="47"/>
      <c r="K26" s="47"/>
      <c r="L26" s="182" t="s">
        <v>60</v>
      </c>
      <c r="M26" s="182"/>
      <c r="N26" s="182"/>
      <c r="O26" s="182"/>
      <c r="P26" s="170">
        <f>IF(AND(AB4=$AA$7),SUM(P23-P24-P25),0)</f>
        <v>14457</v>
      </c>
      <c r="Q26" s="170"/>
      <c r="R26" s="171" t="str">
        <f>IF(AND(S$4=""),"",IF(AND(AB4=$AA$7),"dk udn Hkqxrku fd;k x;k","jkf'k thih,Q esa tek"))</f>
        <v>dk udn Hkqxrku fd;k x;k</v>
      </c>
      <c r="S26" s="171"/>
      <c r="T26" s="172"/>
    </row>
    <row r="27" spans="1:34" ht="18.75">
      <c r="A27" s="62"/>
      <c r="B27" s="79"/>
      <c r="C27" s="173"/>
      <c r="D27" s="173"/>
      <c r="E27" s="173"/>
      <c r="F27" s="173"/>
      <c r="G27" s="173"/>
      <c r="H27" s="173"/>
      <c r="I27" s="173"/>
      <c r="J27" s="41"/>
      <c r="K27" s="41"/>
      <c r="L27" s="41"/>
      <c r="M27" s="44"/>
      <c r="N27" s="44"/>
      <c r="O27" s="4"/>
      <c r="P27" s="4"/>
      <c r="Q27" s="75"/>
      <c r="R27" s="75"/>
      <c r="S27" s="75"/>
      <c r="T27" s="76"/>
    </row>
    <row r="28" spans="1:34" ht="19.5" customHeight="1">
      <c r="A28" s="62"/>
      <c r="B28" s="43"/>
      <c r="C28" s="56"/>
      <c r="D28" s="134"/>
      <c r="E28" s="56"/>
      <c r="F28" s="56"/>
      <c r="G28" s="56"/>
      <c r="H28" s="134"/>
      <c r="I28" s="56"/>
      <c r="J28" s="41"/>
      <c r="K28" s="41"/>
      <c r="L28" s="41"/>
      <c r="M28" s="44"/>
      <c r="N28" s="44"/>
      <c r="O28" s="4"/>
      <c r="P28" s="4"/>
      <c r="Q28" s="75"/>
      <c r="R28" s="167" t="str">
        <f>CONCATENATE("(  ",Master!C4," )")</f>
        <v>(  Mishari lal )</v>
      </c>
      <c r="S28" s="167"/>
      <c r="T28" s="168"/>
    </row>
    <row r="29" spans="1:34" ht="15.75">
      <c r="A29" s="62"/>
      <c r="B29" s="4"/>
      <c r="C29" s="4"/>
      <c r="D29" s="4"/>
      <c r="E29" s="4"/>
      <c r="F29" s="4"/>
      <c r="G29" s="4"/>
      <c r="H29" s="4"/>
      <c r="I29" s="4"/>
      <c r="J29" s="4"/>
      <c r="K29" s="4"/>
      <c r="L29" s="4"/>
      <c r="M29" s="4"/>
      <c r="N29" s="4"/>
      <c r="O29" s="4"/>
      <c r="P29" s="4"/>
      <c r="Q29" s="4"/>
      <c r="R29" s="162" t="s">
        <v>70</v>
      </c>
      <c r="S29" s="162"/>
      <c r="T29" s="163"/>
    </row>
    <row r="30" spans="1:34" ht="16.5" thickBot="1">
      <c r="A30" s="73"/>
      <c r="B30" s="74"/>
      <c r="C30" s="74"/>
      <c r="D30" s="74"/>
      <c r="E30" s="74"/>
      <c r="F30" s="74"/>
      <c r="G30" s="74"/>
      <c r="H30" s="74"/>
      <c r="I30" s="74"/>
      <c r="J30" s="74"/>
      <c r="K30" s="74"/>
      <c r="L30" s="74"/>
      <c r="M30" s="74"/>
      <c r="N30" s="74"/>
      <c r="O30" s="74"/>
      <c r="P30" s="74"/>
      <c r="Q30" s="74"/>
      <c r="R30" s="164" t="s">
        <v>71</v>
      </c>
      <c r="S30" s="164"/>
      <c r="T30" s="165"/>
    </row>
  </sheetData>
  <sheetProtection password="C1FB" sheet="1" objects="1" scenarios="1" formatCells="0" formatColumns="0"/>
  <mergeCells count="46">
    <mergeCell ref="B2:S2"/>
    <mergeCell ref="B3:S3"/>
    <mergeCell ref="C4:F4"/>
    <mergeCell ref="G4:J4"/>
    <mergeCell ref="K4:L4"/>
    <mergeCell ref="M4:P4"/>
    <mergeCell ref="Q4:R4"/>
    <mergeCell ref="A8:A9"/>
    <mergeCell ref="B8:B9"/>
    <mergeCell ref="C8:F8"/>
    <mergeCell ref="G8:J8"/>
    <mergeCell ref="K8:M8"/>
    <mergeCell ref="S21:T21"/>
    <mergeCell ref="M22:N22"/>
    <mergeCell ref="O22:R22"/>
    <mergeCell ref="F22:L22"/>
    <mergeCell ref="U4:V4"/>
    <mergeCell ref="B5:S5"/>
    <mergeCell ref="C6:R6"/>
    <mergeCell ref="O8:Q8"/>
    <mergeCell ref="R8:R9"/>
    <mergeCell ref="S8:S9"/>
    <mergeCell ref="T8:T9"/>
    <mergeCell ref="F7:O7"/>
    <mergeCell ref="N8:N9"/>
    <mergeCell ref="L25:O25"/>
    <mergeCell ref="P25:Q25"/>
    <mergeCell ref="C26:I26"/>
    <mergeCell ref="L26:O26"/>
    <mergeCell ref="A21:B21"/>
    <mergeCell ref="R29:T29"/>
    <mergeCell ref="R30:T30"/>
    <mergeCell ref="C22:E22"/>
    <mergeCell ref="R28:T28"/>
    <mergeCell ref="B24:K24"/>
    <mergeCell ref="P26:Q26"/>
    <mergeCell ref="R26:T26"/>
    <mergeCell ref="C27:I27"/>
    <mergeCell ref="E23:I23"/>
    <mergeCell ref="L23:O23"/>
    <mergeCell ref="P23:Q23"/>
    <mergeCell ref="R23:T23"/>
    <mergeCell ref="L24:O24"/>
    <mergeCell ref="P24:Q24"/>
    <mergeCell ref="R24:T25"/>
    <mergeCell ref="C25:I25"/>
  </mergeCells>
  <dataValidations count="1">
    <dataValidation type="list" allowBlank="1" showInputMessage="1" showErrorMessage="1" sqref="F7">
      <formula1>$Z$1:$Z$4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R30"/>
  <sheetViews>
    <sheetView workbookViewId="0">
      <selection activeCell="V14" sqref="V14"/>
    </sheetView>
  </sheetViews>
  <sheetFormatPr defaultRowHeight="15"/>
  <cols>
    <col min="1" max="1" width="4.85546875" style="97" customWidth="1"/>
    <col min="2" max="2" width="10.42578125" style="97" customWidth="1"/>
    <col min="3" max="3" width="10" style="97" customWidth="1"/>
    <col min="4" max="4" width="8.140625" style="97" customWidth="1"/>
    <col min="5" max="5" width="8.28515625" style="97" customWidth="1"/>
    <col min="6" max="7" width="7.85546875" style="97" customWidth="1"/>
    <col min="8" max="8" width="8.140625" style="97" customWidth="1"/>
    <col min="9" max="9" width="7.85546875" style="97" customWidth="1"/>
    <col min="10" max="10" width="8.140625" style="97" customWidth="1"/>
    <col min="11" max="11" width="8" style="97" customWidth="1"/>
    <col min="12" max="12" width="8.5703125" style="97" customWidth="1"/>
    <col min="13" max="15" width="8" style="97" customWidth="1"/>
    <col min="16" max="17" width="7.42578125" style="97" customWidth="1"/>
    <col min="18" max="18" width="8.42578125" style="97" customWidth="1"/>
    <col min="19" max="19" width="9.7109375" style="97" customWidth="1"/>
    <col min="20" max="20" width="11.140625" style="97" customWidth="1"/>
    <col min="21" max="23" width="9.140625" style="1"/>
    <col min="24" max="25" width="9.140625" style="1" hidden="1" customWidth="1"/>
    <col min="26" max="26" width="27.140625" style="1" hidden="1" customWidth="1"/>
    <col min="27" max="44" width="9.140625" style="1" hidden="1" customWidth="1"/>
    <col min="45" max="50" width="9.140625" style="1" customWidth="1"/>
    <col min="51" max="16384" width="9.140625" style="1"/>
  </cols>
  <sheetData>
    <row r="1" spans="1:44" ht="9.75" customHeight="1" thickBot="1">
      <c r="Z1" s="1" t="s">
        <v>73</v>
      </c>
      <c r="AC1" s="5"/>
    </row>
    <row r="2" spans="1:44" ht="18.75">
      <c r="A2" s="98"/>
      <c r="B2" s="252" t="s">
        <v>56</v>
      </c>
      <c r="C2" s="252"/>
      <c r="D2" s="252"/>
      <c r="E2" s="252"/>
      <c r="F2" s="252"/>
      <c r="G2" s="252"/>
      <c r="H2" s="252"/>
      <c r="I2" s="252"/>
      <c r="J2" s="252"/>
      <c r="K2" s="252"/>
      <c r="L2" s="252"/>
      <c r="M2" s="252"/>
      <c r="N2" s="252"/>
      <c r="O2" s="252"/>
      <c r="P2" s="252"/>
      <c r="Q2" s="252"/>
      <c r="R2" s="252"/>
      <c r="S2" s="252"/>
      <c r="T2" s="99"/>
      <c r="U2" s="48"/>
      <c r="V2" s="48"/>
      <c r="W2" s="48"/>
      <c r="X2" s="48"/>
      <c r="Z2" s="1" t="s">
        <v>72</v>
      </c>
      <c r="AC2" s="5"/>
      <c r="AG2" s="1" t="b">
        <v>0</v>
      </c>
    </row>
    <row r="3" spans="1:44" ht="18.75">
      <c r="A3" s="100"/>
      <c r="B3" s="253" t="str">
        <f>CONCATENATE("OFFICE OF THE PRINCIPAL , ",Master!C3)</f>
        <v>OFFICE OF THE PRINCIPAL , Government Senior Secondry School Inderwara (RANI), Pali</v>
      </c>
      <c r="C3" s="253"/>
      <c r="D3" s="253"/>
      <c r="E3" s="253"/>
      <c r="F3" s="253"/>
      <c r="G3" s="253"/>
      <c r="H3" s="253"/>
      <c r="I3" s="253"/>
      <c r="J3" s="253"/>
      <c r="K3" s="253"/>
      <c r="L3" s="253"/>
      <c r="M3" s="253"/>
      <c r="N3" s="253"/>
      <c r="O3" s="253"/>
      <c r="P3" s="253"/>
      <c r="Q3" s="253"/>
      <c r="R3" s="253"/>
      <c r="S3" s="253"/>
      <c r="T3" s="101"/>
      <c r="U3" s="48"/>
      <c r="V3" s="48"/>
      <c r="W3" s="48"/>
      <c r="X3" s="48"/>
      <c r="Z3" s="1" t="s">
        <v>74</v>
      </c>
      <c r="AC3" s="5"/>
      <c r="AG3" s="1" t="b">
        <v>1</v>
      </c>
    </row>
    <row r="4" spans="1:44" ht="18.75">
      <c r="A4" s="100"/>
      <c r="B4" s="102"/>
      <c r="C4" s="102"/>
      <c r="D4" s="236" t="s">
        <v>57</v>
      </c>
      <c r="E4" s="236"/>
      <c r="F4" s="236"/>
      <c r="G4" s="96"/>
      <c r="H4" s="254" t="str">
        <f>IF(ISNA(VLOOKUP($S$4,Master!A$9:AO$78,2,FALSE)),"",VLOOKUP($S$4,Master!A$9:AO$78,2,FALSE))</f>
        <v>mahendra patel</v>
      </c>
      <c r="I4" s="254"/>
      <c r="J4" s="254"/>
      <c r="K4" s="236" t="s">
        <v>36</v>
      </c>
      <c r="L4" s="236"/>
      <c r="M4" s="254" t="str">
        <f>IF(ISNA(VLOOKUP($S$4,Master!A$9:AO$78,3,FALSE)),"",VLOOKUP($S$4,Master!A$9:AO$78,3,FALSE))</f>
        <v>Sr. Teacher</v>
      </c>
      <c r="N4" s="254"/>
      <c r="O4" s="254"/>
      <c r="P4" s="254"/>
      <c r="Q4" s="255" t="s">
        <v>76</v>
      </c>
      <c r="R4" s="255"/>
      <c r="S4" s="81">
        <v>2</v>
      </c>
      <c r="T4" s="101"/>
      <c r="U4" s="190"/>
      <c r="V4" s="190"/>
      <c r="W4" s="50"/>
      <c r="X4" s="50"/>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4" ht="15.75">
      <c r="A5" s="100"/>
      <c r="B5" s="236" t="s">
        <v>58</v>
      </c>
      <c r="C5" s="236"/>
      <c r="D5" s="236"/>
      <c r="E5" s="236"/>
      <c r="F5" s="236"/>
      <c r="G5" s="236"/>
      <c r="H5" s="236"/>
      <c r="I5" s="236"/>
      <c r="J5" s="236"/>
      <c r="K5" s="236"/>
      <c r="L5" s="236"/>
      <c r="M5" s="236"/>
      <c r="N5" s="236"/>
      <c r="O5" s="236"/>
      <c r="P5" s="236"/>
      <c r="Q5" s="236"/>
      <c r="R5" s="236"/>
      <c r="S5" s="236"/>
      <c r="T5" s="101"/>
      <c r="U5" s="49"/>
      <c r="V5" s="49"/>
      <c r="W5" s="49"/>
      <c r="X5" s="49"/>
      <c r="AC5" s="5"/>
    </row>
    <row r="6" spans="1:44" ht="18.75">
      <c r="A6" s="100"/>
      <c r="B6" s="103"/>
      <c r="C6" s="103"/>
      <c r="D6" s="237"/>
      <c r="E6" s="237"/>
      <c r="F6" s="237"/>
      <c r="G6" s="237"/>
      <c r="H6" s="237"/>
      <c r="I6" s="237"/>
      <c r="J6" s="237"/>
      <c r="K6" s="237"/>
      <c r="L6" s="237"/>
      <c r="M6" s="237"/>
      <c r="N6" s="237"/>
      <c r="O6" s="237"/>
      <c r="P6" s="237"/>
      <c r="Q6" s="237"/>
      <c r="R6" s="237"/>
      <c r="S6" s="103"/>
      <c r="T6" s="104"/>
      <c r="Z6" s="1" t="s">
        <v>1</v>
      </c>
      <c r="AA6" s="1" t="s">
        <v>4</v>
      </c>
      <c r="AB6" s="1" t="s">
        <v>0</v>
      </c>
      <c r="AC6" s="5"/>
    </row>
    <row r="7" spans="1:44" ht="20.25">
      <c r="A7" s="105"/>
      <c r="B7" s="106"/>
      <c r="C7" s="106"/>
      <c r="D7" s="106"/>
      <c r="E7" s="106"/>
      <c r="F7" s="199" t="s">
        <v>74</v>
      </c>
      <c r="G7" s="199"/>
      <c r="H7" s="199"/>
      <c r="I7" s="199"/>
      <c r="J7" s="199"/>
      <c r="K7" s="199"/>
      <c r="L7" s="199"/>
      <c r="M7" s="199"/>
      <c r="N7" s="199"/>
      <c r="O7" s="199"/>
      <c r="P7" s="106"/>
      <c r="Q7" s="106"/>
      <c r="R7" s="106"/>
      <c r="S7" s="107"/>
      <c r="T7" s="104"/>
      <c r="Z7" s="1" t="s">
        <v>3</v>
      </c>
      <c r="AA7" s="1" t="s">
        <v>5</v>
      </c>
      <c r="AB7" s="1" t="s">
        <v>2</v>
      </c>
      <c r="AC7" s="5"/>
      <c r="AE7" s="53">
        <f>IF(ISNA(VLOOKUP($S$4,Master!A$9:AO$78,6,FALSE)),"",VLOOKUP($S$4,Master!A$9:AO$78,6,FALSE))</f>
        <v>42370</v>
      </c>
    </row>
    <row r="8" spans="1:44" ht="27.75" customHeight="1">
      <c r="A8" s="238" t="s">
        <v>6</v>
      </c>
      <c r="B8" s="239" t="s">
        <v>7</v>
      </c>
      <c r="C8" s="249" t="s">
        <v>8</v>
      </c>
      <c r="D8" s="250"/>
      <c r="E8" s="250"/>
      <c r="F8" s="251"/>
      <c r="G8" s="249" t="s">
        <v>9</v>
      </c>
      <c r="H8" s="250"/>
      <c r="I8" s="250"/>
      <c r="J8" s="251"/>
      <c r="K8" s="240" t="s">
        <v>10</v>
      </c>
      <c r="L8" s="240"/>
      <c r="M8" s="240"/>
      <c r="N8" s="241" t="str">
        <f>IF(AND($S$4=""),"",IF(AND(H4=""),"",IF(AND(F7=""),"",IF(AND(F7="First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243" t="s">
        <v>69</v>
      </c>
      <c r="P8" s="244"/>
      <c r="Q8" s="245"/>
      <c r="R8" s="246" t="s">
        <v>13</v>
      </c>
      <c r="S8" s="247" t="s">
        <v>14</v>
      </c>
      <c r="T8" s="248" t="s">
        <v>15</v>
      </c>
      <c r="AC8" s="5"/>
      <c r="AE8" s="53">
        <v>42736</v>
      </c>
    </row>
    <row r="9" spans="1:44" ht="33.75" customHeight="1">
      <c r="A9" s="238"/>
      <c r="B9" s="239"/>
      <c r="C9" s="86" t="s">
        <v>16</v>
      </c>
      <c r="D9" s="86" t="s">
        <v>97</v>
      </c>
      <c r="E9" s="86" t="s">
        <v>17</v>
      </c>
      <c r="F9" s="86" t="s">
        <v>18</v>
      </c>
      <c r="G9" s="86" t="s">
        <v>16</v>
      </c>
      <c r="H9" s="86" t="s">
        <v>97</v>
      </c>
      <c r="I9" s="86" t="s">
        <v>17</v>
      </c>
      <c r="J9" s="86" t="s">
        <v>18</v>
      </c>
      <c r="K9" s="86" t="s">
        <v>16</v>
      </c>
      <c r="L9" s="86" t="s">
        <v>17</v>
      </c>
      <c r="M9" s="86" t="s">
        <v>18</v>
      </c>
      <c r="N9" s="242"/>
      <c r="O9" s="87" t="str">
        <f>IF(AND($AB$4=$AA$6),"CREDIT IN GPF",IF(AND($AB$4=$AA$7),"NPS Ded. ",""))</f>
        <v xml:space="preserve">NPS Ded. </v>
      </c>
      <c r="P9" s="88" t="s">
        <v>11</v>
      </c>
      <c r="Q9" s="87" t="s">
        <v>12</v>
      </c>
      <c r="R9" s="246"/>
      <c r="S9" s="247"/>
      <c r="T9" s="248"/>
      <c r="AC9" s="5"/>
    </row>
    <row r="10" spans="1:44" ht="18" customHeight="1">
      <c r="A10" s="89">
        <v>1</v>
      </c>
      <c r="B10" s="90" t="s">
        <v>19</v>
      </c>
      <c r="C10" s="108">
        <v>35800</v>
      </c>
      <c r="D10" s="109">
        <f>IF(AND($S$4=""),"",IF(AND(C10=""),"",((C10*40%))))</f>
        <v>14320</v>
      </c>
      <c r="E10" s="110">
        <f>ROUND((D10*4%),0)</f>
        <v>573</v>
      </c>
      <c r="F10" s="110">
        <f>IF(AND($S$4=""),"",IF(AND(D10=""),"",SUM(D10:E10)))</f>
        <v>14893</v>
      </c>
      <c r="G10" s="111">
        <v>13690</v>
      </c>
      <c r="H10" s="109">
        <f>IF(AND($S$4=""),"",IF(AND(G10=""),"",((G10*40%))))</f>
        <v>5476</v>
      </c>
      <c r="I10" s="110">
        <f>IF(AND($S$4=""),"",IF(AND(D10=""),"",IF(AND($AC$4=$Z$7),"",ROUND((H10*136%),0))))</f>
        <v>7447</v>
      </c>
      <c r="J10" s="110">
        <f>IF(AND($S$4=""),"",IF(AND(H10=""),"",SUM(H10:I10)))</f>
        <v>12923</v>
      </c>
      <c r="K10" s="109">
        <f t="shared" ref="K10:K18" si="0">IF(AND(D10=""),"",IF(AND(H10=""),"",D10-H10))</f>
        <v>8844</v>
      </c>
      <c r="L10" s="109">
        <f t="shared" ref="L10:L18" si="1">IF(AND(E10=""),"",IF(AND(I10=""),"",E10-I10))</f>
        <v>-6874</v>
      </c>
      <c r="M10" s="109">
        <f t="shared" ref="M10:M18" si="2">IF(AND($S$4=""),"",IF(AND(K10=""),"",SUM(K10:L10)))</f>
        <v>1970</v>
      </c>
      <c r="N10" s="109">
        <f>M10</f>
        <v>1970</v>
      </c>
      <c r="O10" s="109">
        <f>ROUND(((N10)*10%),0)</f>
        <v>197</v>
      </c>
      <c r="P10" s="109">
        <f>IF(AND(D10=""),"",IF(AND(D10=0),"",IF(AND(M10=""),"",IF(AND($AB$4=$AA$6),ROUND(((N10)*10%),0),ROUND(((N10-O10)*$AD$4%),0)))))</f>
        <v>177</v>
      </c>
      <c r="Q10" s="110">
        <f>IF(AND(M10=""),"",IF(AND(O10=""),"",IF(AND(P10=""),"",SUM(O10+P10))))</f>
        <v>374</v>
      </c>
      <c r="R10" s="112">
        <f>IF(AND(M10=""),"",IF(AND(D10=0),"",IF(AND(Q10=""),N10,N10-Q10)))</f>
        <v>1596</v>
      </c>
      <c r="S10" s="94"/>
      <c r="T10" s="95"/>
      <c r="X10" s="1" t="str">
        <f>IF(AND($AB$4=$AA$6),"CREDIT IN GPF",IF(AND($AB$4=$AA$7),"NPS Ded.",""))</f>
        <v>NPS Ded.</v>
      </c>
      <c r="AC10" s="5"/>
      <c r="AN10" s="1">
        <f>IF(AND(D10=""),"",IF(AND(D10=0),"",IF(AND(M10=""),"",ROUND(((N10-O10)*$AD$4%),0))))</f>
        <v>177</v>
      </c>
    </row>
    <row r="11" spans="1:44" ht="18" customHeight="1">
      <c r="A11" s="89">
        <v>2</v>
      </c>
      <c r="B11" s="90" t="s">
        <v>20</v>
      </c>
      <c r="C11" s="113">
        <f>C10</f>
        <v>35800</v>
      </c>
      <c r="D11" s="109">
        <f t="shared" ref="D11:D18" si="3">IF(AND($S$4=""),"",IF(AND(C11=""),"",((C11*40%))))</f>
        <v>14320</v>
      </c>
      <c r="E11" s="110">
        <f t="shared" ref="E11:E15" si="4">ROUND((D11*4%),0)</f>
        <v>573</v>
      </c>
      <c r="F11" s="110">
        <f t="shared" ref="F11:F18" si="5">IF(AND($S$4=""),"",IF(AND(D11=""),"",SUM(D11:E11)))</f>
        <v>14893</v>
      </c>
      <c r="G11" s="110">
        <f>G10</f>
        <v>13690</v>
      </c>
      <c r="H11" s="109">
        <f t="shared" ref="H11:H18" si="6">IF(AND($S$4=""),"",IF(AND(G11=""),"",((G11*40%))))</f>
        <v>5476</v>
      </c>
      <c r="I11" s="110">
        <f t="shared" ref="I11:I15" si="7">IF(AND($S$4=""),"",IF(AND(D11=""),"",IF(AND($AC$4=$Z$7),"",ROUND((H11*136%),0))))</f>
        <v>7447</v>
      </c>
      <c r="J11" s="110">
        <f t="shared" ref="J11:J18" si="8">IF(AND($S$4=""),"",IF(AND(H11=""),"",SUM(H11:I11)))</f>
        <v>12923</v>
      </c>
      <c r="K11" s="109">
        <f t="shared" si="0"/>
        <v>8844</v>
      </c>
      <c r="L11" s="109">
        <f t="shared" si="1"/>
        <v>-6874</v>
      </c>
      <c r="M11" s="109">
        <f t="shared" si="2"/>
        <v>1970</v>
      </c>
      <c r="N11" s="109">
        <f t="shared" ref="N11:N17" si="9">M11</f>
        <v>1970</v>
      </c>
      <c r="O11" s="109">
        <f t="shared" ref="O11:O18" si="10">ROUND(((N11)*10%),0)</f>
        <v>197</v>
      </c>
      <c r="P11" s="109">
        <f t="shared" ref="P11:P18" si="11">IF(AND(D11=""),"",IF(AND(D11=0),"",IF(AND(M11=""),"",IF(AND($AB$4=$AA$6),ROUND(((N11)*10%),0),ROUND(((N11-O11)*$AD$4%),0)))))</f>
        <v>177</v>
      </c>
      <c r="Q11" s="110">
        <f t="shared" ref="Q11:Q18" si="12">IF(AND(M11=""),"",IF(AND(O11=""),"",IF(AND(P11=""),"",SUM(O11+P11))))</f>
        <v>374</v>
      </c>
      <c r="R11" s="112">
        <f t="shared" ref="R11:R18" si="13">IF(AND(M11=""),"",IF(AND(D11=0),"",IF(AND(Q11=""),N11,N11-Q11)))</f>
        <v>1596</v>
      </c>
      <c r="S11" s="94"/>
      <c r="T11" s="95"/>
      <c r="W11" s="55"/>
      <c r="X11" s="55">
        <f>'Pri Pay Manager'!I12</f>
        <v>7447</v>
      </c>
      <c r="Y11" s="55">
        <f>'Pri Pay Manager'!J12</f>
        <v>26613</v>
      </c>
      <c r="Z11" s="55">
        <f>'Pri Pay Manager'!K12</f>
        <v>8844</v>
      </c>
      <c r="AA11" s="55">
        <f>'Pri Pay Manager'!L12</f>
        <v>-6874</v>
      </c>
      <c r="AB11" s="55">
        <f>'Pri Pay Manager'!M12</f>
        <v>1970</v>
      </c>
      <c r="AC11" s="55">
        <f>'Pri Pay Manager'!N12</f>
        <v>1970</v>
      </c>
      <c r="AD11" s="55">
        <f>'Pri Pay Manager'!O12</f>
        <v>197</v>
      </c>
      <c r="AE11" s="55">
        <f>'Pri Pay Manager'!P12</f>
        <v>177</v>
      </c>
      <c r="AF11" s="55">
        <f>'Pri Pay Manager'!Q12</f>
        <v>374</v>
      </c>
      <c r="AG11" s="55">
        <f>'Pri Pay Manager'!R12</f>
        <v>1596</v>
      </c>
      <c r="AH11" s="55">
        <f>'Pri Pay Manager'!S12</f>
        <v>0</v>
      </c>
      <c r="AI11" s="55">
        <f>'Pri Pay Manager'!T12</f>
        <v>0</v>
      </c>
      <c r="AJ11" s="55">
        <f>'Pri Pay Manager'!U12</f>
        <v>0</v>
      </c>
      <c r="AK11" s="55">
        <f>'Pri Pay Manager'!V12</f>
        <v>0</v>
      </c>
      <c r="AL11" s="55">
        <f>'Pri Pay Manager'!W12</f>
        <v>0</v>
      </c>
      <c r="AM11" s="55">
        <f>'Pri Pay Manager'!X12</f>
        <v>0</v>
      </c>
      <c r="AN11" s="55">
        <f>'Pri Pay Manager'!Y12</f>
        <v>40</v>
      </c>
      <c r="AO11" s="55">
        <f>'Pri Pay Manager'!Z12</f>
        <v>0</v>
      </c>
      <c r="AP11" s="55">
        <f>'Pri Pay Manager'!AA12</f>
        <v>0</v>
      </c>
      <c r="AQ11" s="55">
        <f>'Pri Pay Manager'!AB12</f>
        <v>0</v>
      </c>
      <c r="AR11" s="55"/>
    </row>
    <row r="12" spans="1:44" ht="18" customHeight="1">
      <c r="A12" s="89">
        <v>3</v>
      </c>
      <c r="B12" s="90" t="s">
        <v>21</v>
      </c>
      <c r="C12" s="113">
        <f t="shared" ref="C12:C18" si="14">C11</f>
        <v>35800</v>
      </c>
      <c r="D12" s="109">
        <f t="shared" si="3"/>
        <v>14320</v>
      </c>
      <c r="E12" s="110">
        <f t="shared" si="4"/>
        <v>573</v>
      </c>
      <c r="F12" s="110">
        <f t="shared" si="5"/>
        <v>14893</v>
      </c>
      <c r="G12" s="110">
        <f t="shared" ref="G12:G20" si="15">G11</f>
        <v>13690</v>
      </c>
      <c r="H12" s="109">
        <f t="shared" si="6"/>
        <v>5476</v>
      </c>
      <c r="I12" s="110">
        <f t="shared" si="7"/>
        <v>7447</v>
      </c>
      <c r="J12" s="110">
        <f t="shared" si="8"/>
        <v>12923</v>
      </c>
      <c r="K12" s="109">
        <f t="shared" si="0"/>
        <v>8844</v>
      </c>
      <c r="L12" s="109">
        <f t="shared" si="1"/>
        <v>-6874</v>
      </c>
      <c r="M12" s="109">
        <f t="shared" si="2"/>
        <v>1970</v>
      </c>
      <c r="N12" s="109">
        <f t="shared" si="9"/>
        <v>1970</v>
      </c>
      <c r="O12" s="109">
        <f t="shared" si="10"/>
        <v>197</v>
      </c>
      <c r="P12" s="109">
        <f t="shared" si="11"/>
        <v>177</v>
      </c>
      <c r="Q12" s="110">
        <f t="shared" si="12"/>
        <v>374</v>
      </c>
      <c r="R12" s="112">
        <f t="shared" si="13"/>
        <v>1596</v>
      </c>
      <c r="S12" s="94"/>
      <c r="T12" s="95"/>
      <c r="W12" s="55"/>
      <c r="X12" s="55">
        <f t="shared" ref="X12:AQ14" si="16">X11</f>
        <v>7447</v>
      </c>
      <c r="Y12" s="55">
        <f t="shared" si="16"/>
        <v>26613</v>
      </c>
      <c r="Z12" s="55">
        <f t="shared" si="16"/>
        <v>8844</v>
      </c>
      <c r="AA12" s="55">
        <f t="shared" si="16"/>
        <v>-6874</v>
      </c>
      <c r="AB12" s="55">
        <f t="shared" si="16"/>
        <v>1970</v>
      </c>
      <c r="AC12" s="55">
        <f t="shared" si="16"/>
        <v>1970</v>
      </c>
      <c r="AD12" s="55">
        <f t="shared" si="16"/>
        <v>197</v>
      </c>
      <c r="AE12" s="55">
        <f t="shared" si="16"/>
        <v>177</v>
      </c>
      <c r="AF12" s="55">
        <f t="shared" si="16"/>
        <v>374</v>
      </c>
      <c r="AG12" s="55">
        <f t="shared" si="16"/>
        <v>1596</v>
      </c>
      <c r="AH12" s="55">
        <f t="shared" si="16"/>
        <v>0</v>
      </c>
      <c r="AI12" s="55">
        <f t="shared" si="16"/>
        <v>0</v>
      </c>
      <c r="AJ12" s="55">
        <f t="shared" si="16"/>
        <v>0</v>
      </c>
      <c r="AK12" s="55">
        <f t="shared" si="16"/>
        <v>0</v>
      </c>
      <c r="AL12" s="55">
        <f t="shared" si="16"/>
        <v>0</v>
      </c>
      <c r="AM12" s="55">
        <f t="shared" si="16"/>
        <v>0</v>
      </c>
      <c r="AN12" s="55">
        <f t="shared" si="16"/>
        <v>40</v>
      </c>
      <c r="AO12" s="55">
        <f t="shared" si="16"/>
        <v>0</v>
      </c>
      <c r="AP12" s="55">
        <f t="shared" si="16"/>
        <v>0</v>
      </c>
      <c r="AQ12" s="55">
        <f t="shared" si="16"/>
        <v>0</v>
      </c>
      <c r="AR12" s="55"/>
    </row>
    <row r="13" spans="1:44" ht="18" customHeight="1">
      <c r="A13" s="89">
        <v>4</v>
      </c>
      <c r="B13" s="90" t="s">
        <v>22</v>
      </c>
      <c r="C13" s="113">
        <f t="shared" si="14"/>
        <v>35800</v>
      </c>
      <c r="D13" s="109">
        <f t="shared" si="3"/>
        <v>14320</v>
      </c>
      <c r="E13" s="110">
        <f t="shared" si="4"/>
        <v>573</v>
      </c>
      <c r="F13" s="110">
        <f t="shared" si="5"/>
        <v>14893</v>
      </c>
      <c r="G13" s="110">
        <f t="shared" si="15"/>
        <v>13690</v>
      </c>
      <c r="H13" s="109">
        <f t="shared" si="6"/>
        <v>5476</v>
      </c>
      <c r="I13" s="110">
        <f t="shared" si="7"/>
        <v>7447</v>
      </c>
      <c r="J13" s="110">
        <f t="shared" si="8"/>
        <v>12923</v>
      </c>
      <c r="K13" s="114">
        <f t="shared" si="0"/>
        <v>8844</v>
      </c>
      <c r="L13" s="114">
        <f t="shared" si="1"/>
        <v>-6874</v>
      </c>
      <c r="M13" s="114">
        <f t="shared" si="2"/>
        <v>1970</v>
      </c>
      <c r="N13" s="109">
        <f t="shared" si="9"/>
        <v>1970</v>
      </c>
      <c r="O13" s="109">
        <f t="shared" si="10"/>
        <v>197</v>
      </c>
      <c r="P13" s="109">
        <f t="shared" si="11"/>
        <v>177</v>
      </c>
      <c r="Q13" s="110">
        <f t="shared" si="12"/>
        <v>374</v>
      </c>
      <c r="R13" s="112">
        <f t="shared" si="13"/>
        <v>1596</v>
      </c>
      <c r="S13" s="94"/>
      <c r="T13" s="95"/>
      <c r="W13" s="55"/>
      <c r="X13" s="55">
        <f t="shared" si="16"/>
        <v>7447</v>
      </c>
      <c r="Y13" s="55">
        <f t="shared" si="16"/>
        <v>26613</v>
      </c>
      <c r="Z13" s="55">
        <f t="shared" si="16"/>
        <v>8844</v>
      </c>
      <c r="AA13" s="55">
        <f t="shared" si="16"/>
        <v>-6874</v>
      </c>
      <c r="AB13" s="55">
        <f t="shared" si="16"/>
        <v>1970</v>
      </c>
      <c r="AC13" s="55">
        <f t="shared" si="16"/>
        <v>1970</v>
      </c>
      <c r="AD13" s="55">
        <f t="shared" si="16"/>
        <v>197</v>
      </c>
      <c r="AE13" s="55">
        <f t="shared" si="16"/>
        <v>177</v>
      </c>
      <c r="AF13" s="55">
        <f t="shared" si="16"/>
        <v>374</v>
      </c>
      <c r="AG13" s="55">
        <f t="shared" si="16"/>
        <v>1596</v>
      </c>
      <c r="AH13" s="55">
        <f t="shared" si="16"/>
        <v>0</v>
      </c>
      <c r="AI13" s="55">
        <f t="shared" si="16"/>
        <v>0</v>
      </c>
      <c r="AJ13" s="55">
        <f t="shared" si="16"/>
        <v>0</v>
      </c>
      <c r="AK13" s="55">
        <f t="shared" si="16"/>
        <v>0</v>
      </c>
      <c r="AL13" s="55">
        <f t="shared" si="16"/>
        <v>0</v>
      </c>
      <c r="AM13" s="55">
        <f t="shared" si="16"/>
        <v>0</v>
      </c>
      <c r="AN13" s="55">
        <f t="shared" si="16"/>
        <v>40</v>
      </c>
      <c r="AO13" s="55">
        <f t="shared" si="16"/>
        <v>0</v>
      </c>
      <c r="AP13" s="55">
        <f t="shared" si="16"/>
        <v>0</v>
      </c>
      <c r="AQ13" s="55">
        <f t="shared" si="16"/>
        <v>0</v>
      </c>
      <c r="AR13" s="55"/>
    </row>
    <row r="14" spans="1:44" ht="18" customHeight="1">
      <c r="A14" s="89">
        <v>5</v>
      </c>
      <c r="B14" s="90" t="s">
        <v>23</v>
      </c>
      <c r="C14" s="113">
        <f t="shared" si="14"/>
        <v>35800</v>
      </c>
      <c r="D14" s="109">
        <f t="shared" si="3"/>
        <v>14320</v>
      </c>
      <c r="E14" s="110">
        <f t="shared" si="4"/>
        <v>573</v>
      </c>
      <c r="F14" s="110">
        <f t="shared" si="5"/>
        <v>14893</v>
      </c>
      <c r="G14" s="110">
        <f t="shared" si="15"/>
        <v>13690</v>
      </c>
      <c r="H14" s="109">
        <f t="shared" si="6"/>
        <v>5476</v>
      </c>
      <c r="I14" s="110">
        <f t="shared" si="7"/>
        <v>7447</v>
      </c>
      <c r="J14" s="110">
        <f t="shared" si="8"/>
        <v>12923</v>
      </c>
      <c r="K14" s="114">
        <f t="shared" si="0"/>
        <v>8844</v>
      </c>
      <c r="L14" s="114">
        <f t="shared" si="1"/>
        <v>-6874</v>
      </c>
      <c r="M14" s="114">
        <f t="shared" si="2"/>
        <v>1970</v>
      </c>
      <c r="N14" s="109">
        <f t="shared" si="9"/>
        <v>1970</v>
      </c>
      <c r="O14" s="109">
        <f t="shared" si="10"/>
        <v>197</v>
      </c>
      <c r="P14" s="109">
        <f t="shared" si="11"/>
        <v>177</v>
      </c>
      <c r="Q14" s="110">
        <f t="shared" si="12"/>
        <v>374</v>
      </c>
      <c r="R14" s="112">
        <f t="shared" si="13"/>
        <v>1596</v>
      </c>
      <c r="S14" s="94"/>
      <c r="T14" s="95"/>
      <c r="W14" s="55"/>
      <c r="X14" s="55">
        <f t="shared" si="16"/>
        <v>7447</v>
      </c>
      <c r="Y14" s="55">
        <f t="shared" si="16"/>
        <v>26613</v>
      </c>
      <c r="Z14" s="55">
        <f t="shared" si="16"/>
        <v>8844</v>
      </c>
      <c r="AA14" s="55">
        <f t="shared" si="16"/>
        <v>-6874</v>
      </c>
      <c r="AB14" s="55">
        <f t="shared" si="16"/>
        <v>1970</v>
      </c>
      <c r="AC14" s="55">
        <f t="shared" si="16"/>
        <v>1970</v>
      </c>
      <c r="AD14" s="55">
        <f t="shared" si="16"/>
        <v>197</v>
      </c>
      <c r="AE14" s="55">
        <f t="shared" si="16"/>
        <v>177</v>
      </c>
      <c r="AF14" s="55">
        <f t="shared" si="16"/>
        <v>374</v>
      </c>
      <c r="AG14" s="55">
        <f t="shared" si="16"/>
        <v>1596</v>
      </c>
      <c r="AH14" s="55">
        <f t="shared" si="16"/>
        <v>0</v>
      </c>
      <c r="AI14" s="55">
        <f t="shared" si="16"/>
        <v>0</v>
      </c>
      <c r="AJ14" s="55">
        <f t="shared" si="16"/>
        <v>0</v>
      </c>
      <c r="AK14" s="55">
        <f t="shared" si="16"/>
        <v>0</v>
      </c>
      <c r="AL14" s="55">
        <f t="shared" si="16"/>
        <v>0</v>
      </c>
      <c r="AM14" s="55">
        <f t="shared" si="16"/>
        <v>0</v>
      </c>
      <c r="AN14" s="55">
        <f t="shared" si="16"/>
        <v>40</v>
      </c>
      <c r="AO14" s="55">
        <f t="shared" si="16"/>
        <v>0</v>
      </c>
      <c r="AP14" s="55">
        <f t="shared" si="16"/>
        <v>0</v>
      </c>
      <c r="AQ14" s="55">
        <f t="shared" si="16"/>
        <v>0</v>
      </c>
      <c r="AR14" s="55"/>
    </row>
    <row r="15" spans="1:44" ht="18" customHeight="1">
      <c r="A15" s="89">
        <v>6</v>
      </c>
      <c r="B15" s="90" t="s">
        <v>24</v>
      </c>
      <c r="C15" s="113">
        <f t="shared" si="14"/>
        <v>35800</v>
      </c>
      <c r="D15" s="109">
        <f t="shared" si="3"/>
        <v>14320</v>
      </c>
      <c r="E15" s="110">
        <f t="shared" si="4"/>
        <v>573</v>
      </c>
      <c r="F15" s="110">
        <f t="shared" si="5"/>
        <v>14893</v>
      </c>
      <c r="G15" s="110">
        <f t="shared" si="15"/>
        <v>13690</v>
      </c>
      <c r="H15" s="109">
        <f t="shared" si="6"/>
        <v>5476</v>
      </c>
      <c r="I15" s="110">
        <f t="shared" si="7"/>
        <v>7447</v>
      </c>
      <c r="J15" s="110">
        <f t="shared" si="8"/>
        <v>12923</v>
      </c>
      <c r="K15" s="114">
        <f t="shared" si="0"/>
        <v>8844</v>
      </c>
      <c r="L15" s="114">
        <f t="shared" si="1"/>
        <v>-6874</v>
      </c>
      <c r="M15" s="114">
        <f t="shared" si="2"/>
        <v>1970</v>
      </c>
      <c r="N15" s="109">
        <f t="shared" si="9"/>
        <v>1970</v>
      </c>
      <c r="O15" s="109">
        <f t="shared" si="10"/>
        <v>197</v>
      </c>
      <c r="P15" s="109">
        <f t="shared" si="11"/>
        <v>177</v>
      </c>
      <c r="Q15" s="110">
        <f t="shared" si="12"/>
        <v>374</v>
      </c>
      <c r="R15" s="112">
        <f t="shared" si="13"/>
        <v>1596</v>
      </c>
      <c r="S15" s="94"/>
      <c r="T15" s="95"/>
      <c r="W15" s="55"/>
      <c r="X15" s="55">
        <f t="shared" ref="X15:AQ15" si="17">SUM(X11:X14)</f>
        <v>29788</v>
      </c>
      <c r="Y15" s="55">
        <f t="shared" si="17"/>
        <v>106452</v>
      </c>
      <c r="Z15" s="55">
        <f t="shared" si="17"/>
        <v>35376</v>
      </c>
      <c r="AA15" s="55">
        <f t="shared" si="17"/>
        <v>-27496</v>
      </c>
      <c r="AB15" s="55">
        <f t="shared" si="17"/>
        <v>7880</v>
      </c>
      <c r="AC15" s="55">
        <f t="shared" si="17"/>
        <v>7880</v>
      </c>
      <c r="AD15" s="55">
        <f t="shared" si="17"/>
        <v>788</v>
      </c>
      <c r="AE15" s="55">
        <f t="shared" si="17"/>
        <v>708</v>
      </c>
      <c r="AF15" s="55">
        <f t="shared" si="17"/>
        <v>1496</v>
      </c>
      <c r="AG15" s="55">
        <f t="shared" si="17"/>
        <v>6384</v>
      </c>
      <c r="AH15" s="55">
        <f t="shared" si="17"/>
        <v>0</v>
      </c>
      <c r="AI15" s="55">
        <f t="shared" si="17"/>
        <v>0</v>
      </c>
      <c r="AJ15" s="55">
        <f t="shared" si="17"/>
        <v>0</v>
      </c>
      <c r="AK15" s="55">
        <f t="shared" si="17"/>
        <v>0</v>
      </c>
      <c r="AL15" s="55">
        <f t="shared" si="17"/>
        <v>0</v>
      </c>
      <c r="AM15" s="55">
        <f t="shared" si="17"/>
        <v>0</v>
      </c>
      <c r="AN15" s="55">
        <f t="shared" si="17"/>
        <v>160</v>
      </c>
      <c r="AO15" s="55">
        <f t="shared" si="17"/>
        <v>0</v>
      </c>
      <c r="AP15" s="55">
        <f t="shared" si="17"/>
        <v>0</v>
      </c>
      <c r="AQ15" s="55">
        <f t="shared" si="17"/>
        <v>0</v>
      </c>
      <c r="AR15" s="55"/>
    </row>
    <row r="16" spans="1:44" ht="18" customHeight="1">
      <c r="A16" s="89">
        <v>7</v>
      </c>
      <c r="B16" s="90" t="s">
        <v>25</v>
      </c>
      <c r="C16" s="113">
        <f>MROUND(C15*1.03,100)</f>
        <v>36900</v>
      </c>
      <c r="D16" s="109">
        <f t="shared" si="3"/>
        <v>14760</v>
      </c>
      <c r="E16" s="110">
        <f>ROUND((D16*5%),0)</f>
        <v>738</v>
      </c>
      <c r="F16" s="110">
        <f t="shared" si="5"/>
        <v>15498</v>
      </c>
      <c r="G16" s="110">
        <f>ROUNDUP(ROUND(G15*1.03,),-1)</f>
        <v>14110</v>
      </c>
      <c r="H16" s="109">
        <f t="shared" si="6"/>
        <v>5644</v>
      </c>
      <c r="I16" s="110">
        <f>IF(AND($S$4=""),"",IF(AND(D16=""),"",IF(AND($AC$4=$Z$7),"",ROUND((H16*139%),0))))</f>
        <v>7845</v>
      </c>
      <c r="J16" s="110">
        <f t="shared" si="8"/>
        <v>13489</v>
      </c>
      <c r="K16" s="109">
        <f t="shared" si="0"/>
        <v>9116</v>
      </c>
      <c r="L16" s="109">
        <f t="shared" si="1"/>
        <v>-7107</v>
      </c>
      <c r="M16" s="109">
        <f t="shared" si="2"/>
        <v>2009</v>
      </c>
      <c r="N16" s="109">
        <f t="shared" si="9"/>
        <v>2009</v>
      </c>
      <c r="O16" s="109">
        <f t="shared" si="10"/>
        <v>201</v>
      </c>
      <c r="P16" s="109">
        <f t="shared" si="11"/>
        <v>181</v>
      </c>
      <c r="Q16" s="110">
        <f t="shared" si="12"/>
        <v>382</v>
      </c>
      <c r="R16" s="112">
        <f t="shared" si="13"/>
        <v>1627</v>
      </c>
      <c r="S16" s="94"/>
      <c r="T16" s="95"/>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ONE  Lac.  SIX  THOUSAND  FOUR  HUNDRED  FIFTY  TWO  Only)</v>
      </c>
      <c r="AA16" s="2"/>
      <c r="AD16" s="1">
        <v>4</v>
      </c>
      <c r="AF16" s="3">
        <f>IF(AND($AJ$4=$AG$3),AE13,AF15)</f>
        <v>1496</v>
      </c>
      <c r="AH16" s="3">
        <f>IF(AND($AJ$4=$AG$3),AG13,AH15)</f>
        <v>0</v>
      </c>
    </row>
    <row r="17" spans="1:34" ht="18" customHeight="1">
      <c r="A17" s="89">
        <v>8</v>
      </c>
      <c r="B17" s="90" t="s">
        <v>26</v>
      </c>
      <c r="C17" s="113">
        <f t="shared" si="14"/>
        <v>36900</v>
      </c>
      <c r="D17" s="109">
        <f t="shared" si="3"/>
        <v>14760</v>
      </c>
      <c r="E17" s="110">
        <f t="shared" ref="E17:E18" si="18">ROUND((D17*5%),0)</f>
        <v>738</v>
      </c>
      <c r="F17" s="110">
        <f t="shared" si="5"/>
        <v>15498</v>
      </c>
      <c r="G17" s="110">
        <f t="shared" si="15"/>
        <v>14110</v>
      </c>
      <c r="H17" s="109">
        <f t="shared" si="6"/>
        <v>5644</v>
      </c>
      <c r="I17" s="110">
        <f t="shared" ref="I17:I18" si="19">IF(AND($S$4=""),"",IF(AND(D17=""),"",IF(AND($AC$4=$Z$7),"",ROUND((H17*139%),0))))</f>
        <v>7845</v>
      </c>
      <c r="J17" s="110">
        <f t="shared" si="8"/>
        <v>13489</v>
      </c>
      <c r="K17" s="109">
        <f t="shared" si="0"/>
        <v>9116</v>
      </c>
      <c r="L17" s="109">
        <f t="shared" si="1"/>
        <v>-7107</v>
      </c>
      <c r="M17" s="109">
        <f t="shared" si="2"/>
        <v>2009</v>
      </c>
      <c r="N17" s="109">
        <f t="shared" si="9"/>
        <v>2009</v>
      </c>
      <c r="O17" s="109">
        <f t="shared" si="10"/>
        <v>201</v>
      </c>
      <c r="P17" s="109">
        <f t="shared" si="11"/>
        <v>181</v>
      </c>
      <c r="Q17" s="110">
        <f t="shared" si="12"/>
        <v>382</v>
      </c>
      <c r="R17" s="112">
        <f t="shared" si="13"/>
        <v>1627</v>
      </c>
      <c r="S17" s="94"/>
      <c r="T17" s="95"/>
      <c r="Y17" s="1">
        <f>IF(AND($S$4=""),"",M22)</f>
        <v>14457</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FOURTEEN  THOUSAND  FOUR  HUNDRED  FIFTY  SEVEN  Only)</v>
      </c>
      <c r="AD17" s="1">
        <v>5</v>
      </c>
      <c r="AF17" s="3">
        <f>IF(AND($AK$4=$AG$3),AE13,AF16)</f>
        <v>1496</v>
      </c>
      <c r="AH17" s="3">
        <f>IF(AND($AK$4=$AG$3),AG13,AH16)</f>
        <v>0</v>
      </c>
    </row>
    <row r="18" spans="1:34" ht="18" customHeight="1" thickBot="1">
      <c r="A18" s="89">
        <v>9</v>
      </c>
      <c r="B18" s="90" t="s">
        <v>27</v>
      </c>
      <c r="C18" s="113">
        <f t="shared" si="14"/>
        <v>36900</v>
      </c>
      <c r="D18" s="109">
        <f t="shared" si="3"/>
        <v>14760</v>
      </c>
      <c r="E18" s="110">
        <f t="shared" si="18"/>
        <v>738</v>
      </c>
      <c r="F18" s="110">
        <f t="shared" si="5"/>
        <v>15498</v>
      </c>
      <c r="G18" s="110">
        <f t="shared" si="15"/>
        <v>14110</v>
      </c>
      <c r="H18" s="109">
        <f t="shared" si="6"/>
        <v>5644</v>
      </c>
      <c r="I18" s="110">
        <f t="shared" si="19"/>
        <v>7845</v>
      </c>
      <c r="J18" s="110">
        <f t="shared" si="8"/>
        <v>13489</v>
      </c>
      <c r="K18" s="114">
        <f t="shared" si="0"/>
        <v>9116</v>
      </c>
      <c r="L18" s="114">
        <f t="shared" si="1"/>
        <v>-7107</v>
      </c>
      <c r="M18" s="114">
        <f t="shared" si="2"/>
        <v>2009</v>
      </c>
      <c r="N18" s="109">
        <f>M18</f>
        <v>2009</v>
      </c>
      <c r="O18" s="109">
        <f t="shared" si="10"/>
        <v>201</v>
      </c>
      <c r="P18" s="109">
        <f t="shared" si="11"/>
        <v>181</v>
      </c>
      <c r="Q18" s="110">
        <f t="shared" si="12"/>
        <v>382</v>
      </c>
      <c r="R18" s="112">
        <f t="shared" si="13"/>
        <v>1627</v>
      </c>
      <c r="S18" s="94"/>
      <c r="T18" s="95"/>
      <c r="AA18" s="2"/>
      <c r="AD18" s="1">
        <v>6</v>
      </c>
      <c r="AF18" s="3">
        <f>IF(AND($AL$4=$AG$3),AE13,AF17)</f>
        <v>1496</v>
      </c>
      <c r="AH18" s="3">
        <f>IF(AND($AL$4=$AG$3),AG13,AH17)</f>
        <v>0</v>
      </c>
    </row>
    <row r="19" spans="1:34" ht="15.75" hidden="1" thickBot="1">
      <c r="A19" s="89"/>
      <c r="B19" s="91"/>
      <c r="C19" s="91"/>
      <c r="D19" s="91"/>
      <c r="E19" s="114"/>
      <c r="F19" s="109"/>
      <c r="G19" s="110">
        <f t="shared" si="15"/>
        <v>14110</v>
      </c>
      <c r="H19" s="114"/>
      <c r="I19" s="114"/>
      <c r="J19" s="110"/>
      <c r="K19" s="114"/>
      <c r="L19" s="114"/>
      <c r="M19" s="114"/>
      <c r="N19" s="109"/>
      <c r="O19" s="109"/>
      <c r="P19" s="109"/>
      <c r="Q19" s="94"/>
      <c r="R19" s="112"/>
      <c r="S19" s="94"/>
      <c r="T19" s="95"/>
      <c r="AA19" s="2"/>
      <c r="AD19" s="1">
        <v>7</v>
      </c>
      <c r="AF19" s="3">
        <f>IF(AND(AK13&gt;=8),"",IF(AND($AM$4=$AG$3),AE13,MROUND(AF18*1.03,100)))</f>
        <v>1500</v>
      </c>
      <c r="AH19" s="3">
        <f>IF(AND(AK13&gt;=8),"",IF(AND($AM$4=$AG$3),AG13,ROUNDUP(ROUND(AH18*1.03,),-1)))</f>
        <v>0</v>
      </c>
    </row>
    <row r="20" spans="1:34" ht="15.75" hidden="1" thickBot="1">
      <c r="A20" s="89"/>
      <c r="B20" s="91"/>
      <c r="C20" s="91"/>
      <c r="D20" s="91"/>
      <c r="E20" s="114"/>
      <c r="F20" s="109"/>
      <c r="G20" s="110">
        <f t="shared" si="15"/>
        <v>14110</v>
      </c>
      <c r="H20" s="114"/>
      <c r="I20" s="114"/>
      <c r="J20" s="110"/>
      <c r="K20" s="114"/>
      <c r="L20" s="114"/>
      <c r="M20" s="114"/>
      <c r="N20" s="109"/>
      <c r="O20" s="109"/>
      <c r="P20" s="109"/>
      <c r="Q20" s="94"/>
      <c r="R20" s="112"/>
      <c r="S20" s="94"/>
      <c r="T20" s="95"/>
      <c r="V20" s="53"/>
      <c r="AA20" s="2"/>
      <c r="AD20" s="1">
        <v>8</v>
      </c>
      <c r="AF20" s="3">
        <f>IF(AND($AN$4=$AG$3),AE13,AF19)</f>
        <v>1500</v>
      </c>
      <c r="AH20" s="39">
        <f>IF(AND($AN$4=$AG$3),AG13,AH19)</f>
        <v>0</v>
      </c>
    </row>
    <row r="21" spans="1:34" ht="20.25" thickTop="1" thickBot="1">
      <c r="A21" s="230" t="s">
        <v>28</v>
      </c>
      <c r="B21" s="231"/>
      <c r="C21" s="93"/>
      <c r="D21" s="115">
        <f t="shared" ref="D21:R21" si="20">IF(AND($S$4=""),"",SUM(D10:D20))</f>
        <v>130200</v>
      </c>
      <c r="E21" s="115">
        <f t="shared" si="20"/>
        <v>5652</v>
      </c>
      <c r="F21" s="115">
        <f t="shared" si="20"/>
        <v>135852</v>
      </c>
      <c r="G21" s="115"/>
      <c r="H21" s="116">
        <f t="shared" si="20"/>
        <v>49788</v>
      </c>
      <c r="I21" s="116">
        <f t="shared" si="20"/>
        <v>68217</v>
      </c>
      <c r="J21" s="116">
        <f t="shared" si="20"/>
        <v>118005</v>
      </c>
      <c r="K21" s="116">
        <f t="shared" si="20"/>
        <v>80412</v>
      </c>
      <c r="L21" s="116">
        <f t="shared" si="20"/>
        <v>-62565</v>
      </c>
      <c r="M21" s="116">
        <f t="shared" si="20"/>
        <v>17847</v>
      </c>
      <c r="N21" s="116">
        <f t="shared" si="20"/>
        <v>17847</v>
      </c>
      <c r="O21" s="116">
        <f t="shared" si="20"/>
        <v>1785</v>
      </c>
      <c r="P21" s="116">
        <f t="shared" si="20"/>
        <v>1605</v>
      </c>
      <c r="Q21" s="116">
        <f t="shared" si="20"/>
        <v>3390</v>
      </c>
      <c r="R21" s="117">
        <f t="shared" si="20"/>
        <v>14457</v>
      </c>
      <c r="S21" s="185"/>
      <c r="T21" s="186"/>
      <c r="AD21" s="1">
        <v>9</v>
      </c>
      <c r="AF21" s="3">
        <f>IF(AND($AO$4=$AG$3),AE13,AF20)</f>
        <v>1500</v>
      </c>
      <c r="AH21" s="40">
        <f>IF(AND($AO$4=$AG$3),AG13,AH20)</f>
        <v>0</v>
      </c>
    </row>
    <row r="22" spans="1:34" ht="18.75" thickTop="1" thickBot="1">
      <c r="A22" s="118"/>
      <c r="B22" s="85" t="s">
        <v>75</v>
      </c>
      <c r="C22" s="85"/>
      <c r="D22" s="232" t="str">
        <f>IF(AND(S$4=""),"",IF(AND(AE7&lt;=AE8),"01-01-2017",AE7))</f>
        <v>01-01-2017</v>
      </c>
      <c r="E22" s="232"/>
      <c r="F22" s="233" t="s">
        <v>100</v>
      </c>
      <c r="G22" s="233"/>
      <c r="H22" s="233"/>
      <c r="I22" s="233"/>
      <c r="J22" s="233"/>
      <c r="K22" s="233"/>
      <c r="L22" s="233"/>
      <c r="M22" s="234">
        <f>IF(AND(S4=""),"",IF(AND(AB4=$AA$7),R21,O21))</f>
        <v>14457</v>
      </c>
      <c r="N22" s="234"/>
      <c r="O22" s="235" t="str">
        <f>IF(AND(S$4=""),"",IF(AND(AB4=$AA$7),"dk udn Hkqxrku fd;k x;k A","jkf'k thih,Q esa tek A"))</f>
        <v>dk udn Hkqxrku fd;k x;k A</v>
      </c>
      <c r="P22" s="235"/>
      <c r="Q22" s="235"/>
      <c r="R22" s="235"/>
      <c r="S22" s="119"/>
      <c r="T22" s="120"/>
      <c r="W22" s="59"/>
      <c r="AF22" s="39"/>
      <c r="AH22" s="39"/>
    </row>
    <row r="23" spans="1:34" ht="20.25" thickTop="1" thickBot="1">
      <c r="A23" s="100"/>
      <c r="B23" s="107"/>
      <c r="C23" s="107"/>
      <c r="D23" s="107"/>
      <c r="E23" s="222"/>
      <c r="F23" s="222"/>
      <c r="G23" s="222"/>
      <c r="H23" s="222"/>
      <c r="I23" s="222"/>
      <c r="J23" s="107"/>
      <c r="K23" s="107"/>
      <c r="L23" s="223" t="s">
        <v>98</v>
      </c>
      <c r="M23" s="223"/>
      <c r="N23" s="223"/>
      <c r="O23" s="223"/>
      <c r="P23" s="224">
        <f>IF(AND($S$4=""),"",N21)</f>
        <v>17847</v>
      </c>
      <c r="Q23" s="224"/>
      <c r="R23" s="225" t="s">
        <v>61</v>
      </c>
      <c r="S23" s="225"/>
      <c r="T23" s="226"/>
      <c r="AF23" s="40"/>
      <c r="AH23" s="40"/>
    </row>
    <row r="24" spans="1:34" ht="21" customHeight="1" thickTop="1">
      <c r="A24" s="100"/>
      <c r="B24" s="227" t="str">
        <f>IF(AND($S$4=""),"",IF(AND(H4=""),"",IF(AND(F7=""),"",F7)))</f>
        <v>Third installment of Arrear on 01-10-2018 (40% Amount)</v>
      </c>
      <c r="C24" s="227"/>
      <c r="D24" s="227"/>
      <c r="E24" s="227"/>
      <c r="F24" s="227"/>
      <c r="G24" s="227"/>
      <c r="H24" s="227"/>
      <c r="I24" s="227"/>
      <c r="J24" s="227"/>
      <c r="K24" s="227"/>
      <c r="L24" s="223" t="str">
        <f>IF(AND(S4=""),"",IF(AND(AB4=$AA$7),",u-ih-,l- dVkSrh","jkf'k thih,Q esa tek A"))</f>
        <v>,u-ih-,l- dVkSrh</v>
      </c>
      <c r="M24" s="223"/>
      <c r="N24" s="223"/>
      <c r="O24" s="223"/>
      <c r="P24" s="224">
        <f>IF(AND($S$4=""),"",O21)</f>
        <v>1785</v>
      </c>
      <c r="Q24" s="224"/>
      <c r="R24" s="228" t="str">
        <f>IF(AND($S$4=""),"",Z17)</f>
        <v>( Rs.   FOURTEEN  THOUSAND  FOUR  HUNDRED  FIFTY  SEVEN  Only)</v>
      </c>
      <c r="S24" s="228"/>
      <c r="T24" s="229"/>
      <c r="AF24" s="4"/>
      <c r="AH24" s="4"/>
    </row>
    <row r="25" spans="1:34" ht="21" customHeight="1">
      <c r="A25" s="100"/>
      <c r="B25" s="92"/>
      <c r="C25" s="92"/>
      <c r="D25" s="219"/>
      <c r="E25" s="219"/>
      <c r="F25" s="219"/>
      <c r="G25" s="219"/>
      <c r="H25" s="219"/>
      <c r="I25" s="219"/>
      <c r="J25" s="121"/>
      <c r="K25" s="121"/>
      <c r="L25" s="223" t="s">
        <v>59</v>
      </c>
      <c r="M25" s="223"/>
      <c r="N25" s="223"/>
      <c r="O25" s="223"/>
      <c r="P25" s="224">
        <f>IF(AND($S$4=""),"",P21)</f>
        <v>1605</v>
      </c>
      <c r="Q25" s="224"/>
      <c r="R25" s="228"/>
      <c r="S25" s="228"/>
      <c r="T25" s="229"/>
    </row>
    <row r="26" spans="1:34" ht="15.75">
      <c r="A26" s="122"/>
      <c r="B26" s="123"/>
      <c r="C26" s="123"/>
      <c r="D26" s="214"/>
      <c r="E26" s="214"/>
      <c r="F26" s="214"/>
      <c r="G26" s="214"/>
      <c r="H26" s="214"/>
      <c r="I26" s="214"/>
      <c r="J26" s="124"/>
      <c r="K26" s="124"/>
      <c r="L26" s="215" t="s">
        <v>60</v>
      </c>
      <c r="M26" s="215"/>
      <c r="N26" s="215"/>
      <c r="O26" s="215"/>
      <c r="P26" s="216">
        <f>IF(AND(AB4=$AA$7),SUM(P23-P24-P25),0)</f>
        <v>14457</v>
      </c>
      <c r="Q26" s="216"/>
      <c r="R26" s="217" t="str">
        <f>IF(AND(S$4=""),"",IF(AND(AB4=$AA$7),"dk udn Hkqxrku fd;k x;k","jkf'k thih,Q esa tek"))</f>
        <v>dk udn Hkqxrku fd;k x;k</v>
      </c>
      <c r="S26" s="217"/>
      <c r="T26" s="218"/>
    </row>
    <row r="27" spans="1:34" ht="18.75">
      <c r="A27" s="100"/>
      <c r="B27" s="92"/>
      <c r="C27" s="92"/>
      <c r="D27" s="219"/>
      <c r="E27" s="219"/>
      <c r="F27" s="219"/>
      <c r="G27" s="219"/>
      <c r="H27" s="219"/>
      <c r="I27" s="219"/>
      <c r="J27" s="121"/>
      <c r="K27" s="121"/>
      <c r="L27" s="121"/>
      <c r="M27" s="125"/>
      <c r="N27" s="125"/>
      <c r="O27" s="107"/>
      <c r="P27" s="107"/>
      <c r="Q27" s="126"/>
      <c r="R27" s="126"/>
      <c r="S27" s="126"/>
      <c r="T27" s="127"/>
    </row>
    <row r="28" spans="1:34" ht="19.5" customHeight="1">
      <c r="A28" s="100"/>
      <c r="B28" s="92"/>
      <c r="C28" s="92"/>
      <c r="D28" s="128"/>
      <c r="E28" s="128"/>
      <c r="F28" s="128"/>
      <c r="G28" s="128"/>
      <c r="H28" s="128"/>
      <c r="I28" s="128"/>
      <c r="J28" s="121"/>
      <c r="K28" s="121"/>
      <c r="L28" s="121"/>
      <c r="M28" s="125"/>
      <c r="N28" s="125"/>
      <c r="O28" s="107"/>
      <c r="P28" s="107"/>
      <c r="Q28" s="126"/>
      <c r="R28" s="220" t="str">
        <f>CONCATENATE("(  ",Master!C4," )")</f>
        <v>(  Mishari lal )</v>
      </c>
      <c r="S28" s="220"/>
      <c r="T28" s="221"/>
    </row>
    <row r="29" spans="1:34" ht="15.75">
      <c r="A29" s="100"/>
      <c r="B29" s="107"/>
      <c r="C29" s="107"/>
      <c r="D29" s="107"/>
      <c r="E29" s="107"/>
      <c r="F29" s="107"/>
      <c r="G29" s="107"/>
      <c r="H29" s="107"/>
      <c r="I29" s="107"/>
      <c r="J29" s="107"/>
      <c r="K29" s="107"/>
      <c r="L29" s="107"/>
      <c r="M29" s="107"/>
      <c r="N29" s="107"/>
      <c r="O29" s="107"/>
      <c r="P29" s="107"/>
      <c r="Q29" s="107"/>
      <c r="R29" s="210" t="s">
        <v>70</v>
      </c>
      <c r="S29" s="210"/>
      <c r="T29" s="211"/>
    </row>
    <row r="30" spans="1:34" ht="16.5" thickBot="1">
      <c r="A30" s="129"/>
      <c r="B30" s="130"/>
      <c r="C30" s="130"/>
      <c r="D30" s="130"/>
      <c r="E30" s="130"/>
      <c r="F30" s="130"/>
      <c r="G30" s="130"/>
      <c r="H30" s="130"/>
      <c r="I30" s="130"/>
      <c r="J30" s="130"/>
      <c r="K30" s="130"/>
      <c r="L30" s="130"/>
      <c r="M30" s="130"/>
      <c r="N30" s="130"/>
      <c r="O30" s="130"/>
      <c r="P30" s="130"/>
      <c r="Q30" s="130"/>
      <c r="R30" s="212" t="s">
        <v>71</v>
      </c>
      <c r="S30" s="212"/>
      <c r="T30" s="213"/>
    </row>
  </sheetData>
  <sheetProtection password="C1FB" sheet="1" objects="1" scenarios="1"/>
  <mergeCells count="46">
    <mergeCell ref="B2:S2"/>
    <mergeCell ref="B3:S3"/>
    <mergeCell ref="D4:F4"/>
    <mergeCell ref="H4:J4"/>
    <mergeCell ref="K4:L4"/>
    <mergeCell ref="M4:P4"/>
    <mergeCell ref="Q4:R4"/>
    <mergeCell ref="U4:V4"/>
    <mergeCell ref="B5:S5"/>
    <mergeCell ref="D6:R6"/>
    <mergeCell ref="F7:O7"/>
    <mergeCell ref="A8:A9"/>
    <mergeCell ref="B8:B9"/>
    <mergeCell ref="K8:M8"/>
    <mergeCell ref="N8:N9"/>
    <mergeCell ref="O8:Q8"/>
    <mergeCell ref="R8:R9"/>
    <mergeCell ref="S8:S9"/>
    <mergeCell ref="T8:T9"/>
    <mergeCell ref="C8:F8"/>
    <mergeCell ref="G8:J8"/>
    <mergeCell ref="A21:B21"/>
    <mergeCell ref="S21:T21"/>
    <mergeCell ref="D22:E22"/>
    <mergeCell ref="F22:L22"/>
    <mergeCell ref="M22:N22"/>
    <mergeCell ref="O22:R22"/>
    <mergeCell ref="E23:I23"/>
    <mergeCell ref="L23:O23"/>
    <mergeCell ref="P23:Q23"/>
    <mergeCell ref="R23:T23"/>
    <mergeCell ref="B24:K24"/>
    <mergeCell ref="L24:O24"/>
    <mergeCell ref="P24:Q24"/>
    <mergeCell ref="R24:T25"/>
    <mergeCell ref="D25:I25"/>
    <mergeCell ref="L25:O25"/>
    <mergeCell ref="P25:Q25"/>
    <mergeCell ref="R29:T29"/>
    <mergeCell ref="R30:T30"/>
    <mergeCell ref="D26:I26"/>
    <mergeCell ref="L26:O26"/>
    <mergeCell ref="P26:Q26"/>
    <mergeCell ref="R26:T26"/>
    <mergeCell ref="D27:I27"/>
    <mergeCell ref="R28:T28"/>
  </mergeCells>
  <dataValidations count="1">
    <dataValidation type="list" allowBlank="1" showInputMessage="1" showErrorMessage="1" sqref="F7:G7">
      <formula1>$Z$1:$Z$4</formula1>
    </dataValidation>
  </dataValidations>
  <pageMargins left="0.7" right="0.45" top="0.75" bottom="0.75" header="0.3" footer="0.3"/>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Pri Pay Manager</vt:lpstr>
      <vt:lpstr>Unlock Sheet</vt:lpstr>
      <vt:lpstr>'Pri Pay Manager'!Print_Area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2018-10-07T02:05:00Z</dcterms:modified>
</cp:coreProperties>
</file>