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Unlock Sheet 100%" sheetId="15" r:id="rId1"/>
    <sheet name="Unlock Arrear Sheet 70%" sheetId="16" r:id="rId2"/>
  </sheets>
  <definedNames>
    <definedName name="_xlnm.Print_Area" localSheetId="1">'Unlock Arrear Sheet 70%'!$A$1:$R$32</definedName>
    <definedName name="_xlnm.Print_Area" localSheetId="0">'Unlock Sheet 100%'!$A$1:$Q$30</definedName>
  </definedNames>
  <calcPr calcId="124519"/>
</workbook>
</file>

<file path=xl/calcChain.xml><?xml version="1.0" encoding="utf-8"?>
<calcChain xmlns="http://schemas.openxmlformats.org/spreadsheetml/2006/main">
  <c r="D22" i="15"/>
  <c r="C22" i="16"/>
  <c r="L11"/>
  <c r="L12"/>
  <c r="L13"/>
  <c r="L14"/>
  <c r="L15"/>
  <c r="L16"/>
  <c r="L17"/>
  <c r="L18"/>
  <c r="L10"/>
  <c r="I10"/>
  <c r="A24" l="1"/>
  <c r="F11"/>
  <c r="F12" s="1"/>
  <c r="F13" s="1"/>
  <c r="D11"/>
  <c r="C11"/>
  <c r="G10"/>
  <c r="J10" s="1"/>
  <c r="K10" s="1"/>
  <c r="D10"/>
  <c r="Z4"/>
  <c r="M9" s="1"/>
  <c r="D10" i="15"/>
  <c r="Y4"/>
  <c r="I10"/>
  <c r="G10"/>
  <c r="F11"/>
  <c r="F12" s="1"/>
  <c r="F13" s="1"/>
  <c r="F14" s="1"/>
  <c r="F15" s="1"/>
  <c r="C11"/>
  <c r="C12" s="1"/>
  <c r="C13" s="1"/>
  <c r="C14" s="1"/>
  <c r="C15" s="1"/>
  <c r="C16" s="1"/>
  <c r="C17" l="1"/>
  <c r="G11" i="16"/>
  <c r="J11" s="1"/>
  <c r="H10"/>
  <c r="E11"/>
  <c r="C12"/>
  <c r="C13" s="1"/>
  <c r="I13" s="1"/>
  <c r="L9" i="15"/>
  <c r="F14" i="16"/>
  <c r="G13"/>
  <c r="C14"/>
  <c r="I12"/>
  <c r="M22"/>
  <c r="P26"/>
  <c r="V10"/>
  <c r="I11"/>
  <c r="D12"/>
  <c r="G12"/>
  <c r="J24"/>
  <c r="G14" i="15"/>
  <c r="G12"/>
  <c r="H12" s="1"/>
  <c r="J10"/>
  <c r="H10"/>
  <c r="F16"/>
  <c r="G15"/>
  <c r="G13"/>
  <c r="G11"/>
  <c r="H14"/>
  <c r="C18"/>
  <c r="D14"/>
  <c r="D12"/>
  <c r="D16"/>
  <c r="D17"/>
  <c r="D15"/>
  <c r="D13"/>
  <c r="D11"/>
  <c r="E10"/>
  <c r="D13" i="16" l="1"/>
  <c r="J13" s="1"/>
  <c r="K13" s="1"/>
  <c r="H13"/>
  <c r="H13" i="15"/>
  <c r="K11" i="16"/>
  <c r="H11"/>
  <c r="C15"/>
  <c r="D14"/>
  <c r="I14"/>
  <c r="F15"/>
  <c r="G14"/>
  <c r="J12"/>
  <c r="H12"/>
  <c r="E12"/>
  <c r="E10"/>
  <c r="E13"/>
  <c r="G16" i="15"/>
  <c r="F17"/>
  <c r="H15"/>
  <c r="H11"/>
  <c r="E11"/>
  <c r="E15"/>
  <c r="E13"/>
  <c r="E17"/>
  <c r="K10"/>
  <c r="E16"/>
  <c r="D18"/>
  <c r="E14"/>
  <c r="E12"/>
  <c r="L10" l="1"/>
  <c r="J14" i="16"/>
  <c r="K14" s="1"/>
  <c r="H14"/>
  <c r="F16"/>
  <c r="G15"/>
  <c r="C16"/>
  <c r="I15"/>
  <c r="D15"/>
  <c r="E14"/>
  <c r="K12"/>
  <c r="M11"/>
  <c r="H16" i="15"/>
  <c r="F18"/>
  <c r="G17"/>
  <c r="E18"/>
  <c r="M10" l="1"/>
  <c r="N10" s="1"/>
  <c r="M14" i="16"/>
  <c r="J15"/>
  <c r="F17"/>
  <c r="G16"/>
  <c r="H16" s="1"/>
  <c r="M12"/>
  <c r="C17"/>
  <c r="I16"/>
  <c r="D16"/>
  <c r="J16" s="1"/>
  <c r="N11"/>
  <c r="O11" s="1"/>
  <c r="P11" s="1"/>
  <c r="E15"/>
  <c r="H15"/>
  <c r="M13"/>
  <c r="G18" i="15"/>
  <c r="H17"/>
  <c r="E16" i="16" l="1"/>
  <c r="I17"/>
  <c r="C18"/>
  <c r="D17"/>
  <c r="C21"/>
  <c r="F18"/>
  <c r="G17"/>
  <c r="N13"/>
  <c r="O13" s="1"/>
  <c r="P13" s="1"/>
  <c r="K16"/>
  <c r="M10"/>
  <c r="N10" s="1"/>
  <c r="N12"/>
  <c r="O12" s="1"/>
  <c r="P12" s="1"/>
  <c r="K15"/>
  <c r="N14"/>
  <c r="O14" s="1"/>
  <c r="P14" s="1"/>
  <c r="H18" i="15"/>
  <c r="G18" i="16" l="1"/>
  <c r="G21" s="1"/>
  <c r="D18"/>
  <c r="I18"/>
  <c r="M15"/>
  <c r="AL10"/>
  <c r="F21"/>
  <c r="H17"/>
  <c r="J17"/>
  <c r="J18" l="1"/>
  <c r="J21" s="1"/>
  <c r="D21"/>
  <c r="M16"/>
  <c r="E17"/>
  <c r="N15"/>
  <c r="O15" s="1"/>
  <c r="P15" s="1"/>
  <c r="I21"/>
  <c r="E18"/>
  <c r="O10"/>
  <c r="B24" i="15"/>
  <c r="P10" i="16" l="1"/>
  <c r="H18"/>
  <c r="H21" s="1"/>
  <c r="E21"/>
  <c r="N16"/>
  <c r="K18"/>
  <c r="K17"/>
  <c r="O26" i="15"/>
  <c r="J24"/>
  <c r="U10"/>
  <c r="L22"/>
  <c r="M18" i="16" l="1"/>
  <c r="M17"/>
  <c r="K21"/>
  <c r="O16"/>
  <c r="I11" i="15"/>
  <c r="P16" i="16" l="1"/>
  <c r="N17"/>
  <c r="W15"/>
  <c r="X16" s="1"/>
  <c r="L21"/>
  <c r="N23" s="1"/>
  <c r="M21"/>
  <c r="N24" s="1"/>
  <c r="N18"/>
  <c r="O18" s="1"/>
  <c r="P18" s="1"/>
  <c r="J11" i="15"/>
  <c r="I12"/>
  <c r="N21" i="16" l="1"/>
  <c r="N25" s="1"/>
  <c r="N26" s="1"/>
  <c r="O17"/>
  <c r="K11" i="15"/>
  <c r="O10"/>
  <c r="AK10"/>
  <c r="I13"/>
  <c r="J12"/>
  <c r="K12" s="1"/>
  <c r="L12" l="1"/>
  <c r="M12" s="1"/>
  <c r="L11"/>
  <c r="P17" i="16"/>
  <c r="P21" s="1"/>
  <c r="O21"/>
  <c r="J13" i="15"/>
  <c r="K13" s="1"/>
  <c r="I14"/>
  <c r="K22" i="16" l="1"/>
  <c r="W17" s="1"/>
  <c r="X17" s="1"/>
  <c r="P24" s="1"/>
  <c r="M11" i="15"/>
  <c r="N11" s="1"/>
  <c r="O11" s="1"/>
  <c r="L13"/>
  <c r="M13" s="1"/>
  <c r="J14"/>
  <c r="K14" s="1"/>
  <c r="I15"/>
  <c r="L14" l="1"/>
  <c r="M14" s="1"/>
  <c r="J15"/>
  <c r="K15" s="1"/>
  <c r="N13"/>
  <c r="O13" s="1"/>
  <c r="I16"/>
  <c r="F21"/>
  <c r="L15" l="1"/>
  <c r="M15" s="1"/>
  <c r="N14"/>
  <c r="O14" s="1"/>
  <c r="J16"/>
  <c r="K16" s="1"/>
  <c r="I17"/>
  <c r="C21"/>
  <c r="N12"/>
  <c r="O12" s="1"/>
  <c r="I18"/>
  <c r="L16" l="1"/>
  <c r="M16" s="1"/>
  <c r="J17"/>
  <c r="K17" s="1"/>
  <c r="J18"/>
  <c r="K18" s="1"/>
  <c r="D21"/>
  <c r="I21"/>
  <c r="H21"/>
  <c r="N15"/>
  <c r="O15" s="1"/>
  <c r="G21"/>
  <c r="L18" l="1"/>
  <c r="L17"/>
  <c r="M17" s="1"/>
  <c r="K21"/>
  <c r="M23" s="1"/>
  <c r="J21"/>
  <c r="E21"/>
  <c r="M18" l="1"/>
  <c r="V15"/>
  <c r="W16"/>
  <c r="N16"/>
  <c r="O16" s="1"/>
  <c r="N18" l="1"/>
  <c r="O18" s="1"/>
  <c r="M21"/>
  <c r="M25" s="1"/>
  <c r="L21"/>
  <c r="M24" l="1"/>
  <c r="N17"/>
  <c r="O17" s="1"/>
  <c r="O21" l="1"/>
  <c r="K22" s="1"/>
  <c r="V17" s="1"/>
  <c r="N21"/>
  <c r="W17" l="1"/>
  <c r="O24" s="1"/>
  <c r="M26"/>
</calcChain>
</file>

<file path=xl/sharedStrings.xml><?xml version="1.0" encoding="utf-8"?>
<sst xmlns="http://schemas.openxmlformats.org/spreadsheetml/2006/main" count="122" uniqueCount="59">
  <si>
    <t>YES</t>
  </si>
  <si>
    <t>Regular Pay</t>
  </si>
  <si>
    <t>NO</t>
  </si>
  <si>
    <t>Fix Pay</t>
  </si>
  <si>
    <t>GPF</t>
  </si>
  <si>
    <t>NPS</t>
  </si>
  <si>
    <t>S.N</t>
  </si>
  <si>
    <t>MONTH</t>
  </si>
  <si>
    <t>lkrosa osrueku ds vuqlkj osru tks feyuk gSa</t>
  </si>
  <si>
    <t>NBsa osrueku ds vuqlkj osru tks feyk gSa</t>
  </si>
  <si>
    <t>osru dk vUrj</t>
  </si>
  <si>
    <t>INCOME TAX     (TDS)</t>
  </si>
  <si>
    <t>TOTAL DED.</t>
  </si>
  <si>
    <t xml:space="preserve">NET PAY </t>
  </si>
  <si>
    <t>Bill No &amp; Date</t>
  </si>
  <si>
    <t>Enc.Date</t>
  </si>
  <si>
    <t>Pay</t>
  </si>
  <si>
    <t>DA</t>
  </si>
  <si>
    <t>TOTAL</t>
  </si>
  <si>
    <t>JAN-17</t>
  </si>
  <si>
    <t>FEB-17</t>
  </si>
  <si>
    <t>MAR-17</t>
  </si>
  <si>
    <t>APR-17</t>
  </si>
  <si>
    <t>MAY-17</t>
  </si>
  <si>
    <t>JUN-17</t>
  </si>
  <si>
    <t>JUL-17</t>
  </si>
  <si>
    <t>AUG-17</t>
  </si>
  <si>
    <t>SEPT-17</t>
  </si>
  <si>
    <t>Grand Total</t>
  </si>
  <si>
    <t>POST</t>
  </si>
  <si>
    <t>GOVERNMENT OF RAJASTHAN</t>
  </si>
  <si>
    <t>NAME OF EMPLOYEE</t>
  </si>
  <si>
    <r>
      <rPr>
        <b/>
        <sz val="11"/>
        <color theme="1"/>
        <rFont val="Calibri"/>
        <family val="2"/>
        <scheme val="minor"/>
      </rPr>
      <t>(T.D.S.%</t>
    </r>
    <r>
      <rPr>
        <b/>
        <sz val="11"/>
        <color theme="1"/>
        <rFont val="Kruti Dev 010"/>
      </rPr>
      <t xml:space="preserve"> dVkSfr </t>
    </r>
    <r>
      <rPr>
        <b/>
        <sz val="11"/>
        <color theme="1"/>
        <rFont val="Calibri"/>
        <family val="2"/>
        <scheme val="minor"/>
      </rPr>
      <t>)</t>
    </r>
  </si>
  <si>
    <r>
      <rPr>
        <b/>
        <sz val="11"/>
        <color theme="1"/>
        <rFont val="Calibri"/>
        <family val="2"/>
        <scheme val="minor"/>
      </rPr>
      <t>(</t>
    </r>
    <r>
      <rPr>
        <b/>
        <sz val="11"/>
        <color theme="1"/>
        <rFont val="Kruti Dev 010"/>
      </rPr>
      <t xml:space="preserve">'kq) Hkqxrku ;ksX; jkf'k </t>
    </r>
    <r>
      <rPr>
        <b/>
        <sz val="11"/>
        <color theme="1"/>
        <rFont val="Calibri"/>
        <family val="2"/>
        <scheme val="minor"/>
      </rPr>
      <t>)</t>
    </r>
  </si>
  <si>
    <t>v{kjs jkf'k</t>
  </si>
  <si>
    <t>Deducations</t>
  </si>
  <si>
    <t>Seal and Signature</t>
  </si>
  <si>
    <t>DDO</t>
  </si>
  <si>
    <t>Second installment of Arrear on 01-07-2018 (30% Amount)</t>
  </si>
  <si>
    <t>First installment of Arrear on 01-04-2018 (30% Amount)</t>
  </si>
  <si>
    <t>Third installment of Arrear on 01-10-2018 (40% Amount)</t>
  </si>
  <si>
    <t xml:space="preserve">fnukad </t>
  </si>
  <si>
    <t>thih,Q@,uih,l</t>
  </si>
  <si>
    <t xml:space="preserve"> </t>
  </si>
  <si>
    <t>AJAY KUMAR</t>
  </si>
  <si>
    <t xml:space="preserve">All installment of Arrear on 01-10-2018 </t>
  </si>
  <si>
    <r>
      <rPr>
        <b/>
        <sz val="11"/>
        <color theme="1"/>
        <rFont val="Calibri"/>
        <family val="2"/>
        <scheme val="minor"/>
      </rPr>
      <t>(</t>
    </r>
    <r>
      <rPr>
        <b/>
        <sz val="11"/>
        <color theme="1"/>
        <rFont val="Kruti Dev 010"/>
      </rPr>
      <t xml:space="preserve">dqy jkf'k </t>
    </r>
    <r>
      <rPr>
        <b/>
        <sz val="11"/>
        <color theme="1"/>
        <rFont val="Calibri"/>
        <family val="2"/>
        <scheme val="minor"/>
      </rPr>
      <t>)</t>
    </r>
  </si>
  <si>
    <r>
      <rPr>
        <b/>
        <sz val="11"/>
        <color theme="1"/>
        <rFont val="Calibri"/>
        <family val="2"/>
        <scheme val="minor"/>
      </rPr>
      <t>(70 %</t>
    </r>
    <r>
      <rPr>
        <b/>
        <sz val="11"/>
        <color theme="1"/>
        <rFont val="Kruti Dev 010"/>
      </rPr>
      <t xml:space="preserve"> jkf'k </t>
    </r>
    <r>
      <rPr>
        <b/>
        <sz val="11"/>
        <color theme="1"/>
        <rFont val="Calibri"/>
        <family val="2"/>
        <scheme val="minor"/>
      </rPr>
      <t>)</t>
    </r>
  </si>
  <si>
    <r>
      <t xml:space="preserve">ls </t>
    </r>
    <r>
      <rPr>
        <b/>
        <sz val="12"/>
        <color theme="1"/>
        <rFont val="Calibri"/>
        <family val="2"/>
        <scheme val="minor"/>
      </rPr>
      <t>30-09-2017</t>
    </r>
    <r>
      <rPr>
        <b/>
        <sz val="12"/>
        <color theme="1"/>
        <rFont val="Kruti Dev 010"/>
      </rPr>
      <t xml:space="preserve"> rd fQDls'ku ,fj;j dh </t>
    </r>
    <r>
      <rPr>
        <b/>
        <sz val="12"/>
        <color theme="1"/>
        <rFont val="Calibri"/>
        <family val="2"/>
        <scheme val="minor"/>
      </rPr>
      <t>70%</t>
    </r>
    <r>
      <rPr>
        <b/>
        <sz val="12"/>
        <color theme="1"/>
        <rFont val="Kruti Dev 010"/>
      </rPr>
      <t xml:space="preserve"> jkf'k </t>
    </r>
  </si>
  <si>
    <t>Office Of the Government Senior Secondary School NDERWARA , PALI</t>
  </si>
  <si>
    <t xml:space="preserve">Mandeep Singh </t>
  </si>
  <si>
    <t>P.T.I.</t>
  </si>
  <si>
    <t>MISHRI LAL</t>
  </si>
  <si>
    <t>Peon</t>
  </si>
  <si>
    <r>
      <t xml:space="preserve">ls </t>
    </r>
    <r>
      <rPr>
        <b/>
        <sz val="12"/>
        <color theme="1"/>
        <rFont val="Calibri"/>
        <family val="2"/>
        <scheme val="minor"/>
      </rPr>
      <t>30-09-2017</t>
    </r>
    <r>
      <rPr>
        <b/>
        <sz val="12"/>
        <color theme="1"/>
        <rFont val="Kruti Dev 010"/>
      </rPr>
      <t xml:space="preserve"> rd fQDls'ku ,fj;j dh jkf'k </t>
    </r>
  </si>
  <si>
    <t>FIXETION AREEAR   01-01-17   to  30-09-17</t>
  </si>
  <si>
    <t>Second &amp; Third installment of Arrear on 01-10-2018 (70% Amount)</t>
  </si>
  <si>
    <t>second &amp; Third install. of 70% Amount</t>
  </si>
  <si>
    <t>ije~ iwT; xq:nso oklqnso th egkjkt dks ueu</t>
  </si>
</sst>
</file>

<file path=xl/styles.xml><?xml version="1.0" encoding="utf-8"?>
<styleSheet xmlns="http://schemas.openxmlformats.org/spreadsheetml/2006/main">
  <numFmts count="1">
    <numFmt numFmtId="164" formatCode="#,##0_-[$₹-44D]"/>
  </numFmts>
  <fonts count="32">
    <font>
      <sz val="11"/>
      <color theme="1"/>
      <name val="Calibri"/>
      <family val="2"/>
      <scheme val="minor"/>
    </font>
    <font>
      <b/>
      <sz val="14"/>
      <color theme="1"/>
      <name val="Kruti Dev 010"/>
    </font>
    <font>
      <sz val="14"/>
      <color theme="1"/>
      <name val="Kruti Dev 010"/>
    </font>
    <font>
      <b/>
      <sz val="12"/>
      <color theme="1"/>
      <name val="Calibri"/>
      <family val="2"/>
      <scheme val="minor"/>
    </font>
    <font>
      <b/>
      <sz val="12"/>
      <color theme="1"/>
      <name val="Kruti Dev 010"/>
    </font>
    <font>
      <b/>
      <sz val="16"/>
      <name val="Kruti Dev 010"/>
    </font>
    <font>
      <sz val="16"/>
      <name val="Kruti Dev 010"/>
    </font>
    <font>
      <b/>
      <sz val="11"/>
      <name val="Calibri"/>
      <family val="2"/>
      <scheme val="minor"/>
    </font>
    <font>
      <b/>
      <sz val="12"/>
      <name val="Kruti Dev 010"/>
    </font>
    <font>
      <b/>
      <sz val="12"/>
      <name val="Calibri"/>
      <family val="2"/>
      <scheme val="minor"/>
    </font>
    <font>
      <b/>
      <sz val="8"/>
      <name val="Calibri"/>
      <family val="2"/>
      <scheme val="minor"/>
    </font>
    <font>
      <b/>
      <sz val="10"/>
      <name val="Calibri"/>
      <family val="2"/>
      <scheme val="minor"/>
    </font>
    <font>
      <sz val="9"/>
      <name val="Calibri"/>
      <family val="2"/>
      <scheme val="minor"/>
    </font>
    <font>
      <b/>
      <sz val="10"/>
      <color rgb="FFFF0000"/>
      <name val="Calibri"/>
      <family val="2"/>
      <scheme val="minor"/>
    </font>
    <font>
      <b/>
      <sz val="14"/>
      <color rgb="FFFF0000"/>
      <name val="Calibri"/>
      <family val="2"/>
      <scheme val="minor"/>
    </font>
    <font>
      <b/>
      <u/>
      <sz val="13"/>
      <color theme="1"/>
      <name val="Kruti Dev 010"/>
    </font>
    <font>
      <b/>
      <sz val="11"/>
      <color theme="1"/>
      <name val="Calibri"/>
      <family val="2"/>
      <scheme val="minor"/>
    </font>
    <font>
      <b/>
      <sz val="13"/>
      <color theme="1"/>
      <name val="Calibri"/>
      <family val="2"/>
      <scheme val="minor"/>
    </font>
    <font>
      <b/>
      <sz val="13"/>
      <color theme="1"/>
      <name val="Kruti Dev 010"/>
    </font>
    <font>
      <b/>
      <sz val="10"/>
      <name val="Kruti Dev 010"/>
    </font>
    <font>
      <b/>
      <sz val="9"/>
      <name val="Calibri"/>
      <family val="2"/>
      <scheme val="minor"/>
    </font>
    <font>
      <sz val="10"/>
      <name val="Arial"/>
      <family val="2"/>
    </font>
    <font>
      <sz val="10"/>
      <name val="Calibri"/>
      <family val="2"/>
      <scheme val="minor"/>
    </font>
    <font>
      <sz val="12"/>
      <name val="Calibri"/>
      <family val="2"/>
      <scheme val="minor"/>
    </font>
    <font>
      <b/>
      <sz val="14"/>
      <name val="Calibri"/>
      <family val="2"/>
      <scheme val="minor"/>
    </font>
    <font>
      <b/>
      <sz val="14"/>
      <name val="Kruti Dev 010"/>
    </font>
    <font>
      <b/>
      <sz val="11"/>
      <color theme="1"/>
      <name val="Kruti Dev 010"/>
    </font>
    <font>
      <b/>
      <sz val="12"/>
      <color theme="5" tint="-0.249977111117893"/>
      <name val="Calibri"/>
      <family val="2"/>
      <scheme val="minor"/>
    </font>
    <font>
      <b/>
      <i/>
      <sz val="11"/>
      <name val="Kruti Dev 010"/>
    </font>
    <font>
      <sz val="12"/>
      <color theme="1"/>
      <name val="Calibri"/>
      <family val="2"/>
      <scheme val="minor"/>
    </font>
    <font>
      <b/>
      <i/>
      <sz val="14"/>
      <name val="Calibri"/>
      <family val="2"/>
      <scheme val="minor"/>
    </font>
    <font>
      <b/>
      <i/>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00B0F0"/>
        <bgColor indexed="64"/>
      </patternFill>
    </fill>
  </fills>
  <borders count="23">
    <border>
      <left/>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top style="thin">
        <color theme="9" tint="-0.499984740745262"/>
      </top>
      <bottom/>
      <diagonal/>
    </border>
    <border>
      <left/>
      <right/>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top style="thin">
        <color theme="9" tint="-0.499984740745262"/>
      </top>
      <bottom/>
      <diagonal/>
    </border>
    <border>
      <left/>
      <right style="medium">
        <color theme="9" tint="-0.499984740745262"/>
      </right>
      <top style="thin">
        <color theme="9" tint="-0.499984740745262"/>
      </top>
      <bottom/>
      <diagonal/>
    </border>
    <border>
      <left style="medium">
        <color theme="9" tint="-0.499984740745262"/>
      </left>
      <right/>
      <top/>
      <bottom style="thin">
        <color theme="9" tint="-0.499984740745262"/>
      </bottom>
      <diagonal/>
    </border>
    <border>
      <left/>
      <right style="medium">
        <color theme="9" tint="-0.499984740745262"/>
      </right>
      <top/>
      <bottom style="thin">
        <color theme="9" tint="-0.499984740745262"/>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s>
  <cellStyleXfs count="2">
    <xf numFmtId="0" fontId="0" fillId="0" borderId="0"/>
    <xf numFmtId="0" fontId="21" fillId="0" borderId="0"/>
  </cellStyleXfs>
  <cellXfs count="115">
    <xf numFmtId="0" fontId="0" fillId="0" borderId="0" xfId="0"/>
    <xf numFmtId="0" fontId="0" fillId="0" borderId="0" xfId="0" applyProtection="1">
      <protection hidden="1"/>
    </xf>
    <xf numFmtId="0" fontId="0" fillId="0" borderId="0" xfId="0" applyNumberFormat="1" applyProtection="1">
      <protection hidden="1"/>
    </xf>
    <xf numFmtId="0" fontId="0" fillId="0" borderId="0" xfId="0" applyBorder="1" applyProtection="1">
      <protection hidden="1"/>
    </xf>
    <xf numFmtId="17" fontId="0" fillId="0" borderId="0" xfId="0" applyNumberFormat="1" applyProtection="1">
      <protection hidden="1"/>
    </xf>
    <xf numFmtId="0" fontId="11" fillId="0" borderId="0" xfId="1" applyFont="1" applyFill="1" applyAlignment="1" applyProtection="1">
      <alignment vertical="center"/>
      <protection hidden="1"/>
    </xf>
    <xf numFmtId="0" fontId="11" fillId="0" borderId="0" xfId="1" applyFont="1" applyFill="1" applyBorder="1" applyAlignment="1" applyProtection="1">
      <alignment vertical="center"/>
      <protection hidden="1"/>
    </xf>
    <xf numFmtId="0" fontId="22" fillId="0" borderId="0" xfId="1" applyFont="1" applyFill="1" applyAlignment="1" applyProtection="1">
      <alignment vertical="center" wrapText="1"/>
      <protection hidden="1"/>
    </xf>
    <xf numFmtId="14" fontId="0" fillId="0" borderId="0" xfId="0" applyNumberFormat="1" applyProtection="1">
      <protection hidden="1"/>
    </xf>
    <xf numFmtId="1" fontId="0" fillId="0" borderId="0" xfId="0" applyNumberFormat="1" applyProtection="1">
      <protection hidden="1"/>
    </xf>
    <xf numFmtId="0" fontId="29" fillId="0" borderId="0" xfId="0" applyFont="1" applyProtection="1">
      <protection hidden="1"/>
    </xf>
    <xf numFmtId="0" fontId="24" fillId="3" borderId="0" xfId="1" applyFont="1" applyFill="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0" fillId="0" borderId="0" xfId="0" applyNumberFormat="1" applyBorder="1" applyProtection="1">
      <protection hidden="1"/>
    </xf>
    <xf numFmtId="14" fontId="0" fillId="0" borderId="0" xfId="0" applyNumberFormat="1" applyBorder="1" applyProtection="1">
      <protection hidden="1"/>
    </xf>
    <xf numFmtId="0" fontId="24" fillId="0" borderId="0" xfId="1" applyFont="1" applyFill="1" applyBorder="1" applyAlignment="1" applyProtection="1">
      <alignment horizontal="center" vertical="center"/>
      <protection locked="0"/>
    </xf>
    <xf numFmtId="0" fontId="1" fillId="0" borderId="0" xfId="0" applyFont="1" applyBorder="1" applyAlignment="1" applyProtection="1">
      <protection locked="0"/>
    </xf>
    <xf numFmtId="0" fontId="6" fillId="0" borderId="0" xfId="0" applyFont="1" applyBorder="1" applyAlignment="1" applyProtection="1">
      <alignment horizontal="center"/>
      <protection locked="0"/>
    </xf>
    <xf numFmtId="0" fontId="0" fillId="0" borderId="0" xfId="0" applyBorder="1" applyProtection="1">
      <protection locked="0"/>
    </xf>
    <xf numFmtId="1" fontId="12" fillId="4" borderId="1" xfId="0" applyNumberFormat="1" applyFont="1" applyFill="1" applyBorder="1" applyAlignment="1" applyProtection="1">
      <alignment horizontal="center" vertical="center"/>
      <protection locked="0"/>
    </xf>
    <xf numFmtId="1" fontId="12" fillId="2" borderId="1"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23" fillId="0" borderId="0" xfId="1" applyFont="1" applyFill="1" applyBorder="1" applyAlignment="1" applyProtection="1">
      <alignment horizontal="center" vertical="center"/>
      <protection hidden="1"/>
    </xf>
    <xf numFmtId="0" fontId="30"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right" vertical="center"/>
      <protection locked="0"/>
    </xf>
    <xf numFmtId="0" fontId="4" fillId="0" borderId="0" xfId="0" applyFont="1" applyBorder="1" applyAlignment="1" applyProtection="1">
      <alignment horizontal="center"/>
      <protection locked="0"/>
    </xf>
    <xf numFmtId="0" fontId="31" fillId="0" borderId="0" xfId="0" applyFont="1" applyBorder="1" applyAlignment="1" applyProtection="1">
      <alignment horizontal="center"/>
      <protection locked="0"/>
    </xf>
    <xf numFmtId="0" fontId="31" fillId="0" borderId="13" xfId="0" applyFont="1" applyBorder="1" applyAlignment="1" applyProtection="1">
      <alignment horizontal="center"/>
      <protection locked="0"/>
    </xf>
    <xf numFmtId="0" fontId="31" fillId="0" borderId="21" xfId="0" applyFont="1" applyBorder="1" applyAlignment="1" applyProtection="1">
      <alignment horizontal="center"/>
      <protection locked="0"/>
    </xf>
    <xf numFmtId="0" fontId="31" fillId="0" borderId="22" xfId="0" applyFont="1" applyBorder="1" applyAlignment="1" applyProtection="1">
      <alignment horizontal="center"/>
      <protection locked="0"/>
    </xf>
    <xf numFmtId="0" fontId="31" fillId="0" borderId="0"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24" fillId="0" borderId="3"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0" fillId="0" borderId="0" xfId="0" applyProtection="1">
      <protection locked="0"/>
    </xf>
    <xf numFmtId="0" fontId="0" fillId="0" borderId="9" xfId="0" applyBorder="1" applyProtection="1">
      <protection locked="0"/>
    </xf>
    <xf numFmtId="0" fontId="24" fillId="0" borderId="10" xfId="1" applyFont="1" applyFill="1" applyBorder="1" applyAlignment="1" applyProtection="1">
      <alignment horizontal="center" vertical="center"/>
      <protection locked="0"/>
    </xf>
    <xf numFmtId="0" fontId="11" fillId="0" borderId="11" xfId="1" applyFont="1" applyFill="1" applyBorder="1" applyAlignment="1" applyProtection="1">
      <alignment vertical="center"/>
      <protection locked="0"/>
    </xf>
    <xf numFmtId="0" fontId="0" fillId="0" borderId="12" xfId="0" applyBorder="1" applyProtection="1">
      <protection locked="0"/>
    </xf>
    <xf numFmtId="0" fontId="11" fillId="0" borderId="13" xfId="1" applyFont="1" applyFill="1" applyBorder="1" applyAlignment="1" applyProtection="1">
      <alignment vertical="center"/>
      <protection locked="0"/>
    </xf>
    <xf numFmtId="0" fontId="9" fillId="5" borderId="0" xfId="1" applyFont="1" applyFill="1" applyBorder="1" applyAlignment="1" applyProtection="1">
      <alignment horizontal="left" vertical="center" wrapText="1"/>
      <protection locked="0"/>
    </xf>
    <xf numFmtId="0" fontId="0" fillId="0" borderId="13" xfId="0" applyBorder="1" applyProtection="1">
      <protection locked="0"/>
    </xf>
    <xf numFmtId="0" fontId="5" fillId="0" borderId="12" xfId="0" applyFont="1" applyBorder="1" applyAlignment="1" applyProtection="1">
      <alignment horizontal="center"/>
      <protection locked="0"/>
    </xf>
    <xf numFmtId="0" fontId="7" fillId="0" borderId="14"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textRotation="90"/>
      <protection locked="0"/>
    </xf>
    <xf numFmtId="0" fontId="11" fillId="0" borderId="15" xfId="0" applyFont="1" applyBorder="1" applyAlignment="1" applyProtection="1">
      <alignment horizontal="center" vertical="center" textRotation="90"/>
      <protection locked="0"/>
    </xf>
    <xf numFmtId="0" fontId="7" fillId="0" borderId="1" xfId="0" applyFont="1" applyBorder="1" applyAlignment="1" applyProtection="1">
      <alignment horizontal="center" vertical="center"/>
      <protection locked="0"/>
    </xf>
    <xf numFmtId="0" fontId="11" fillId="0" borderId="4"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20" fillId="0" borderId="14" xfId="0" applyFont="1" applyBorder="1" applyAlignment="1" applyProtection="1">
      <alignment horizontal="center"/>
      <protection locked="0"/>
    </xf>
    <xf numFmtId="49" fontId="20" fillId="0" borderId="1" xfId="0" applyNumberFormat="1" applyFont="1" applyBorder="1" applyAlignment="1" applyProtection="1">
      <alignment horizontal="center" vertical="center"/>
      <protection locked="0"/>
    </xf>
    <xf numFmtId="1" fontId="12" fillId="0" borderId="1" xfId="0"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49" fontId="7" fillId="0" borderId="14" xfId="0"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center" vertical="center"/>
      <protection locked="0"/>
    </xf>
    <xf numFmtId="0" fontId="13" fillId="0" borderId="1" xfId="0" applyNumberFormat="1" applyFont="1" applyBorder="1" applyAlignment="1" applyProtection="1">
      <alignment horizontal="center" vertical="center"/>
      <protection locked="0"/>
    </xf>
    <xf numFmtId="1" fontId="13" fillId="0" borderId="1" xfId="0" applyNumberFormat="1" applyFont="1" applyBorder="1" applyAlignment="1" applyProtection="1">
      <alignment horizontal="center" vertical="center"/>
      <protection locked="0"/>
    </xf>
    <xf numFmtId="1" fontId="14" fillId="0" borderId="1" xfId="0" applyNumberFormat="1" applyFont="1" applyBorder="1" applyAlignment="1" applyProtection="1">
      <alignment horizontal="center" vertical="center"/>
      <protection locked="0"/>
    </xf>
    <xf numFmtId="0" fontId="0" fillId="0" borderId="16" xfId="0" applyBorder="1" applyProtection="1">
      <protection locked="0"/>
    </xf>
    <xf numFmtId="0" fontId="18" fillId="0" borderId="2" xfId="0" applyFont="1" applyBorder="1" applyAlignment="1" applyProtection="1">
      <alignment vertical="center"/>
      <protection locked="0"/>
    </xf>
    <xf numFmtId="0" fontId="3"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64" fontId="17" fillId="0" borderId="2" xfId="0" applyNumberFormat="1" applyFont="1" applyBorder="1" applyAlignment="1" applyProtection="1">
      <alignment horizontal="center" vertical="center"/>
      <protection locked="0"/>
    </xf>
    <xf numFmtId="164" fontId="18" fillId="0" borderId="2" xfId="0" applyNumberFormat="1" applyFont="1" applyBorder="1" applyAlignment="1" applyProtection="1">
      <alignment horizontal="left" vertical="center"/>
      <protection locked="0"/>
    </xf>
    <xf numFmtId="0" fontId="3" fillId="0" borderId="2"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15" fillId="0" borderId="0" xfId="0" applyFont="1" applyBorder="1" applyAlignment="1" applyProtection="1">
      <alignment horizontal="center" vertical="top"/>
      <protection locked="0"/>
    </xf>
    <xf numFmtId="0" fontId="26" fillId="0" borderId="0" xfId="0" applyFont="1" applyBorder="1" applyAlignment="1" applyProtection="1">
      <alignment horizontal="center"/>
      <protection locked="0"/>
    </xf>
    <xf numFmtId="0" fontId="9"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protection locked="0"/>
    </xf>
    <xf numFmtId="0" fontId="11" fillId="0" borderId="0"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protection locked="0"/>
    </xf>
    <xf numFmtId="0" fontId="3" fillId="0" borderId="0" xfId="0" applyFont="1" applyBorder="1" applyAlignment="1" applyProtection="1">
      <alignment horizontal="left"/>
      <protection locked="0"/>
    </xf>
    <xf numFmtId="0" fontId="4" fillId="0" borderId="0" xfId="0" applyFont="1" applyBorder="1" applyAlignment="1" applyProtection="1">
      <alignment vertical="center"/>
      <protection locked="0"/>
    </xf>
    <xf numFmtId="0" fontId="0" fillId="0" borderId="18" xfId="0" applyBorder="1" applyProtection="1">
      <protection locked="0"/>
    </xf>
    <xf numFmtId="0" fontId="3" fillId="0" borderId="3" xfId="0" applyFont="1" applyBorder="1" applyAlignment="1" applyProtection="1">
      <alignment horizontal="right" vertical="center"/>
      <protection locked="0"/>
    </xf>
    <xf numFmtId="0" fontId="3" fillId="0" borderId="3" xfId="0" applyFont="1" applyBorder="1" applyAlignment="1" applyProtection="1">
      <alignment horizontal="left"/>
      <protection locked="0"/>
    </xf>
    <xf numFmtId="0" fontId="4" fillId="0" borderId="3" xfId="0" applyFont="1" applyBorder="1" applyAlignment="1" applyProtection="1">
      <alignment vertical="center"/>
      <protection locked="0"/>
    </xf>
    <xf numFmtId="0" fontId="26" fillId="0" borderId="3" xfId="0" applyFont="1" applyBorder="1" applyAlignment="1" applyProtection="1">
      <alignment horizontal="center"/>
      <protection locked="0"/>
    </xf>
    <xf numFmtId="0" fontId="27" fillId="0" borderId="3"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2" fillId="0" borderId="0"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3" fillId="0" borderId="0" xfId="0" applyFont="1" applyBorder="1" applyAlignment="1" applyProtection="1">
      <alignment horizontal="left"/>
      <protection locked="0"/>
    </xf>
    <xf numFmtId="0" fontId="0" fillId="0" borderId="20" xfId="0" applyBorder="1" applyProtection="1">
      <protection locked="0"/>
    </xf>
    <xf numFmtId="0" fontId="0" fillId="0" borderId="21" xfId="0" applyBorder="1" applyProtection="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8" fillId="0" borderId="2" xfId="0" applyFont="1" applyBorder="1" applyAlignment="1" applyProtection="1">
      <alignment horizontal="right" vertical="center"/>
      <protection locked="0"/>
    </xf>
    <xf numFmtId="14" fontId="17" fillId="0" borderId="2" xfId="0" applyNumberFormat="1" applyFont="1" applyBorder="1" applyAlignment="1" applyProtection="1">
      <alignment horizontal="center" vertical="center"/>
      <protection locked="0"/>
    </xf>
    <xf numFmtId="164" fontId="17" fillId="0" borderId="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 fillId="6" borderId="0" xfId="0" applyFont="1" applyFill="1" applyBorder="1" applyAlignment="1" applyProtection="1">
      <alignment horizontal="center" vertical="center" wrapText="1"/>
      <protection hidden="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504825</xdr:colOff>
      <xdr:row>2</xdr:row>
      <xdr:rowOff>209550</xdr:rowOff>
    </xdr:from>
    <xdr:to>
      <xdr:col>41</xdr:col>
      <xdr:colOff>533400</xdr:colOff>
      <xdr:row>5</xdr:row>
      <xdr:rowOff>145923</xdr:rowOff>
    </xdr:to>
    <xdr:sp macro="" textlink="">
      <xdr:nvSpPr>
        <xdr:cNvPr id="2" name="Oval Callout 1"/>
        <xdr:cNvSpPr/>
      </xdr:nvSpPr>
      <xdr:spPr>
        <a:xfrm>
          <a:off x="11334750" y="571500"/>
          <a:ext cx="14639925" cy="612648"/>
        </a:xfrm>
        <a:prstGeom prst="wedgeEllipseCallout">
          <a:avLst>
            <a:gd name="adj1" fmla="val -106256"/>
            <a:gd name="adj2" fmla="val -19899"/>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Sr.</a:t>
          </a:r>
          <a:r>
            <a:rPr lang="en-US" sz="1400" baseline="0"/>
            <a:t> No. NPS/GPF</a:t>
          </a:r>
          <a:endParaRPr lang="en-US" sz="1400"/>
        </a:p>
      </xdr:txBody>
    </xdr:sp>
    <xdr:clientData/>
  </xdr:twoCellAnchor>
  <xdr:twoCellAnchor editAs="oneCell">
    <xdr:from>
      <xdr:col>40</xdr:col>
      <xdr:colOff>161925</xdr:colOff>
      <xdr:row>8</xdr:row>
      <xdr:rowOff>66675</xdr:rowOff>
    </xdr:from>
    <xdr:to>
      <xdr:col>42</xdr:col>
      <xdr:colOff>390524</xdr:colOff>
      <xdr:row>15</xdr:row>
      <xdr:rowOff>200025</xdr:rowOff>
    </xdr:to>
    <xdr:pic>
      <xdr:nvPicPr>
        <xdr:cNvPr id="3" name="Picture 5"/>
        <xdr:cNvPicPr>
          <a:picLocks noChangeAspect="1" noChangeArrowheads="1"/>
        </xdr:cNvPicPr>
      </xdr:nvPicPr>
      <xdr:blipFill>
        <a:blip xmlns:r="http://schemas.openxmlformats.org/officeDocument/2006/relationships" r:embed="rId1"/>
        <a:srcRect/>
        <a:stretch>
          <a:fillRect/>
        </a:stretch>
      </xdr:blipFill>
      <xdr:spPr bwMode="auto">
        <a:xfrm>
          <a:off x="12211050" y="1905000"/>
          <a:ext cx="1447799" cy="19335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0</xdr:rowOff>
    </xdr:from>
    <xdr:to>
      <xdr:col>42</xdr:col>
      <xdr:colOff>28575</xdr:colOff>
      <xdr:row>5</xdr:row>
      <xdr:rowOff>174498</xdr:rowOff>
    </xdr:to>
    <xdr:sp macro="" textlink="">
      <xdr:nvSpPr>
        <xdr:cNvPr id="2" name="Oval Callout 1"/>
        <xdr:cNvSpPr/>
      </xdr:nvSpPr>
      <xdr:spPr>
        <a:xfrm>
          <a:off x="12763500" y="600075"/>
          <a:ext cx="1857375" cy="612648"/>
        </a:xfrm>
        <a:prstGeom prst="wedgeEllipseCallout">
          <a:avLst>
            <a:gd name="adj1" fmla="val -106256"/>
            <a:gd name="adj2" fmla="val -19899"/>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Sr.</a:t>
          </a:r>
          <a:r>
            <a:rPr lang="en-US" sz="1400" baseline="0"/>
            <a:t> No. NPS/GPF</a:t>
          </a:r>
          <a:endParaRPr lang="en-US" sz="1400"/>
        </a:p>
      </xdr:txBody>
    </xdr:sp>
    <xdr:clientData/>
  </xdr:twoCellAnchor>
  <xdr:twoCellAnchor editAs="oneCell">
    <xdr:from>
      <xdr:col>42</xdr:col>
      <xdr:colOff>228600</xdr:colOff>
      <xdr:row>8</xdr:row>
      <xdr:rowOff>409575</xdr:rowOff>
    </xdr:from>
    <xdr:to>
      <xdr:col>44</xdr:col>
      <xdr:colOff>457199</xdr:colOff>
      <xdr:row>16</xdr:row>
      <xdr:rowOff>200025</xdr:rowOff>
    </xdr:to>
    <xdr:pic>
      <xdr:nvPicPr>
        <xdr:cNvPr id="3" name="Picture 5"/>
        <xdr:cNvPicPr>
          <a:picLocks noChangeAspect="1" noChangeArrowheads="1"/>
        </xdr:cNvPicPr>
      </xdr:nvPicPr>
      <xdr:blipFill>
        <a:blip xmlns:r="http://schemas.openxmlformats.org/officeDocument/2006/relationships" r:embed="rId1"/>
        <a:srcRect/>
        <a:stretch>
          <a:fillRect/>
        </a:stretch>
      </xdr:blipFill>
      <xdr:spPr bwMode="auto">
        <a:xfrm>
          <a:off x="13192125" y="2286000"/>
          <a:ext cx="1447799" cy="19335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Q30"/>
  <sheetViews>
    <sheetView tabSelected="1" workbookViewId="0">
      <selection activeCell="R24" sqref="R24"/>
    </sheetView>
  </sheetViews>
  <sheetFormatPr defaultRowHeight="15"/>
  <cols>
    <col min="1" max="1" width="4.85546875" style="39" customWidth="1"/>
    <col min="2" max="2" width="9.42578125" style="39" customWidth="1"/>
    <col min="3" max="5" width="7.7109375" style="39" customWidth="1"/>
    <col min="6" max="7" width="8.28515625" style="39" customWidth="1"/>
    <col min="8" max="8" width="8.85546875" style="39" customWidth="1"/>
    <col min="9" max="9" width="8.28515625" style="39" customWidth="1"/>
    <col min="10" max="10" width="8" style="39" customWidth="1"/>
    <col min="11" max="11" width="10.28515625" style="39" customWidth="1"/>
    <col min="12" max="12" width="7.7109375" style="39" customWidth="1"/>
    <col min="13" max="14" width="7.42578125" style="39" customWidth="1"/>
    <col min="15" max="15" width="8.42578125" style="39" customWidth="1"/>
    <col min="16" max="16" width="11.140625" style="39" customWidth="1"/>
    <col min="17" max="17" width="12.5703125" style="39" customWidth="1"/>
    <col min="18" max="19" width="9.140625" style="1"/>
    <col min="20" max="20" width="9.140625" style="1" customWidth="1"/>
    <col min="21" max="22" width="9.140625" style="1" hidden="1" customWidth="1"/>
    <col min="23" max="23" width="27.140625" style="1" hidden="1" customWidth="1"/>
    <col min="24" max="39" width="9.140625" style="1" hidden="1" customWidth="1"/>
    <col min="40" max="47" width="9.140625" style="1" customWidth="1"/>
    <col min="48" max="16384" width="9.140625" style="1"/>
  </cols>
  <sheetData>
    <row r="1" spans="1:37" ht="9.75" customHeight="1" thickBot="1">
      <c r="W1" s="1" t="s">
        <v>39</v>
      </c>
      <c r="Z1" s="4"/>
    </row>
    <row r="2" spans="1:37" ht="18.75">
      <c r="A2" s="40"/>
      <c r="B2" s="41" t="s">
        <v>30</v>
      </c>
      <c r="C2" s="41"/>
      <c r="D2" s="41"/>
      <c r="E2" s="41"/>
      <c r="F2" s="41"/>
      <c r="G2" s="41"/>
      <c r="H2" s="41"/>
      <c r="I2" s="41"/>
      <c r="J2" s="41"/>
      <c r="K2" s="41"/>
      <c r="L2" s="41"/>
      <c r="M2" s="41"/>
      <c r="N2" s="41"/>
      <c r="O2" s="41"/>
      <c r="P2" s="41"/>
      <c r="Q2" s="42"/>
      <c r="R2" s="5"/>
      <c r="S2" s="5"/>
      <c r="T2" s="5"/>
      <c r="U2" s="5"/>
      <c r="W2" s="1" t="s">
        <v>38</v>
      </c>
      <c r="Z2" s="4"/>
      <c r="AC2" s="1" t="s">
        <v>3</v>
      </c>
      <c r="AD2" s="1" t="b">
        <v>0</v>
      </c>
    </row>
    <row r="3" spans="1:37" ht="18.75">
      <c r="A3" s="43"/>
      <c r="B3" s="26" t="s">
        <v>49</v>
      </c>
      <c r="C3" s="26"/>
      <c r="D3" s="26"/>
      <c r="E3" s="26"/>
      <c r="F3" s="26"/>
      <c r="G3" s="26"/>
      <c r="H3" s="26"/>
      <c r="I3" s="26"/>
      <c r="J3" s="26"/>
      <c r="K3" s="26"/>
      <c r="L3" s="26"/>
      <c r="M3" s="26"/>
      <c r="N3" s="26"/>
      <c r="O3" s="26"/>
      <c r="P3" s="26"/>
      <c r="Q3" s="44"/>
      <c r="R3" s="5"/>
      <c r="S3" s="5"/>
      <c r="T3" s="5"/>
      <c r="U3" s="5"/>
      <c r="W3" s="1" t="s">
        <v>40</v>
      </c>
      <c r="Z3" s="4"/>
      <c r="AD3" s="1" t="b">
        <v>1</v>
      </c>
    </row>
    <row r="4" spans="1:37" ht="18.75">
      <c r="A4" s="43"/>
      <c r="B4" s="15"/>
      <c r="C4" s="27" t="s">
        <v>31</v>
      </c>
      <c r="D4" s="27"/>
      <c r="E4" s="27"/>
      <c r="F4" s="45" t="s">
        <v>44</v>
      </c>
      <c r="G4" s="45"/>
      <c r="H4" s="45"/>
      <c r="I4" s="27" t="s">
        <v>29</v>
      </c>
      <c r="J4" s="27"/>
      <c r="K4" s="45" t="s">
        <v>53</v>
      </c>
      <c r="L4" s="45"/>
      <c r="M4" s="45"/>
      <c r="N4" s="29" t="s">
        <v>42</v>
      </c>
      <c r="O4" s="29"/>
      <c r="P4" s="11" t="s">
        <v>4</v>
      </c>
      <c r="Q4" s="44"/>
      <c r="R4" s="25"/>
      <c r="S4" s="25"/>
      <c r="T4" s="7"/>
      <c r="U4" s="7"/>
      <c r="Y4" s="1" t="str">
        <f>P4</f>
        <v>GPF</v>
      </c>
      <c r="Z4" s="4"/>
    </row>
    <row r="5" spans="1:37" ht="18" customHeight="1">
      <c r="A5" s="43"/>
      <c r="B5" s="26" t="s">
        <v>55</v>
      </c>
      <c r="C5" s="26"/>
      <c r="D5" s="26"/>
      <c r="E5" s="26"/>
      <c r="F5" s="26"/>
      <c r="G5" s="26"/>
      <c r="H5" s="26"/>
      <c r="I5" s="26"/>
      <c r="J5" s="26"/>
      <c r="K5" s="26"/>
      <c r="L5" s="26"/>
      <c r="M5" s="26"/>
      <c r="N5" s="26"/>
      <c r="O5" s="26"/>
      <c r="P5" s="26"/>
      <c r="Q5" s="44"/>
      <c r="R5" s="6"/>
      <c r="S5" s="6"/>
      <c r="T5" s="6"/>
      <c r="U5" s="6"/>
      <c r="Z5" s="4"/>
    </row>
    <row r="6" spans="1:37" ht="12.75" customHeight="1">
      <c r="A6" s="43"/>
      <c r="B6" s="16"/>
      <c r="C6" s="30"/>
      <c r="D6" s="30"/>
      <c r="E6" s="30"/>
      <c r="F6" s="30"/>
      <c r="G6" s="30"/>
      <c r="H6" s="30"/>
      <c r="I6" s="30"/>
      <c r="J6" s="30"/>
      <c r="K6" s="30"/>
      <c r="L6" s="30"/>
      <c r="M6" s="30"/>
      <c r="N6" s="30"/>
      <c r="O6" s="30"/>
      <c r="P6" s="16"/>
      <c r="Q6" s="46"/>
      <c r="W6" s="1" t="s">
        <v>1</v>
      </c>
      <c r="X6" s="1" t="s">
        <v>4</v>
      </c>
      <c r="Y6" s="1" t="s">
        <v>0</v>
      </c>
      <c r="Z6" s="4"/>
    </row>
    <row r="7" spans="1:37" ht="20.25">
      <c r="A7" s="47"/>
      <c r="B7" s="17"/>
      <c r="C7" s="17"/>
      <c r="D7" s="17"/>
      <c r="E7" s="37" t="s">
        <v>45</v>
      </c>
      <c r="F7" s="37"/>
      <c r="G7" s="37"/>
      <c r="H7" s="37"/>
      <c r="I7" s="37"/>
      <c r="J7" s="37"/>
      <c r="K7" s="37"/>
      <c r="L7" s="37"/>
      <c r="M7" s="17"/>
      <c r="N7" s="17"/>
      <c r="O7" s="17"/>
      <c r="P7" s="18"/>
      <c r="Q7" s="46"/>
      <c r="W7" s="1" t="s">
        <v>3</v>
      </c>
      <c r="X7" s="1" t="s">
        <v>5</v>
      </c>
      <c r="Y7" s="1" t="s">
        <v>2</v>
      </c>
      <c r="Z7" s="4"/>
      <c r="AB7" s="8"/>
    </row>
    <row r="8" spans="1:37" ht="27.75" customHeight="1">
      <c r="A8" s="48" t="s">
        <v>6</v>
      </c>
      <c r="B8" s="49" t="s">
        <v>7</v>
      </c>
      <c r="C8" s="50" t="s">
        <v>8</v>
      </c>
      <c r="D8" s="50"/>
      <c r="E8" s="50"/>
      <c r="F8" s="50" t="s">
        <v>9</v>
      </c>
      <c r="G8" s="50"/>
      <c r="H8" s="50"/>
      <c r="I8" s="51" t="s">
        <v>10</v>
      </c>
      <c r="J8" s="51"/>
      <c r="K8" s="51"/>
      <c r="L8" s="52" t="s">
        <v>35</v>
      </c>
      <c r="M8" s="53"/>
      <c r="N8" s="54"/>
      <c r="O8" s="55" t="s">
        <v>13</v>
      </c>
      <c r="P8" s="56" t="s">
        <v>14</v>
      </c>
      <c r="Q8" s="57" t="s">
        <v>15</v>
      </c>
      <c r="Z8" s="4"/>
      <c r="AB8" s="8">
        <v>42736</v>
      </c>
    </row>
    <row r="9" spans="1:37" ht="33.75" customHeight="1">
      <c r="A9" s="48"/>
      <c r="B9" s="49"/>
      <c r="C9" s="58" t="s">
        <v>16</v>
      </c>
      <c r="D9" s="58" t="s">
        <v>17</v>
      </c>
      <c r="E9" s="58" t="s">
        <v>18</v>
      </c>
      <c r="F9" s="58" t="s">
        <v>16</v>
      </c>
      <c r="G9" s="58" t="s">
        <v>17</v>
      </c>
      <c r="H9" s="58" t="s">
        <v>18</v>
      </c>
      <c r="I9" s="58" t="s">
        <v>16</v>
      </c>
      <c r="J9" s="58" t="s">
        <v>17</v>
      </c>
      <c r="K9" s="58" t="s">
        <v>18</v>
      </c>
      <c r="L9" s="59" t="str">
        <f>IF(AND($Y$4=$X$6),"CREDIT IN GPF",IF(AND($Y$4=$X$7),"NPS Ded. ",""))</f>
        <v>CREDIT IN GPF</v>
      </c>
      <c r="M9" s="60" t="s">
        <v>11</v>
      </c>
      <c r="N9" s="59" t="s">
        <v>12</v>
      </c>
      <c r="O9" s="55"/>
      <c r="P9" s="56"/>
      <c r="Q9" s="57"/>
      <c r="Z9" s="4"/>
    </row>
    <row r="10" spans="1:37" ht="18" customHeight="1">
      <c r="A10" s="61">
        <v>1</v>
      </c>
      <c r="B10" s="62" t="s">
        <v>19</v>
      </c>
      <c r="C10" s="19">
        <v>27800</v>
      </c>
      <c r="D10" s="63">
        <f>ROUND((C10*4%),0)</f>
        <v>1112</v>
      </c>
      <c r="E10" s="63">
        <f>SUM(C10:D10)</f>
        <v>28912</v>
      </c>
      <c r="F10" s="19">
        <v>10800</v>
      </c>
      <c r="G10" s="63">
        <f>ROUND((F10*136%),0)</f>
        <v>14688</v>
      </c>
      <c r="H10" s="63">
        <f>SUM(F10:G10)</f>
        <v>25488</v>
      </c>
      <c r="I10" s="20">
        <f>IF(AND(C10=""),"",IF(AND(F10=""),"",C10-F10))</f>
        <v>17000</v>
      </c>
      <c r="J10" s="20">
        <f>IF(AND(D10=""),"",IF(AND(G10=""),"",D10-G10))</f>
        <v>-13576</v>
      </c>
      <c r="K10" s="63">
        <f>SUM(I10:J10)</f>
        <v>3424</v>
      </c>
      <c r="L10" s="20">
        <f>IF(AND(C10=""),"",IF(AND(K10=""),"",IF(AND($Y$4=$X$6),K10-ROUND(((K10)*10%),0),ROUND(((K10)*10%),0))))</f>
        <v>3082</v>
      </c>
      <c r="M10" s="20">
        <f>IF(AND($Y$4=$X$6),ROUND(((K10)*10%),0),ROUND(((K10-L10)*10%),0))</f>
        <v>342</v>
      </c>
      <c r="N10" s="63">
        <f>IF(AND(K10=""),"",IF(AND(L10=""),"",IF(AND(M10=""),"",SUM(L10+M10))))</f>
        <v>3424</v>
      </c>
      <c r="O10" s="64">
        <f>IF(AND(K10=""),"",IF(AND(C10=0),"",IF(AND(N10=""),K10,K10-N10)))</f>
        <v>0</v>
      </c>
      <c r="P10" s="21"/>
      <c r="Q10" s="22"/>
      <c r="U10" s="1" t="str">
        <f>IF(AND($Y$4=$X$6),"CREDIT IN GPF",IF(AND($Y$4=$X$7),"NPS Ded.",""))</f>
        <v>CREDIT IN GPF</v>
      </c>
      <c r="Z10" s="4"/>
      <c r="AK10" s="1" t="e">
        <f>IF(AND(C10=""),"",IF(AND(C10=0),"",IF(AND(K10=""),"",ROUND(((#REF!-L10)*$AA$4%),0))))</f>
        <v>#REF!</v>
      </c>
    </row>
    <row r="11" spans="1:37" ht="18" customHeight="1">
      <c r="A11" s="61">
        <v>2</v>
      </c>
      <c r="B11" s="62" t="s">
        <v>20</v>
      </c>
      <c r="C11" s="20">
        <f>C10</f>
        <v>27800</v>
      </c>
      <c r="D11" s="63">
        <f t="shared" ref="D11:D15" si="0">ROUND((C11*4%),0)</f>
        <v>1112</v>
      </c>
      <c r="E11" s="63">
        <f>SUM(C11:D11)</f>
        <v>28912</v>
      </c>
      <c r="F11" s="20">
        <f>F10</f>
        <v>10800</v>
      </c>
      <c r="G11" s="63">
        <f t="shared" ref="G11:G15" si="1">ROUND((F11*136%),0)</f>
        <v>14688</v>
      </c>
      <c r="H11" s="63">
        <f>SUM(F11:G11)</f>
        <v>25488</v>
      </c>
      <c r="I11" s="20">
        <f>IF(AND(C11=""),"",IF(AND(F11=""),"",C11-F11))</f>
        <v>17000</v>
      </c>
      <c r="J11" s="20">
        <f>IF(AND(D11=""),"",IF(AND(G11=""),"",D11-G11))</f>
        <v>-13576</v>
      </c>
      <c r="K11" s="63">
        <f>SUM(I11:J11)</f>
        <v>3424</v>
      </c>
      <c r="L11" s="20">
        <f>IF(AND(C11=""),"",IF(AND(K11=""),"",IF(AND($Y$4=$X$6),K11-ROUND(((K11)*10%),0),ROUND(((K11)*10%),0))))</f>
        <v>3082</v>
      </c>
      <c r="M11" s="20">
        <f t="shared" ref="M11:M18" si="2">IF(AND($Y$4=$X$6),ROUND(((K11)*10%),0),ROUND(((K11-L11)*10%),0))</f>
        <v>342</v>
      </c>
      <c r="N11" s="63">
        <f t="shared" ref="N11:N18" si="3">IF(AND(K11=""),"",IF(AND(L11=""),"",IF(AND(M11=""),"",SUM(L11+M11))))</f>
        <v>3424</v>
      </c>
      <c r="O11" s="64">
        <f>IF(AND(K11=""),"",IF(AND(C11=0),"",IF(AND(N11=""),K11,K11-N11)))</f>
        <v>0</v>
      </c>
      <c r="P11" s="21"/>
      <c r="Q11" s="22"/>
      <c r="V11" s="1">
        <v>30</v>
      </c>
      <c r="Z11" s="4"/>
    </row>
    <row r="12" spans="1:37" ht="18" customHeight="1">
      <c r="A12" s="61">
        <v>3</v>
      </c>
      <c r="B12" s="62" t="s">
        <v>21</v>
      </c>
      <c r="C12" s="20">
        <f t="shared" ref="C12:C15" si="4">C11</f>
        <v>27800</v>
      </c>
      <c r="D12" s="63">
        <f t="shared" si="0"/>
        <v>1112</v>
      </c>
      <c r="E12" s="63">
        <f>SUM(C12:D12)</f>
        <v>28912</v>
      </c>
      <c r="F12" s="20">
        <f t="shared" ref="F12:F15" si="5">F11</f>
        <v>10800</v>
      </c>
      <c r="G12" s="63">
        <f t="shared" si="1"/>
        <v>14688</v>
      </c>
      <c r="H12" s="63">
        <f>SUM(F12:G12)</f>
        <v>25488</v>
      </c>
      <c r="I12" s="20">
        <f>IF(AND(C12=""),"",IF(AND(F12=""),"",C12-F12))</f>
        <v>17000</v>
      </c>
      <c r="J12" s="20">
        <f>IF(AND(D12=""),"",IF(AND(G12=""),"",D12-G12))</f>
        <v>-13576</v>
      </c>
      <c r="K12" s="63">
        <f>SUM(I12:J12)</f>
        <v>3424</v>
      </c>
      <c r="L12" s="20">
        <f>IF(AND(C12=""),"",IF(AND(K12=""),"",IF(AND($Y$4=$X$6),K12-ROUND(((K12)*10%),0),ROUND(((K12)*10%),0))))</f>
        <v>3082</v>
      </c>
      <c r="M12" s="20">
        <f t="shared" si="2"/>
        <v>342</v>
      </c>
      <c r="N12" s="63">
        <f t="shared" si="3"/>
        <v>3424</v>
      </c>
      <c r="O12" s="64">
        <f>IF(AND(K12=""),"",IF(AND(C12=0),"",IF(AND(N12=""),K12,K12-N12)))</f>
        <v>0</v>
      </c>
      <c r="P12" s="21"/>
      <c r="Q12" s="22"/>
      <c r="V12" s="1">
        <v>40</v>
      </c>
      <c r="X12" s="2"/>
      <c r="Z12" s="4"/>
      <c r="AB12" s="3"/>
      <c r="AC12" s="3"/>
      <c r="AD12" s="3"/>
      <c r="AE12" s="3"/>
      <c r="AF12" s="3"/>
    </row>
    <row r="13" spans="1:37" ht="18" customHeight="1">
      <c r="A13" s="61">
        <v>4</v>
      </c>
      <c r="B13" s="62" t="s">
        <v>22</v>
      </c>
      <c r="C13" s="20">
        <f t="shared" si="4"/>
        <v>27800</v>
      </c>
      <c r="D13" s="63">
        <f t="shared" si="0"/>
        <v>1112</v>
      </c>
      <c r="E13" s="63">
        <f>SUM(C13:D13)</f>
        <v>28912</v>
      </c>
      <c r="F13" s="20">
        <f t="shared" si="5"/>
        <v>10800</v>
      </c>
      <c r="G13" s="63">
        <f t="shared" si="1"/>
        <v>14688</v>
      </c>
      <c r="H13" s="63">
        <f>SUM(F13:G13)</f>
        <v>25488</v>
      </c>
      <c r="I13" s="65">
        <f>IF(AND(C13=""),"",IF(AND(F13=""),"",C13-F13))</f>
        <v>17000</v>
      </c>
      <c r="J13" s="65">
        <f>IF(AND(D13=""),"",IF(AND(G13=""),"",D13-G13))</f>
        <v>-13576</v>
      </c>
      <c r="K13" s="63">
        <f>SUM(I13:J13)</f>
        <v>3424</v>
      </c>
      <c r="L13" s="20">
        <f>IF(AND(C13=""),"",IF(AND(K13=""),"",IF(AND($Y$4=$X$6),K13-ROUND(((K13)*10%),0),ROUND(((K13)*10%),0))))</f>
        <v>3082</v>
      </c>
      <c r="M13" s="20">
        <f t="shared" si="2"/>
        <v>342</v>
      </c>
      <c r="N13" s="21">
        <f t="shared" si="3"/>
        <v>3424</v>
      </c>
      <c r="O13" s="64">
        <f>IF(AND(K13=""),"",IF(AND(C13=0),"",IF(AND(N13=""),K13,K13-N13)))</f>
        <v>0</v>
      </c>
      <c r="P13" s="21"/>
      <c r="Q13" s="22"/>
      <c r="AB13" s="13"/>
      <c r="AC13" s="3"/>
      <c r="AD13" s="3"/>
      <c r="AE13" s="3"/>
      <c r="AF13" s="14"/>
    </row>
    <row r="14" spans="1:37" ht="18" customHeight="1">
      <c r="A14" s="61">
        <v>5</v>
      </c>
      <c r="B14" s="62" t="s">
        <v>23</v>
      </c>
      <c r="C14" s="20">
        <f t="shared" si="4"/>
        <v>27800</v>
      </c>
      <c r="D14" s="63">
        <f t="shared" si="0"/>
        <v>1112</v>
      </c>
      <c r="E14" s="63">
        <f>SUM(C14:D14)</f>
        <v>28912</v>
      </c>
      <c r="F14" s="20">
        <f t="shared" si="5"/>
        <v>10800</v>
      </c>
      <c r="G14" s="63">
        <f t="shared" si="1"/>
        <v>14688</v>
      </c>
      <c r="H14" s="63">
        <f>SUM(F14:G14)</f>
        <v>25488</v>
      </c>
      <c r="I14" s="65">
        <f>IF(AND(C14=""),"",IF(AND(F14=""),"",C14-F14))</f>
        <v>17000</v>
      </c>
      <c r="J14" s="65">
        <f>IF(AND(D14=""),"",IF(AND(G14=""),"",D14-G14))</f>
        <v>-13576</v>
      </c>
      <c r="K14" s="63">
        <f>SUM(I14:J14)</f>
        <v>3424</v>
      </c>
      <c r="L14" s="20">
        <f>IF(AND(C14=""),"",IF(AND(K14=""),"",IF(AND($Y$4=$X$6),K14-ROUND(((K14)*10%),0),ROUND(((K14)*10%),0))))</f>
        <v>3082</v>
      </c>
      <c r="M14" s="20">
        <f t="shared" si="2"/>
        <v>342</v>
      </c>
      <c r="N14" s="21">
        <f t="shared" si="3"/>
        <v>3424</v>
      </c>
      <c r="O14" s="64">
        <f>IF(AND(K14=""),"",IF(AND(C14=0),"",IF(AND(N14=""),K14,K14-N14)))</f>
        <v>0</v>
      </c>
      <c r="P14" s="21"/>
      <c r="Q14" s="22"/>
      <c r="X14" s="2"/>
      <c r="AB14" s="3"/>
      <c r="AC14" s="3"/>
      <c r="AD14" s="3"/>
      <c r="AE14" s="3"/>
      <c r="AF14" s="3"/>
    </row>
    <row r="15" spans="1:37" ht="18" customHeight="1">
      <c r="A15" s="61">
        <v>6</v>
      </c>
      <c r="B15" s="62" t="s">
        <v>24</v>
      </c>
      <c r="C15" s="20">
        <f t="shared" si="4"/>
        <v>27800</v>
      </c>
      <c r="D15" s="63">
        <f t="shared" si="0"/>
        <v>1112</v>
      </c>
      <c r="E15" s="63">
        <f>SUM(C15:D15)</f>
        <v>28912</v>
      </c>
      <c r="F15" s="20">
        <f t="shared" si="5"/>
        <v>10800</v>
      </c>
      <c r="G15" s="63">
        <f t="shared" si="1"/>
        <v>14688</v>
      </c>
      <c r="H15" s="63">
        <f>SUM(F15:G15)</f>
        <v>25488</v>
      </c>
      <c r="I15" s="65">
        <f>IF(AND(C15=""),"",IF(AND(F15=""),"",C15-F15))</f>
        <v>17000</v>
      </c>
      <c r="J15" s="65">
        <f>IF(AND(D15=""),"",IF(AND(G15=""),"",D15-G15))</f>
        <v>-13576</v>
      </c>
      <c r="K15" s="63">
        <f>SUM(I15:J15)</f>
        <v>3424</v>
      </c>
      <c r="L15" s="20">
        <f>IF(AND(C15=""),"",IF(AND(K15=""),"",IF(AND($Y$4=$X$6),K15-ROUND(((K15)*10%),0),ROUND(((K15)*10%),0))))</f>
        <v>3082</v>
      </c>
      <c r="M15" s="20">
        <f t="shared" si="2"/>
        <v>342</v>
      </c>
      <c r="N15" s="21">
        <f t="shared" si="3"/>
        <v>3424</v>
      </c>
      <c r="O15" s="64">
        <f>IF(AND(K15=""),"",IF(AND(C15=0),"",IF(AND(N15=""),K15,K15-N15)))</f>
        <v>0</v>
      </c>
      <c r="P15" s="21"/>
      <c r="Q15" s="22"/>
      <c r="V15" s="9">
        <f>IF(AND($P$4=""),"",IF(AND($Y$4=$X$6),SUM(L10:L18),SUM(O10:O18)))</f>
        <v>27750</v>
      </c>
      <c r="AB15" s="3"/>
      <c r="AC15" s="3"/>
      <c r="AD15" s="3"/>
      <c r="AE15" s="3"/>
      <c r="AF15" s="3"/>
    </row>
    <row r="16" spans="1:37" ht="18" customHeight="1">
      <c r="A16" s="61">
        <v>7</v>
      </c>
      <c r="B16" s="62" t="s">
        <v>25</v>
      </c>
      <c r="C16" s="20">
        <f>MROUND(C15*1.03,100)</f>
        <v>28600</v>
      </c>
      <c r="D16" s="63">
        <f>ROUND((C16*5%),0)</f>
        <v>1430</v>
      </c>
      <c r="E16" s="63">
        <f>SUM(C16:D16)</f>
        <v>30030</v>
      </c>
      <c r="F16" s="20">
        <f>ROUNDUP(ROUND(F15*1.03,),-1)</f>
        <v>11130</v>
      </c>
      <c r="G16" s="63">
        <f>ROUND((F16*139%),0)</f>
        <v>15471</v>
      </c>
      <c r="H16" s="63">
        <f>SUM(F16:G16)</f>
        <v>26601</v>
      </c>
      <c r="I16" s="20">
        <f>IF(AND(C16=""),"",IF(AND(F16=""),"",C16-F16))</f>
        <v>17470</v>
      </c>
      <c r="J16" s="20">
        <f>IF(AND(D16=""),"",IF(AND(G16=""),"",D16-G16))</f>
        <v>-14041</v>
      </c>
      <c r="K16" s="63">
        <f>SUM(I16:J16)</f>
        <v>3429</v>
      </c>
      <c r="L16" s="20">
        <f>IF(AND(C16=""),"",IF(AND(K16=""),"",IF(AND($Y$4=$X$6),K16-ROUND(((K16)*10%),0),ROUND(((K16)*10%),0))))</f>
        <v>3086</v>
      </c>
      <c r="M16" s="20">
        <f t="shared" si="2"/>
        <v>343</v>
      </c>
      <c r="N16" s="63">
        <f t="shared" si="3"/>
        <v>3429</v>
      </c>
      <c r="O16" s="64">
        <f>IF(AND(K16=""),"",IF(AND(C16=0),"",IF(AND(N16=""),K16,K16-N16)))</f>
        <v>0</v>
      </c>
      <c r="P16" s="21"/>
      <c r="Q16" s="22"/>
      <c r="W16" s="1" t="str">
        <f>"( Rs. "&amp;LOOKUP(IF(INT(RIGHT(V15,7)/100000)&gt;19,INT(RIGHT(V15,7)/1000000),IF(INT(RIGHT(V15,7)/100000)&gt;=10,INT(RIGHT(V15,7)/100000),0)),{0,1,2,3,4,5,6,7,8,9,10,11,12,13,14,15,16,17,18,19},{""," TEN "," TWENTY "," THIRTY "," FOURTY "," FIFTY "," SIXTY "," SEVENTY "," EIGHTY "," NINETY "," TEN "," ELEVEN "," TWELVE "," THIRTEEN "," FOURTEEN "," FIFTEEN "," SIXTEEN"," SEVENTEEN"," EIGHTEEN "," NINETEEN "})&amp;IF((IF(INT(RIGHT(V15,7)/100000)&gt;19,INT(RIGHT(V15,7)/1000000),IF(INT(RIGHT(V15,7)/100000)&gt;=10,INT(RIGHT(V15,7)/100000),0))+IF(INT(RIGHT(V15,7)/100000)&gt;19,INT(RIGHT(V15,6)/100000),IF(INT(RIGHT(V15,7)/100000)&gt;10,0,INT(RIGHT(V15,6)/100000))))&gt;0,LOOKUP(IF(INT(RIGHT(V15,7)/100000)&gt;19,INT(RIGHT(V15,6)/100000),IF(INT(RIGHT(V15,7)/100000)&gt;10,0,INT(RIGHT(V15,6)/100000))),{0,1,2,3,4,5,6,7,8,9,10,11,12,13,14,15,16,17,18,19},{""," ONE "," TWO "," THREE "," FOUR "," FIVE "," SIX "," SEVEN "," EIGHT "," NINE "," TEN "," ELEVEN "," TWELVE "," THIRTEEN "," FOURTEEN "," FIFTEEN "," SIXTEEN"," SEVENTEEN"," EIGHTEEN "," NINETEEN "})&amp;" Lac. "," ")&amp;LOOKUP(IF(INT(RIGHT(V15,5)/1000)&gt;19,INT(RIGHT(V15,5)/10000),IF(INT(RIGHT(V15,5)/1000)&gt;=10,INT(RIGHT(V15,5)/1000),0)),{0,1,2,3,4,5,6,7,8,9,10,11,12,13,14,15,16,17,18,19},{""," TEN "," TWENTY "," THIRTY "," FOURTY "," FIFTY "," SIXTY "," SEVENTY "," EIGHTY "," NINETY "," TEN "," ELEVEN "," TWELVE "," THIRTEEN "," FOURTEEN "," FIFTEEN "," SIXTEEN"," SEVENTEEN"," EIGHTEEN "," NINETEEN "})&amp;IF((IF(INT(RIGHT(V15,5)/1000)&gt;19,INT(RIGHT(V15,4)/1000),IF(INT(RIGHT(V15,5)/1000)&gt;10,0,INT(RIGHT(V15,4)/1000)))+IF(INT(RIGHT(V15,5)/1000)&gt;19,INT(RIGHT(V15,5)/10000),IF(INT(RIGHT(V15,5)/1000)&gt;=10,INT(RIGHT(V15,5)/1000),0)))&gt;0,LOOKUP(IF(INT(RIGHT(V15,5)/1000)&gt;19,INT(RIGHT(V15,4)/1000),IF(INT(RIGHT(V15,5)/1000)&gt;10,0,INT(RIGHT(V15,4)/1000))),{0,1,2,3,4,5,6,7,8,9,10,11,12,13,14,15,16,17,18,19},{""," ONE "," TWO "," THREE "," FOUR "," FIVE "," SIX "," SEVEN "," EIGHT "," NINE "," TEN "," ELEVEN "," TWELVE "," THIRTEEN "," FOURTEEN "," FIFTEEN "," SIXTEEN"," SEVENTEEN"," EIGHTEEN "," NINETEEN "})&amp;" THOUSAND "," ")&amp;IF((INT((RIGHT(V15,3))/100))&gt;0,LOOKUP(INT((RIGHT(V15,3))/100),{0,1,2,3,4,5,6,7,8,9,10,11,12,13,14,15,16,17,18,19},{""," ONE "," TWO "," THREE "," FOUR "," FIVE "," SIX "," SEVEN "," EIGHT "," NINE "," TEN "," ELEVEN "," TWELVE "," THIRTEEN "," FOURTEEN "," FIFTEEN "," SIXTEEN"," SEVENTEEN"," EIGHTEEN "," NINETEEN "})&amp;" HUNDRED "," ")&amp;LOOKUP(IF(INT(RIGHT(V15,2))&gt;19,INT(RIGHT(V15,2)/10),IF(INT(RIGHT(V15,2))&gt;=10,INT(RIGHT(V15,2)),0)),{0,1,2,3,4,5,6,7,8,9,10,11,12,13,14,15,16,17,18,19},{""," TEN "," TWENTY "," THIRTY "," FOURTY "," FIFTY "," SIXTY "," SEVENTY "," EIGHTY "," NINETY "," TEN "," ELEVEN "," TWELVE "," THIRTEEN "," FOURTEEN "," FIFTEEN "," SIXTEEN"," SEVENTEEN"," EIGHTEEN "," NINETEEN "})&amp;LOOKUP(IF(INT(RIGHT(V15,2))&lt;10,INT(RIGHT(V15,1)),IF(INT(RIGHT(V15,2))&lt;20,0,INT(RIGHT(V15,1)))),{0,1,2,3,4,5,6,7,8,9,10,11,12,13,14,15,16,17,18,19},{""," ONE "," TWO "," THREE "," FOUR "," FIVE "," SIX "," SEVEN "," EIGHT "," NINE "," TEN "," ELEVEN "," TWELVE "," THIRTEEN "," FOURTEEN "," FIFTEEN "," SIXTEEN"," SEVENTEEN"," EIGHTEEN "," NINETEEN "})&amp;" Only)"</f>
        <v>( Rs.   TWENTY  SEVEN  THOUSAND  SEVEN  HUNDRED  FIFTY  Only)</v>
      </c>
      <c r="X16" s="2"/>
      <c r="AB16" s="3"/>
      <c r="AC16" s="3"/>
      <c r="AD16" s="3"/>
      <c r="AE16" s="3"/>
      <c r="AF16" s="3"/>
    </row>
    <row r="17" spans="1:43" ht="18" customHeight="1">
      <c r="A17" s="61">
        <v>8</v>
      </c>
      <c r="B17" s="62" t="s">
        <v>26</v>
      </c>
      <c r="C17" s="20">
        <f>C16</f>
        <v>28600</v>
      </c>
      <c r="D17" s="63">
        <f t="shared" ref="D17:D18" si="6">ROUND((C17*5%),0)</f>
        <v>1430</v>
      </c>
      <c r="E17" s="63">
        <f>SUM(C17:D17)</f>
        <v>30030</v>
      </c>
      <c r="F17" s="20">
        <f>F16</f>
        <v>11130</v>
      </c>
      <c r="G17" s="63">
        <f t="shared" ref="G17:G18" si="7">ROUND((F17*139%),0)</f>
        <v>15471</v>
      </c>
      <c r="H17" s="63">
        <f>SUM(F17:G17)</f>
        <v>26601</v>
      </c>
      <c r="I17" s="20">
        <f>IF(AND(C17=""),"",IF(AND(F17=""),"",C17-F17))</f>
        <v>17470</v>
      </c>
      <c r="J17" s="20">
        <f>IF(AND(D17=""),"",IF(AND(G17=""),"",D17-G17))</f>
        <v>-14041</v>
      </c>
      <c r="K17" s="63">
        <f>SUM(I17:J17)</f>
        <v>3429</v>
      </c>
      <c r="L17" s="20">
        <f>IF(AND(C17=""),"",IF(AND(K17=""),"",IF(AND($Y$4=$X$6),K17-ROUND(((K17)*10%),0),ROUND(((K17)*10%),0))))</f>
        <v>3086</v>
      </c>
      <c r="M17" s="20">
        <f t="shared" si="2"/>
        <v>343</v>
      </c>
      <c r="N17" s="63">
        <f t="shared" si="3"/>
        <v>3429</v>
      </c>
      <c r="O17" s="64">
        <f>IF(AND(K17=""),"",IF(AND(C17=0),"",IF(AND(N17=""),K17,K17-N17)))</f>
        <v>0</v>
      </c>
      <c r="P17" s="21"/>
      <c r="Q17" s="22"/>
      <c r="V17" s="1">
        <f>IF(AND($P$4=""),"",K22)</f>
        <v>27750</v>
      </c>
      <c r="W17" s="1" t="str">
        <f>"( Rs. "&amp;LOOKUP(IF(INT(RIGHT(V17,7)/100000)&gt;19,INT(RIGHT(V17,7)/1000000),IF(INT(RIGHT(V17,7)/100000)&gt;=10,INT(RIGHT(V17,7)/100000),0)),{0,1,2,3,4,5,6,7,8,9,10,11,12,13,14,15,16,17,18,19},{""," TEN "," TWENTY "," THIRTY "," FOURTY "," FIFTY "," SIXTY "," SEVENTY "," EIGHTY "," NINETY "," TEN "," ELEVEN "," TWELVE "," THIRTEEN "," FOURTEEN "," FIFTEEN "," SIXTEEN"," SEVENTEEN"," EIGHTEEN "," NINETEEN "})&amp;IF((IF(INT(RIGHT(V17,7)/100000)&gt;19,INT(RIGHT(V17,7)/1000000),IF(INT(RIGHT(V17,7)/100000)&gt;=10,INT(RIGHT(V17,7)/100000),0))+IF(INT(RIGHT(V17,7)/100000)&gt;19,INT(RIGHT(V17,6)/100000),IF(INT(RIGHT(V17,7)/100000)&gt;10,0,INT(RIGHT(V17,6)/100000))))&gt;0,LOOKUP(IF(INT(RIGHT(V17,7)/100000)&gt;19,INT(RIGHT(V17,6)/100000),IF(INT(RIGHT(V17,7)/100000)&gt;10,0,INT(RIGHT(V17,6)/100000))),{0,1,2,3,4,5,6,7,8,9,10,11,12,13,14,15,16,17,18,19},{""," ONE "," TWO "," THREE "," FOUR "," FIVE "," SIX "," SEVEN "," EIGHT "," NINE "," TEN "," ELEVEN "," TWELVE "," THIRTEEN "," FOURTEEN "," FIFTEEN "," SIXTEEN"," SEVENTEEN"," EIGHTEEN "," NINETEEN "})&amp;" Lac. "," ")&amp;LOOKUP(IF(INT(RIGHT(V17,5)/1000)&gt;19,INT(RIGHT(V17,5)/10000),IF(INT(RIGHT(V17,5)/1000)&gt;=10,INT(RIGHT(V17,5)/1000),0)),{0,1,2,3,4,5,6,7,8,9,10,11,12,13,14,15,16,17,18,19},{""," TEN "," TWENTY "," THIRTY "," FOURTY "," FIFTY "," SIXTY "," SEVENTY "," EIGHTY "," NINETY "," TEN "," ELEVEN "," TWELVE "," THIRTEEN "," FOURTEEN "," FIFTEEN "," SIXTEEN"," SEVENTEEN"," EIGHTEEN "," NINETEEN "})&amp;IF((IF(INT(RIGHT(V17,5)/1000)&gt;19,INT(RIGHT(V17,4)/1000),IF(INT(RIGHT(V17,5)/1000)&gt;10,0,INT(RIGHT(V17,4)/1000)))+IF(INT(RIGHT(V17,5)/1000)&gt;19,INT(RIGHT(V17,5)/10000),IF(INT(RIGHT(V17,5)/1000)&gt;=10,INT(RIGHT(V17,5)/1000),0)))&gt;0,LOOKUP(IF(INT(RIGHT(V17,5)/1000)&gt;19,INT(RIGHT(V17,4)/1000),IF(INT(RIGHT(V17,5)/1000)&gt;10,0,INT(RIGHT(V17,4)/1000))),{0,1,2,3,4,5,6,7,8,9,10,11,12,13,14,15,16,17,18,19},{""," ONE "," TWO "," THREE "," FOUR "," FIVE "," SIX "," SEVEN "," EIGHT "," NINE "," TEN "," ELEVEN "," TWELVE "," THIRTEEN "," FOURTEEN "," FIFTEEN "," SIXTEEN"," SEVENTEEN"," EIGHTEEN "," NINETEEN "})&amp;" THOUSAND "," ")&amp;IF((INT((RIGHT(V17,3))/100))&gt;0,LOOKUP(INT((RIGHT(V17,3))/100),{0,1,2,3,4,5,6,7,8,9,10,11,12,13,14,15,16,17,18,19},{""," ONE "," TWO "," THREE "," FOUR "," FIVE "," SIX "," SEVEN "," EIGHT "," NINE "," TEN "," ELEVEN "," TWELVE "," THIRTEEN "," FOURTEEN "," FIFTEEN "," SIXTEEN"," SEVENTEEN"," EIGHTEEN "," NINETEEN "})&amp;" HUNDRED "," ")&amp;LOOKUP(IF(INT(RIGHT(V17,2))&gt;19,INT(RIGHT(V17,2)/10),IF(INT(RIGHT(V17,2))&gt;=10,INT(RIGHT(V17,2)),0)),{0,1,2,3,4,5,6,7,8,9,10,11,12,13,14,15,16,17,18,19},{""," TEN "," TWENTY "," THIRTY "," FOURTY "," FIFTY "," SIXTY "," SEVENTY "," EIGHTY "," NINETY "," TEN "," ELEVEN "," TWELVE "," THIRTEEN "," FOURTEEN "," FIFTEEN "," SIXTEEN"," SEVENTEEN"," EIGHTEEN "," NINETEEN "})&amp;LOOKUP(IF(INT(RIGHT(V17,2))&lt;10,INT(RIGHT(V17,1)),IF(INT(RIGHT(V17,2))&lt;20,0,INT(RIGHT(V17,1)))),{0,1,2,3,4,5,6,7,8,9,10,11,12,13,14,15,16,17,18,19},{""," ONE "," TWO "," THREE "," FOUR "," FIVE "," SIX "," SEVEN "," EIGHT "," NINE "," TEN "," ELEVEN "," TWELVE "," THIRTEEN "," FOURTEEN "," FIFTEEN "," SIXTEEN"," SEVENTEEN"," EIGHTEEN "," NINETEEN "})&amp;" Only)"</f>
        <v>( Rs.   TWENTY  SEVEN  THOUSAND  SEVEN  HUNDRED  FIFTY  Only)</v>
      </c>
      <c r="AB17" s="3"/>
      <c r="AC17" s="3"/>
      <c r="AD17" s="3"/>
      <c r="AE17" s="3"/>
      <c r="AF17" s="3"/>
      <c r="AO17" s="114" t="s">
        <v>58</v>
      </c>
      <c r="AP17" s="114"/>
      <c r="AQ17" s="114"/>
    </row>
    <row r="18" spans="1:43" ht="18" customHeight="1">
      <c r="A18" s="61">
        <v>9</v>
      </c>
      <c r="B18" s="62" t="s">
        <v>27</v>
      </c>
      <c r="C18" s="20">
        <f>C17</f>
        <v>28600</v>
      </c>
      <c r="D18" s="63">
        <f t="shared" si="6"/>
        <v>1430</v>
      </c>
      <c r="E18" s="63">
        <f>SUM(C18:D18)</f>
        <v>30030</v>
      </c>
      <c r="F18" s="20">
        <f>F17</f>
        <v>11130</v>
      </c>
      <c r="G18" s="63">
        <f t="shared" si="7"/>
        <v>15471</v>
      </c>
      <c r="H18" s="63">
        <f>SUM(F18:G18)</f>
        <v>26601</v>
      </c>
      <c r="I18" s="65">
        <f>IF(AND(C18=""),"",IF(AND(F18=""),"",C18-F18))</f>
        <v>17470</v>
      </c>
      <c r="J18" s="65">
        <f>IF(AND(D18=""),"",IF(AND(G18=""),"",D18-G18))</f>
        <v>-14041</v>
      </c>
      <c r="K18" s="63">
        <f>SUM(I18:J18)</f>
        <v>3429</v>
      </c>
      <c r="L18" s="20">
        <f>IF(AND(C18=""),"",IF(AND(K18=""),"",IF(AND($Y$4=$X$6),K18-ROUND(((K18)*10%),0),ROUND(((K18)*10%),0))))</f>
        <v>3086</v>
      </c>
      <c r="M18" s="20">
        <f t="shared" si="2"/>
        <v>343</v>
      </c>
      <c r="N18" s="21">
        <f t="shared" si="3"/>
        <v>3429</v>
      </c>
      <c r="O18" s="64">
        <f>IF(AND(K18=""),"",IF(AND(C18=0),"",IF(AND(N18=""),K18,K18-N18)))</f>
        <v>0</v>
      </c>
      <c r="P18" s="21"/>
      <c r="Q18" s="22"/>
      <c r="X18" s="2"/>
      <c r="AB18" s="3"/>
      <c r="AC18" s="3"/>
      <c r="AD18" s="3"/>
      <c r="AE18" s="3"/>
      <c r="AF18" s="3"/>
      <c r="AO18" s="114"/>
      <c r="AP18" s="114"/>
      <c r="AQ18" s="114"/>
    </row>
    <row r="19" spans="1:43" hidden="1">
      <c r="A19" s="61"/>
      <c r="B19" s="66"/>
      <c r="C19" s="66"/>
      <c r="D19" s="65"/>
      <c r="E19" s="20"/>
      <c r="F19" s="65"/>
      <c r="G19" s="65"/>
      <c r="H19" s="63"/>
      <c r="I19" s="65"/>
      <c r="J19" s="65"/>
      <c r="K19" s="65"/>
      <c r="L19" s="20"/>
      <c r="M19" s="20"/>
      <c r="N19" s="21"/>
      <c r="O19" s="64"/>
      <c r="P19" s="21"/>
      <c r="Q19" s="22"/>
      <c r="X19" s="2"/>
      <c r="AB19" s="3"/>
      <c r="AC19" s="3"/>
      <c r="AD19" s="3"/>
      <c r="AE19" s="3"/>
      <c r="AF19" s="3"/>
    </row>
    <row r="20" spans="1:43" hidden="1">
      <c r="A20" s="61"/>
      <c r="B20" s="66"/>
      <c r="C20" s="66"/>
      <c r="D20" s="65"/>
      <c r="E20" s="20"/>
      <c r="F20" s="65"/>
      <c r="G20" s="65"/>
      <c r="H20" s="63"/>
      <c r="I20" s="65"/>
      <c r="J20" s="65"/>
      <c r="K20" s="65"/>
      <c r="L20" s="20"/>
      <c r="M20" s="20"/>
      <c r="N20" s="21"/>
      <c r="O20" s="64"/>
      <c r="P20" s="21"/>
      <c r="Q20" s="12"/>
      <c r="R20" s="3"/>
      <c r="S20" s="8"/>
      <c r="X20" s="2"/>
      <c r="AB20" s="3"/>
      <c r="AC20" s="3"/>
      <c r="AD20" s="3"/>
      <c r="AE20" s="3"/>
      <c r="AF20" s="3"/>
    </row>
    <row r="21" spans="1:43" ht="18.75">
      <c r="A21" s="67" t="s">
        <v>28</v>
      </c>
      <c r="B21" s="68"/>
      <c r="C21" s="69">
        <f>IF(AND($P$4=""),"",SUM(C10:C20))</f>
        <v>252600</v>
      </c>
      <c r="D21" s="69">
        <f>IF(AND($P$4=""),"",SUM(D10:D20))</f>
        <v>10962</v>
      </c>
      <c r="E21" s="69">
        <f>IF(AND($P$4=""),"",SUM(E10:E20))</f>
        <v>263562</v>
      </c>
      <c r="F21" s="70">
        <f>IF(AND($P$4=""),"",SUM(F10:F20))</f>
        <v>98190</v>
      </c>
      <c r="G21" s="70">
        <f>IF(AND($P$4=""),"",SUM(G10:G20))</f>
        <v>134541</v>
      </c>
      <c r="H21" s="70">
        <f>IF(AND($P$4=""),"",SUM(H10:H20))</f>
        <v>232731</v>
      </c>
      <c r="I21" s="70">
        <f>IF(AND($P$4=""),"",SUM(I10:I20))</f>
        <v>154410</v>
      </c>
      <c r="J21" s="70">
        <f>IF(AND($P$4=""),"",SUM(J10:J20))</f>
        <v>-123579</v>
      </c>
      <c r="K21" s="70">
        <f>IF(AND($P$4=""),"",SUM(K10:K20))</f>
        <v>30831</v>
      </c>
      <c r="L21" s="70">
        <f>IF(AND($P$4=""),"",SUM(L10:L20))</f>
        <v>27750</v>
      </c>
      <c r="M21" s="70">
        <f>IF(AND($P$4=""),"",SUM(M10:M20))</f>
        <v>3081</v>
      </c>
      <c r="N21" s="70">
        <f>IF(AND($P$4=""),"",SUM(N10:N20))</f>
        <v>30831</v>
      </c>
      <c r="O21" s="71">
        <f>IF(AND($P$4=""),"",SUM(O10:O20))</f>
        <v>0</v>
      </c>
      <c r="P21" s="23"/>
      <c r="Q21" s="24"/>
      <c r="AB21" s="3"/>
      <c r="AC21" s="3"/>
      <c r="AD21" s="3"/>
      <c r="AE21" s="3"/>
      <c r="AF21" s="3"/>
    </row>
    <row r="22" spans="1:43" ht="17.25">
      <c r="A22" s="72"/>
      <c r="B22" s="73"/>
      <c r="C22" s="73" t="s">
        <v>41</v>
      </c>
      <c r="D22" s="74" t="str">
        <f>IF(AND(P$4=""),"",IF(AND(AC7&lt;=AC8),"01-01-2017",AC7))</f>
        <v>01-01-2017</v>
      </c>
      <c r="E22" s="74"/>
      <c r="F22" s="75" t="s">
        <v>54</v>
      </c>
      <c r="G22" s="75"/>
      <c r="H22" s="75"/>
      <c r="I22" s="75"/>
      <c r="J22" s="75"/>
      <c r="K22" s="76">
        <f>IF(AND(P4=""),"",IF(AND(Y4=$X$7),O21,L21))</f>
        <v>27750</v>
      </c>
      <c r="L22" s="77" t="str">
        <f>IF(AND(P$4=""),"",IF(AND(Y4=$X$7),"dk udn Hkqxrku fd;k x;k A","jkf'k thih,Q esa tek A"))</f>
        <v>jkf'k thih,Q esa tek A</v>
      </c>
      <c r="M22" s="77"/>
      <c r="N22" s="77"/>
      <c r="O22" s="77"/>
      <c r="P22" s="78"/>
      <c r="Q22" s="79"/>
      <c r="T22" s="10"/>
      <c r="AB22" s="3"/>
      <c r="AC22" s="3"/>
      <c r="AD22" s="3"/>
      <c r="AE22" s="3"/>
      <c r="AF22" s="3"/>
    </row>
    <row r="23" spans="1:43" ht="18.75">
      <c r="A23" s="43"/>
      <c r="B23" s="18"/>
      <c r="C23" s="18"/>
      <c r="D23" s="80"/>
      <c r="E23" s="80"/>
      <c r="F23" s="80"/>
      <c r="G23" s="80"/>
      <c r="H23" s="18"/>
      <c r="I23" s="18"/>
      <c r="J23" s="81" t="s">
        <v>46</v>
      </c>
      <c r="K23" s="81"/>
      <c r="L23" s="81"/>
      <c r="M23" s="82">
        <f>IF(AND($P$4=""),"",K21)</f>
        <v>30831</v>
      </c>
      <c r="N23" s="82"/>
      <c r="O23" s="83" t="s">
        <v>34</v>
      </c>
      <c r="P23" s="83"/>
      <c r="Q23" s="84"/>
      <c r="AB23" s="3"/>
      <c r="AC23" s="3"/>
      <c r="AD23" s="3"/>
      <c r="AE23" s="3"/>
      <c r="AF23" s="3"/>
    </row>
    <row r="24" spans="1:43" ht="21" customHeight="1">
      <c r="A24" s="43"/>
      <c r="B24" s="85" t="str">
        <f>IF(AND($P$4=""),"",IF(AND(F4=""),"",IF(AND(E7=""),"",E7)))</f>
        <v xml:space="preserve">All installment of Arrear on 01-10-2018 </v>
      </c>
      <c r="C24" s="85"/>
      <c r="D24" s="85"/>
      <c r="E24" s="85"/>
      <c r="F24" s="85"/>
      <c r="G24" s="85"/>
      <c r="H24" s="85"/>
      <c r="I24" s="85"/>
      <c r="J24" s="81" t="str">
        <f>IF(AND(P4=""),"",IF(AND(Y4=$X$7),",u-ih-,l- dVkSrh","jkf'k thih,Q esa tek A"))</f>
        <v>jkf'k thih,Q esa tek A</v>
      </c>
      <c r="K24" s="81"/>
      <c r="L24" s="81"/>
      <c r="M24" s="82">
        <f>IF(AND($P$4=""),"",L21)</f>
        <v>27750</v>
      </c>
      <c r="N24" s="82"/>
      <c r="O24" s="86" t="str">
        <f>IF(AND($P$4=""),"",W17)</f>
        <v>( Rs.   TWENTY  SEVEN  THOUSAND  SEVEN  HUNDRED  FIFTY  Only)</v>
      </c>
      <c r="P24" s="86"/>
      <c r="Q24" s="87"/>
      <c r="AB24" s="3"/>
      <c r="AC24" s="3"/>
      <c r="AD24" s="3"/>
      <c r="AE24" s="3"/>
      <c r="AF24" s="3"/>
    </row>
    <row r="25" spans="1:43" ht="21" customHeight="1">
      <c r="A25" s="43"/>
      <c r="B25" s="88"/>
      <c r="C25" s="89"/>
      <c r="D25" s="89"/>
      <c r="E25" s="89"/>
      <c r="F25" s="89"/>
      <c r="G25" s="89"/>
      <c r="H25" s="90"/>
      <c r="I25" s="90"/>
      <c r="J25" s="81" t="s">
        <v>32</v>
      </c>
      <c r="K25" s="81"/>
      <c r="L25" s="81"/>
      <c r="M25" s="82">
        <f>IF(AND($P$4=""),"",M21)</f>
        <v>3081</v>
      </c>
      <c r="N25" s="82"/>
      <c r="O25" s="86"/>
      <c r="P25" s="86"/>
      <c r="Q25" s="87"/>
    </row>
    <row r="26" spans="1:43" ht="15.75">
      <c r="A26" s="91"/>
      <c r="B26" s="92"/>
      <c r="C26" s="93"/>
      <c r="D26" s="93"/>
      <c r="E26" s="93"/>
      <c r="F26" s="93"/>
      <c r="G26" s="93"/>
      <c r="H26" s="94"/>
      <c r="I26" s="94"/>
      <c r="J26" s="95" t="s">
        <v>33</v>
      </c>
      <c r="K26" s="95"/>
      <c r="L26" s="95"/>
      <c r="M26" s="96">
        <f>IF(AND(Y4=$X$7),SUM(M23-M24-M25),0)</f>
        <v>0</v>
      </c>
      <c r="N26" s="96"/>
      <c r="O26" s="97" t="str">
        <f>IF(AND(P$4=""),"",IF(AND(Y4=$X$7),"dk udn Hkqxrku fd;k x;k","jkf'k thih,Q esa tek"))</f>
        <v>jkf'k thih,Q esa tek</v>
      </c>
      <c r="P26" s="97"/>
      <c r="Q26" s="98"/>
    </row>
    <row r="27" spans="1:43" ht="18.75">
      <c r="A27" s="43"/>
      <c r="B27" s="88"/>
      <c r="C27" s="89"/>
      <c r="D27" s="89"/>
      <c r="E27" s="89"/>
      <c r="F27" s="89"/>
      <c r="G27" s="89"/>
      <c r="H27" s="90"/>
      <c r="I27" s="90"/>
      <c r="J27" s="90"/>
      <c r="K27" s="99"/>
      <c r="L27" s="18"/>
      <c r="M27" s="18"/>
      <c r="N27" s="100"/>
      <c r="O27" s="100"/>
      <c r="P27" s="100"/>
      <c r="Q27" s="101"/>
    </row>
    <row r="28" spans="1:43" ht="19.5" customHeight="1">
      <c r="A28" s="43"/>
      <c r="B28" s="88"/>
      <c r="C28" s="102"/>
      <c r="D28" s="102"/>
      <c r="E28" s="102"/>
      <c r="F28" s="102"/>
      <c r="G28" s="102"/>
      <c r="H28" s="90"/>
      <c r="I28" s="90"/>
      <c r="J28" s="90"/>
      <c r="K28" s="99"/>
      <c r="L28" s="18"/>
      <c r="M28" s="18"/>
      <c r="N28" s="100"/>
      <c r="O28" s="35" t="s">
        <v>52</v>
      </c>
      <c r="P28" s="35"/>
      <c r="Q28" s="36"/>
    </row>
    <row r="29" spans="1:43" ht="15.75">
      <c r="A29" s="43"/>
      <c r="B29" s="18"/>
      <c r="C29" s="18"/>
      <c r="D29" s="18"/>
      <c r="E29" s="18"/>
      <c r="F29" s="18"/>
      <c r="G29" s="18"/>
      <c r="H29" s="18"/>
      <c r="I29" s="18"/>
      <c r="J29" s="18"/>
      <c r="K29" s="18"/>
      <c r="L29" s="18"/>
      <c r="M29" s="18"/>
      <c r="N29" s="18"/>
      <c r="O29" s="31" t="s">
        <v>36</v>
      </c>
      <c r="P29" s="31"/>
      <c r="Q29" s="32"/>
    </row>
    <row r="30" spans="1:43" ht="16.5" thickBot="1">
      <c r="A30" s="103"/>
      <c r="B30" s="104"/>
      <c r="C30" s="104"/>
      <c r="D30" s="104"/>
      <c r="E30" s="104"/>
      <c r="F30" s="104"/>
      <c r="G30" s="104"/>
      <c r="H30" s="104"/>
      <c r="I30" s="104"/>
      <c r="J30" s="104"/>
      <c r="K30" s="104"/>
      <c r="L30" s="104"/>
      <c r="M30" s="104"/>
      <c r="N30" s="104"/>
      <c r="O30" s="33" t="s">
        <v>37</v>
      </c>
      <c r="P30" s="33"/>
      <c r="Q30" s="34"/>
    </row>
  </sheetData>
  <sheetProtection password="C1FB" sheet="1" objects="1" scenarios="1" formatCells="0" formatColumns="0" formatRows="0" insertColumns="0" insertRows="0" insertHyperlinks="0" deleteColumns="0" deleteRows="0"/>
  <mergeCells count="45">
    <mergeCell ref="AO17:AQ18"/>
    <mergeCell ref="B2:P2"/>
    <mergeCell ref="B3:P3"/>
    <mergeCell ref="C4:E4"/>
    <mergeCell ref="F4:H4"/>
    <mergeCell ref="I4:J4"/>
    <mergeCell ref="K4:M4"/>
    <mergeCell ref="N4:O4"/>
    <mergeCell ref="R4:S4"/>
    <mergeCell ref="B5:P5"/>
    <mergeCell ref="C6:O6"/>
    <mergeCell ref="E7:L7"/>
    <mergeCell ref="A8:A9"/>
    <mergeCell ref="B8:B9"/>
    <mergeCell ref="C8:E8"/>
    <mergeCell ref="F8:H8"/>
    <mergeCell ref="I8:K8"/>
    <mergeCell ref="L8:N8"/>
    <mergeCell ref="O8:O9"/>
    <mergeCell ref="P8:P9"/>
    <mergeCell ref="Q8:Q9"/>
    <mergeCell ref="A21:B21"/>
    <mergeCell ref="P21:Q21"/>
    <mergeCell ref="L22:O22"/>
    <mergeCell ref="F22:J22"/>
    <mergeCell ref="D22:E22"/>
    <mergeCell ref="D23:G23"/>
    <mergeCell ref="J23:L23"/>
    <mergeCell ref="M23:N23"/>
    <mergeCell ref="O23:Q23"/>
    <mergeCell ref="B24:I24"/>
    <mergeCell ref="J24:L24"/>
    <mergeCell ref="M24:N24"/>
    <mergeCell ref="O24:Q25"/>
    <mergeCell ref="C25:G25"/>
    <mergeCell ref="J25:L25"/>
    <mergeCell ref="M25:N25"/>
    <mergeCell ref="O29:Q29"/>
    <mergeCell ref="O30:Q30"/>
    <mergeCell ref="C26:G26"/>
    <mergeCell ref="J26:L26"/>
    <mergeCell ref="M26:N26"/>
    <mergeCell ref="O26:Q26"/>
    <mergeCell ref="C27:G27"/>
    <mergeCell ref="O28:Q28"/>
  </mergeCells>
  <dataValidations count="1">
    <dataValidation type="list" allowBlank="1" showInputMessage="1" showErrorMessage="1" sqref="P4">
      <formula1>$X$6:$X$8</formula1>
    </dataValidation>
  </dataValidations>
  <pageMargins left="0.7" right="0.2" top="0.75" bottom="0.75" header="0.3" footer="0.3"/>
  <pageSetup paperSize="9" scale="95"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dimension ref="A1:AS30"/>
  <sheetViews>
    <sheetView workbookViewId="0">
      <selection activeCell="G30" sqref="G30"/>
    </sheetView>
  </sheetViews>
  <sheetFormatPr defaultRowHeight="15"/>
  <cols>
    <col min="1" max="1" width="4.85546875" style="39" customWidth="1"/>
    <col min="2" max="2" width="10.42578125" style="39" customWidth="1"/>
    <col min="3" max="3" width="7.28515625" style="39" customWidth="1"/>
    <col min="4" max="4" width="7.5703125" style="39" customWidth="1"/>
    <col min="5" max="5" width="7.7109375" style="39" customWidth="1"/>
    <col min="6" max="6" width="8" style="39" customWidth="1"/>
    <col min="7" max="7" width="7.7109375" style="39" customWidth="1"/>
    <col min="8" max="8" width="8.28515625" style="39" customWidth="1"/>
    <col min="9" max="9" width="7.5703125" style="39" customWidth="1"/>
    <col min="10" max="10" width="7.7109375" style="39" customWidth="1"/>
    <col min="11" max="11" width="7.85546875" style="39" customWidth="1"/>
    <col min="12" max="12" width="8.42578125" style="39" customWidth="1"/>
    <col min="13" max="14" width="7.85546875" style="39" customWidth="1"/>
    <col min="15" max="15" width="8.140625" style="39" customWidth="1"/>
    <col min="16" max="16" width="8.28515625" style="39" customWidth="1"/>
    <col min="17" max="17" width="10.7109375" style="39" customWidth="1"/>
    <col min="18" max="18" width="12.42578125" style="39" customWidth="1"/>
    <col min="19" max="20" width="9.140625" style="1"/>
    <col min="21" max="23" width="9.140625" style="1" hidden="1" customWidth="1"/>
    <col min="24" max="24" width="27.140625" style="1" hidden="1" customWidth="1"/>
    <col min="25" max="39" width="9.140625" style="1" hidden="1" customWidth="1"/>
    <col min="40" max="48" width="9.140625" style="1" customWidth="1"/>
    <col min="49" max="16384" width="9.140625" style="1"/>
  </cols>
  <sheetData>
    <row r="1" spans="1:38" ht="9.75" customHeight="1" thickBot="1">
      <c r="X1" s="1" t="s">
        <v>39</v>
      </c>
      <c r="AA1" s="4"/>
    </row>
    <row r="2" spans="1:38" ht="18.75">
      <c r="A2" s="40" t="s">
        <v>43</v>
      </c>
      <c r="B2" s="41" t="s">
        <v>30</v>
      </c>
      <c r="C2" s="41"/>
      <c r="D2" s="41"/>
      <c r="E2" s="41"/>
      <c r="F2" s="41"/>
      <c r="G2" s="41"/>
      <c r="H2" s="41"/>
      <c r="I2" s="41"/>
      <c r="J2" s="41"/>
      <c r="K2" s="41"/>
      <c r="L2" s="41"/>
      <c r="M2" s="41"/>
      <c r="N2" s="41"/>
      <c r="O2" s="41"/>
      <c r="P2" s="41"/>
      <c r="Q2" s="41"/>
      <c r="R2" s="42"/>
      <c r="S2" s="5"/>
      <c r="T2" s="5"/>
      <c r="U2" s="5"/>
      <c r="V2" s="5"/>
      <c r="X2" s="1" t="s">
        <v>38</v>
      </c>
      <c r="AA2" s="4"/>
      <c r="AD2" s="1" t="s">
        <v>3</v>
      </c>
      <c r="AE2" s="1" t="b">
        <v>0</v>
      </c>
    </row>
    <row r="3" spans="1:38" ht="18.75">
      <c r="A3" s="43"/>
      <c r="B3" s="26" t="s">
        <v>49</v>
      </c>
      <c r="C3" s="26"/>
      <c r="D3" s="26"/>
      <c r="E3" s="26"/>
      <c r="F3" s="26"/>
      <c r="G3" s="26"/>
      <c r="H3" s="26"/>
      <c r="I3" s="26"/>
      <c r="J3" s="26"/>
      <c r="K3" s="26"/>
      <c r="L3" s="26"/>
      <c r="M3" s="26"/>
      <c r="N3" s="26"/>
      <c r="O3" s="26"/>
      <c r="P3" s="26"/>
      <c r="Q3" s="26"/>
      <c r="R3" s="44"/>
      <c r="S3" s="5"/>
      <c r="T3" s="5"/>
      <c r="U3" s="5"/>
      <c r="V3" s="5"/>
      <c r="X3" s="1" t="s">
        <v>40</v>
      </c>
      <c r="AA3" s="4"/>
      <c r="AE3" s="1" t="b">
        <v>1</v>
      </c>
    </row>
    <row r="4" spans="1:38" ht="18.75">
      <c r="A4" s="43"/>
      <c r="B4" s="15"/>
      <c r="C4" s="27" t="s">
        <v>31</v>
      </c>
      <c r="D4" s="27"/>
      <c r="E4" s="27"/>
      <c r="F4" s="28" t="s">
        <v>50</v>
      </c>
      <c r="G4" s="28"/>
      <c r="H4" s="28"/>
      <c r="I4" s="27" t="s">
        <v>29</v>
      </c>
      <c r="J4" s="27"/>
      <c r="K4" s="28" t="s">
        <v>51</v>
      </c>
      <c r="L4" s="28"/>
      <c r="M4" s="28"/>
      <c r="N4" s="28"/>
      <c r="O4" s="29" t="s">
        <v>42</v>
      </c>
      <c r="P4" s="29"/>
      <c r="Q4" s="11" t="s">
        <v>5</v>
      </c>
      <c r="R4" s="44"/>
      <c r="S4" s="25"/>
      <c r="T4" s="25"/>
      <c r="U4" s="7"/>
      <c r="V4" s="7"/>
      <c r="Z4" s="1" t="str">
        <f>Q4</f>
        <v>NPS</v>
      </c>
      <c r="AA4" s="4"/>
    </row>
    <row r="5" spans="1:38" ht="18.75">
      <c r="A5" s="43"/>
      <c r="B5" s="26" t="s">
        <v>55</v>
      </c>
      <c r="C5" s="26"/>
      <c r="D5" s="26"/>
      <c r="E5" s="26"/>
      <c r="F5" s="26"/>
      <c r="G5" s="26"/>
      <c r="H5" s="26"/>
      <c r="I5" s="26"/>
      <c r="J5" s="26"/>
      <c r="K5" s="26"/>
      <c r="L5" s="26"/>
      <c r="M5" s="26"/>
      <c r="N5" s="26"/>
      <c r="O5" s="26"/>
      <c r="P5" s="26"/>
      <c r="Q5" s="26"/>
      <c r="R5" s="44"/>
      <c r="S5" s="6"/>
      <c r="T5" s="6"/>
      <c r="U5" s="6"/>
      <c r="V5" s="6"/>
      <c r="AA5" s="4"/>
    </row>
    <row r="6" spans="1:38" ht="10.5" customHeight="1">
      <c r="A6" s="43"/>
      <c r="B6" s="16"/>
      <c r="C6" s="30"/>
      <c r="D6" s="30"/>
      <c r="E6" s="30"/>
      <c r="F6" s="30"/>
      <c r="G6" s="30"/>
      <c r="H6" s="30"/>
      <c r="I6" s="30"/>
      <c r="J6" s="30"/>
      <c r="K6" s="30"/>
      <c r="L6" s="30"/>
      <c r="M6" s="30"/>
      <c r="N6" s="30"/>
      <c r="O6" s="30"/>
      <c r="P6" s="30"/>
      <c r="Q6" s="16"/>
      <c r="R6" s="46"/>
      <c r="X6" s="1" t="s">
        <v>1</v>
      </c>
      <c r="Y6" s="1" t="s">
        <v>4</v>
      </c>
      <c r="Z6" s="1" t="s">
        <v>0</v>
      </c>
      <c r="AA6" s="4"/>
    </row>
    <row r="7" spans="1:38" ht="20.25">
      <c r="A7" s="47"/>
      <c r="B7" s="17"/>
      <c r="C7" s="17"/>
      <c r="D7" s="17"/>
      <c r="E7" s="38" t="s">
        <v>56</v>
      </c>
      <c r="F7" s="38"/>
      <c r="G7" s="38"/>
      <c r="H7" s="38"/>
      <c r="I7" s="38"/>
      <c r="J7" s="38"/>
      <c r="K7" s="38"/>
      <c r="L7" s="38"/>
      <c r="M7" s="38"/>
      <c r="N7" s="17"/>
      <c r="O7" s="17"/>
      <c r="P7" s="17"/>
      <c r="Q7" s="18"/>
      <c r="R7" s="46"/>
      <c r="X7" s="1" t="s">
        <v>3</v>
      </c>
      <c r="Y7" s="1" t="s">
        <v>5</v>
      </c>
      <c r="Z7" s="1" t="s">
        <v>2</v>
      </c>
      <c r="AA7" s="4"/>
      <c r="AC7" s="8"/>
    </row>
    <row r="8" spans="1:38" ht="32.25" customHeight="1">
      <c r="A8" s="48" t="s">
        <v>6</v>
      </c>
      <c r="B8" s="49" t="s">
        <v>7</v>
      </c>
      <c r="C8" s="50" t="s">
        <v>8</v>
      </c>
      <c r="D8" s="50"/>
      <c r="E8" s="50"/>
      <c r="F8" s="50" t="s">
        <v>9</v>
      </c>
      <c r="G8" s="50"/>
      <c r="H8" s="50"/>
      <c r="I8" s="51" t="s">
        <v>10</v>
      </c>
      <c r="J8" s="51"/>
      <c r="K8" s="51"/>
      <c r="L8" s="105" t="s">
        <v>57</v>
      </c>
      <c r="M8" s="52" t="s">
        <v>35</v>
      </c>
      <c r="N8" s="53"/>
      <c r="O8" s="54"/>
      <c r="P8" s="55" t="s">
        <v>13</v>
      </c>
      <c r="Q8" s="56" t="s">
        <v>14</v>
      </c>
      <c r="R8" s="57" t="s">
        <v>15</v>
      </c>
      <c r="AA8" s="4"/>
      <c r="AC8" s="8">
        <v>42736</v>
      </c>
    </row>
    <row r="9" spans="1:38" ht="42.75" customHeight="1">
      <c r="A9" s="48"/>
      <c r="B9" s="49"/>
      <c r="C9" s="58" t="s">
        <v>16</v>
      </c>
      <c r="D9" s="58" t="s">
        <v>17</v>
      </c>
      <c r="E9" s="58" t="s">
        <v>18</v>
      </c>
      <c r="F9" s="58" t="s">
        <v>16</v>
      </c>
      <c r="G9" s="58" t="s">
        <v>17</v>
      </c>
      <c r="H9" s="58" t="s">
        <v>18</v>
      </c>
      <c r="I9" s="58" t="s">
        <v>16</v>
      </c>
      <c r="J9" s="58" t="s">
        <v>17</v>
      </c>
      <c r="K9" s="58" t="s">
        <v>18</v>
      </c>
      <c r="L9" s="106"/>
      <c r="M9" s="107" t="str">
        <f>IF(AND($Z$4=$Y$6),"CREDIT IN GPF",IF(AND($Z$4=$Y$7),"NPS Ded. 70%",""))</f>
        <v>NPS Ded. 70%</v>
      </c>
      <c r="N9" s="108" t="s">
        <v>11</v>
      </c>
      <c r="O9" s="107" t="s">
        <v>12</v>
      </c>
      <c r="P9" s="55"/>
      <c r="Q9" s="56"/>
      <c r="R9" s="57"/>
      <c r="AA9" s="4"/>
    </row>
    <row r="10" spans="1:38" ht="18" customHeight="1">
      <c r="A10" s="61">
        <v>1</v>
      </c>
      <c r="B10" s="62" t="s">
        <v>19</v>
      </c>
      <c r="C10" s="19">
        <v>45100</v>
      </c>
      <c r="D10" s="63">
        <f>ROUND((C10*4%),0)</f>
        <v>1804</v>
      </c>
      <c r="E10" s="63">
        <f>SUM(C10:D10)</f>
        <v>46904</v>
      </c>
      <c r="F10" s="19">
        <v>17030</v>
      </c>
      <c r="G10" s="63">
        <f>ROUND((F10*136%),0)</f>
        <v>23161</v>
      </c>
      <c r="H10" s="63">
        <f>SUM(F10:G10)</f>
        <v>40191</v>
      </c>
      <c r="I10" s="20">
        <f>IF(AND(C10=""),"",IF(AND(F10=""),"",C10-F10))</f>
        <v>28070</v>
      </c>
      <c r="J10" s="20">
        <f>IF(AND(D10=""),"",IF(AND(G10=""),"",D10-G10))</f>
        <v>-21357</v>
      </c>
      <c r="K10" s="63">
        <f>SUM(I10:J10)</f>
        <v>6713</v>
      </c>
      <c r="L10" s="20">
        <f>IF(AND($Q$4=""),"",IF(AND(I10=""),"",IF(AND(F$4=""),"",IF(AND(E$7=""),"",ROUND(K10*70%,0)))))</f>
        <v>4699</v>
      </c>
      <c r="M10" s="20">
        <f>IF(AND(C10=""),"",IF(AND(K10=""),"",IF(AND($Z$4=$Y$6),L10-ROUND(((L10)*10%),0),ROUND(((L10)*10%),0))))</f>
        <v>470</v>
      </c>
      <c r="N10" s="20">
        <f>IF(AND($Z$4=$Y$6),ROUND(((L10)*10%),0),ROUND(((L10-M10)*10%),0))</f>
        <v>423</v>
      </c>
      <c r="O10" s="63">
        <f>IF(AND(K10=""),"",IF(AND(M10=""),"",IF(AND(N10=""),"",SUM(M10+N10))))</f>
        <v>893</v>
      </c>
      <c r="P10" s="64">
        <f>IF(AND(K10=""),"",IF(AND(C10=0),"",IF(AND(O10=""),L10,L10-O10)))</f>
        <v>3806</v>
      </c>
      <c r="Q10" s="21"/>
      <c r="R10" s="22"/>
      <c r="V10" s="1" t="str">
        <f>IF(AND($Z$4=$Y$6),"CREDIT IN GPF",IF(AND($Z$4=$Y$7),"NPS Ded.",""))</f>
        <v>NPS Ded.</v>
      </c>
      <c r="AA10" s="4"/>
      <c r="AL10" s="1">
        <f>IF(AND(C10=""),"",IF(AND(C10=0),"",IF(AND(K10=""),"",ROUND(((L10-M10)*$AB$4%),0))))</f>
        <v>0</v>
      </c>
    </row>
    <row r="11" spans="1:38" ht="18" customHeight="1">
      <c r="A11" s="61">
        <v>2</v>
      </c>
      <c r="B11" s="62" t="s">
        <v>20</v>
      </c>
      <c r="C11" s="20">
        <f>C10</f>
        <v>45100</v>
      </c>
      <c r="D11" s="63">
        <f t="shared" ref="D11:D15" si="0">ROUND((C11*4%),0)</f>
        <v>1804</v>
      </c>
      <c r="E11" s="63">
        <f>SUM(C11:D11)</f>
        <v>46904</v>
      </c>
      <c r="F11" s="20">
        <f>F10</f>
        <v>17030</v>
      </c>
      <c r="G11" s="63">
        <f t="shared" ref="G11:G15" si="1">ROUND((F11*136%),0)</f>
        <v>23161</v>
      </c>
      <c r="H11" s="63">
        <f>SUM(F11:G11)</f>
        <v>40191</v>
      </c>
      <c r="I11" s="20">
        <f>IF(AND(C11=""),"",IF(AND(F11=""),"",C11-F11))</f>
        <v>28070</v>
      </c>
      <c r="J11" s="20">
        <f>IF(AND(D11=""),"",IF(AND(G11=""),"",D11-G11))</f>
        <v>-21357</v>
      </c>
      <c r="K11" s="63">
        <f>SUM(I11:J11)</f>
        <v>6713</v>
      </c>
      <c r="L11" s="20">
        <f t="shared" ref="L11:L18" si="2">IF(AND($Q$4=""),"",IF(AND(I11=""),"",IF(AND(F$4=""),"",IF(AND(E$7=""),"",ROUND(K11*70%,0)))))</f>
        <v>4699</v>
      </c>
      <c r="M11" s="20">
        <f>IF(AND(C11=""),"",IF(AND(K11=""),"",IF(AND($Z$4=$Y$6),L11-ROUND(((L11)*10%),0),ROUND(((L11)*10%),0))))</f>
        <v>470</v>
      </c>
      <c r="N11" s="20">
        <f t="shared" ref="N11:N18" si="3">IF(AND($Z$4=$Y$6),ROUND(((L11)*10%),0),ROUND(((L11-M11)*10%),0))</f>
        <v>423</v>
      </c>
      <c r="O11" s="63">
        <f t="shared" ref="O11:O18" si="4">IF(AND(K11=""),"",IF(AND(M11=""),"",IF(AND(N11=""),"",SUM(M11+N11))))</f>
        <v>893</v>
      </c>
      <c r="P11" s="64">
        <f>IF(AND(K11=""),"",IF(AND(C11=0),"",IF(AND(O11=""),L11,L11-O11)))</f>
        <v>3806</v>
      </c>
      <c r="Q11" s="21"/>
      <c r="R11" s="22"/>
      <c r="W11" s="1">
        <v>30</v>
      </c>
      <c r="AA11" s="4"/>
    </row>
    <row r="12" spans="1:38" ht="18" customHeight="1">
      <c r="A12" s="61">
        <v>3</v>
      </c>
      <c r="B12" s="62" t="s">
        <v>21</v>
      </c>
      <c r="C12" s="20">
        <f t="shared" ref="C12:C15" si="5">C11</f>
        <v>45100</v>
      </c>
      <c r="D12" s="63">
        <f t="shared" si="0"/>
        <v>1804</v>
      </c>
      <c r="E12" s="63">
        <f>SUM(C12:D12)</f>
        <v>46904</v>
      </c>
      <c r="F12" s="20">
        <f t="shared" ref="F12:F15" si="6">F11</f>
        <v>17030</v>
      </c>
      <c r="G12" s="63">
        <f t="shared" si="1"/>
        <v>23161</v>
      </c>
      <c r="H12" s="63">
        <f>SUM(F12:G12)</f>
        <v>40191</v>
      </c>
      <c r="I12" s="20">
        <f>IF(AND(C12=""),"",IF(AND(F12=""),"",C12-F12))</f>
        <v>28070</v>
      </c>
      <c r="J12" s="20">
        <f>IF(AND(D12=""),"",IF(AND(G12=""),"",D12-G12))</f>
        <v>-21357</v>
      </c>
      <c r="K12" s="63">
        <f>SUM(I12:J12)</f>
        <v>6713</v>
      </c>
      <c r="L12" s="20">
        <f t="shared" si="2"/>
        <v>4699</v>
      </c>
      <c r="M12" s="20">
        <f>IF(AND(C12=""),"",IF(AND(K12=""),"",IF(AND($Z$4=$Y$6),L12-ROUND(((L12)*10%),0),ROUND(((L12)*10%),0))))</f>
        <v>470</v>
      </c>
      <c r="N12" s="20">
        <f t="shared" si="3"/>
        <v>423</v>
      </c>
      <c r="O12" s="63">
        <f t="shared" si="4"/>
        <v>893</v>
      </c>
      <c r="P12" s="64">
        <f>IF(AND(K12=""),"",IF(AND(C12=0),"",IF(AND(O12=""),L12,L12-O12)))</f>
        <v>3806</v>
      </c>
      <c r="Q12" s="21"/>
      <c r="R12" s="22"/>
      <c r="W12" s="1">
        <v>40</v>
      </c>
      <c r="Y12" s="2"/>
      <c r="AA12" s="4"/>
      <c r="AC12" s="3"/>
      <c r="AD12" s="3"/>
      <c r="AE12" s="3"/>
      <c r="AF12" s="3"/>
      <c r="AG12" s="3"/>
    </row>
    <row r="13" spans="1:38" ht="18" customHeight="1">
      <c r="A13" s="61">
        <v>4</v>
      </c>
      <c r="B13" s="62" t="s">
        <v>22</v>
      </c>
      <c r="C13" s="20">
        <f t="shared" si="5"/>
        <v>45100</v>
      </c>
      <c r="D13" s="63">
        <f t="shared" si="0"/>
        <v>1804</v>
      </c>
      <c r="E13" s="63">
        <f>SUM(C13:D13)</f>
        <v>46904</v>
      </c>
      <c r="F13" s="20">
        <f t="shared" si="6"/>
        <v>17030</v>
      </c>
      <c r="G13" s="63">
        <f t="shared" si="1"/>
        <v>23161</v>
      </c>
      <c r="H13" s="63">
        <f>SUM(F13:G13)</f>
        <v>40191</v>
      </c>
      <c r="I13" s="65">
        <f>IF(AND(C13=""),"",IF(AND(F13=""),"",C13-F13))</f>
        <v>28070</v>
      </c>
      <c r="J13" s="65">
        <f>IF(AND(D13=""),"",IF(AND(G13=""),"",D13-G13))</f>
        <v>-21357</v>
      </c>
      <c r="K13" s="63">
        <f>SUM(I13:J13)</f>
        <v>6713</v>
      </c>
      <c r="L13" s="20">
        <f t="shared" si="2"/>
        <v>4699</v>
      </c>
      <c r="M13" s="20">
        <f>IF(AND(C13=""),"",IF(AND(K13=""),"",IF(AND($Z$4=$Y$6),L13-ROUND(((L13)*10%),0),ROUND(((L13)*10%),0))))</f>
        <v>470</v>
      </c>
      <c r="N13" s="20">
        <f t="shared" si="3"/>
        <v>423</v>
      </c>
      <c r="O13" s="21">
        <f t="shared" si="4"/>
        <v>893</v>
      </c>
      <c r="P13" s="64">
        <f>IF(AND(K13=""),"",IF(AND(C13=0),"",IF(AND(O13=""),L13,L13-O13)))</f>
        <v>3806</v>
      </c>
      <c r="Q13" s="21"/>
      <c r="R13" s="22"/>
      <c r="AC13" s="13"/>
      <c r="AD13" s="3"/>
      <c r="AE13" s="3"/>
      <c r="AF13" s="3"/>
      <c r="AG13" s="14"/>
    </row>
    <row r="14" spans="1:38" ht="18" customHeight="1">
      <c r="A14" s="61">
        <v>5</v>
      </c>
      <c r="B14" s="62" t="s">
        <v>23</v>
      </c>
      <c r="C14" s="20">
        <f t="shared" si="5"/>
        <v>45100</v>
      </c>
      <c r="D14" s="63">
        <f t="shared" si="0"/>
        <v>1804</v>
      </c>
      <c r="E14" s="63">
        <f>SUM(C14:D14)</f>
        <v>46904</v>
      </c>
      <c r="F14" s="20">
        <f t="shared" si="6"/>
        <v>17030</v>
      </c>
      <c r="G14" s="63">
        <f t="shared" si="1"/>
        <v>23161</v>
      </c>
      <c r="H14" s="63">
        <f>SUM(F14:G14)</f>
        <v>40191</v>
      </c>
      <c r="I14" s="65">
        <f>IF(AND(C14=""),"",IF(AND(F14=""),"",C14-F14))</f>
        <v>28070</v>
      </c>
      <c r="J14" s="65">
        <f>IF(AND(D14=""),"",IF(AND(G14=""),"",D14-G14))</f>
        <v>-21357</v>
      </c>
      <c r="K14" s="63">
        <f>SUM(I14:J14)</f>
        <v>6713</v>
      </c>
      <c r="L14" s="20">
        <f t="shared" si="2"/>
        <v>4699</v>
      </c>
      <c r="M14" s="20">
        <f>IF(AND(C14=""),"",IF(AND(K14=""),"",IF(AND($Z$4=$Y$6),L14-ROUND(((L14)*10%),0),ROUND(((L14)*10%),0))))</f>
        <v>470</v>
      </c>
      <c r="N14" s="20">
        <f t="shared" si="3"/>
        <v>423</v>
      </c>
      <c r="O14" s="21">
        <f t="shared" si="4"/>
        <v>893</v>
      </c>
      <c r="P14" s="64">
        <f>IF(AND(K14=""),"",IF(AND(C14=0),"",IF(AND(O14=""),L14,L14-O14)))</f>
        <v>3806</v>
      </c>
      <c r="Q14" s="21"/>
      <c r="R14" s="22"/>
      <c r="Y14" s="2"/>
      <c r="AC14" s="3"/>
      <c r="AD14" s="3"/>
      <c r="AE14" s="3"/>
      <c r="AF14" s="3"/>
      <c r="AG14" s="3"/>
    </row>
    <row r="15" spans="1:38" ht="18" customHeight="1">
      <c r="A15" s="61">
        <v>6</v>
      </c>
      <c r="B15" s="62" t="s">
        <v>24</v>
      </c>
      <c r="C15" s="20">
        <f t="shared" si="5"/>
        <v>45100</v>
      </c>
      <c r="D15" s="63">
        <f t="shared" si="0"/>
        <v>1804</v>
      </c>
      <c r="E15" s="63">
        <f>SUM(C15:D15)</f>
        <v>46904</v>
      </c>
      <c r="F15" s="20">
        <f t="shared" si="6"/>
        <v>17030</v>
      </c>
      <c r="G15" s="63">
        <f t="shared" si="1"/>
        <v>23161</v>
      </c>
      <c r="H15" s="63">
        <f>SUM(F15:G15)</f>
        <v>40191</v>
      </c>
      <c r="I15" s="65">
        <f>IF(AND(C15=""),"",IF(AND(F15=""),"",C15-F15))</f>
        <v>28070</v>
      </c>
      <c r="J15" s="65">
        <f>IF(AND(D15=""),"",IF(AND(G15=""),"",D15-G15))</f>
        <v>-21357</v>
      </c>
      <c r="K15" s="63">
        <f>SUM(I15:J15)</f>
        <v>6713</v>
      </c>
      <c r="L15" s="20">
        <f t="shared" si="2"/>
        <v>4699</v>
      </c>
      <c r="M15" s="20">
        <f>IF(AND(C15=""),"",IF(AND(K15=""),"",IF(AND($Z$4=$Y$6),L15-ROUND(((L15)*10%),0),ROUND(((L15)*10%),0))))</f>
        <v>470</v>
      </c>
      <c r="N15" s="20">
        <f t="shared" si="3"/>
        <v>423</v>
      </c>
      <c r="O15" s="21">
        <f t="shared" si="4"/>
        <v>893</v>
      </c>
      <c r="P15" s="64">
        <f>IF(AND(K15=""),"",IF(AND(C15=0),"",IF(AND(O15=""),L15,L15-O15)))</f>
        <v>3806</v>
      </c>
      <c r="Q15" s="21"/>
      <c r="R15" s="22"/>
      <c r="W15" s="9">
        <f>IF(AND($Q$4=""),"",IF(AND($Z$4=$Y$6),SUM(L10:L20),SUM(L10:L20)))</f>
        <v>42642</v>
      </c>
      <c r="AC15" s="3"/>
      <c r="AD15" s="3"/>
      <c r="AE15" s="3"/>
      <c r="AF15" s="3"/>
      <c r="AG15" s="3"/>
    </row>
    <row r="16" spans="1:38" ht="18" customHeight="1">
      <c r="A16" s="61">
        <v>7</v>
      </c>
      <c r="B16" s="62" t="s">
        <v>25</v>
      </c>
      <c r="C16" s="20">
        <f>MROUND(C15*1.03,100)</f>
        <v>46500</v>
      </c>
      <c r="D16" s="63">
        <f>ROUND((C16*5%),0)</f>
        <v>2325</v>
      </c>
      <c r="E16" s="63">
        <f>SUM(C16:D16)</f>
        <v>48825</v>
      </c>
      <c r="F16" s="20">
        <f>ROUNDUP(ROUND(F15*1.03,),-1)</f>
        <v>17550</v>
      </c>
      <c r="G16" s="63">
        <f>ROUND((F16*139%),0)</f>
        <v>24395</v>
      </c>
      <c r="H16" s="63">
        <f>SUM(F16:G16)</f>
        <v>41945</v>
      </c>
      <c r="I16" s="20">
        <f>IF(AND(C16=""),"",IF(AND(F16=""),"",C16-F16))</f>
        <v>28950</v>
      </c>
      <c r="J16" s="20">
        <f>IF(AND(D16=""),"",IF(AND(G16=""),"",D16-G16))</f>
        <v>-22070</v>
      </c>
      <c r="K16" s="63">
        <f>SUM(I16:J16)</f>
        <v>6880</v>
      </c>
      <c r="L16" s="20">
        <f t="shared" si="2"/>
        <v>4816</v>
      </c>
      <c r="M16" s="20">
        <f>IF(AND(C16=""),"",IF(AND(K16=""),"",IF(AND($Z$4=$Y$6),L16-ROUND(((L16)*10%),0),ROUND(((L16)*10%),0))))</f>
        <v>482</v>
      </c>
      <c r="N16" s="20">
        <f t="shared" si="3"/>
        <v>433</v>
      </c>
      <c r="O16" s="63">
        <f t="shared" si="4"/>
        <v>915</v>
      </c>
      <c r="P16" s="64">
        <f>IF(AND(K16=""),"",IF(AND(C16=0),"",IF(AND(O16=""),L16,L16-O16)))</f>
        <v>3901</v>
      </c>
      <c r="Q16" s="21"/>
      <c r="R16" s="22"/>
      <c r="X16" s="1" t="str">
        <f>"( Rs. "&amp;LOOKUP(IF(INT(RIGHT(W15,7)/100000)&gt;19,INT(RIGHT(W15,7)/1000000),IF(INT(RIGHT(W15,7)/100000)&gt;=10,INT(RIGHT(W15,7)/100000),0)),{0,1,2,3,4,5,6,7,8,9,10,11,12,13,14,15,16,17,18,19},{""," TEN "," TWENTY "," THIRTY "," FOURTY "," FIFTY "," SIXTY "," SEVENTY "," EIGHTY "," NINETY "," TEN "," ELEVEN "," TWELVE "," THIRTEEN "," FOURTEEN "," FIFTEEN "," SIXTEEN"," SEVENTEEN"," EIGHTEEN "," NINETEEN "})&amp;IF((IF(INT(RIGHT(W15,7)/100000)&gt;19,INT(RIGHT(W15,7)/1000000),IF(INT(RIGHT(W15,7)/100000)&gt;=10,INT(RIGHT(W15,7)/100000),0))+IF(INT(RIGHT(W15,7)/100000)&gt;19,INT(RIGHT(W15,6)/100000),IF(INT(RIGHT(W15,7)/100000)&gt;10,0,INT(RIGHT(W15,6)/100000))))&gt;0,LOOKUP(IF(INT(RIGHT(W15,7)/100000)&gt;19,INT(RIGHT(W15,6)/100000),IF(INT(RIGHT(W15,7)/100000)&gt;10,0,INT(RIGHT(W15,6)/100000))),{0,1,2,3,4,5,6,7,8,9,10,11,12,13,14,15,16,17,18,19},{""," ONE "," TWO "," THREE "," FOUR "," FIVE "," SIX "," SEVEN "," EIGHT "," NINE "," TEN "," ELEVEN "," TWELVE "," THIRTEEN "," FOURTEEN "," FIFTEEN "," SIXTEEN"," SEVENTEEN"," EIGHTEEN "," NINETEEN "})&amp;" Lac. "," ")&amp;LOOKUP(IF(INT(RIGHT(W15,5)/1000)&gt;19,INT(RIGHT(W15,5)/10000),IF(INT(RIGHT(W15,5)/1000)&gt;=10,INT(RIGHT(W15,5)/1000),0)),{0,1,2,3,4,5,6,7,8,9,10,11,12,13,14,15,16,17,18,19},{""," TEN "," TWENTY "," THIRTY "," FOURTY "," FIFTY "," SIXTY "," SEVENTY "," EIGHTY "," NINETY "," TEN "," ELEVEN "," TWELVE "," THIRTEEN "," FOURTEEN "," FIFTEEN "," SIXTEEN"," SEVENTEEN"," EIGHTEEN "," NINETEEN "})&amp;IF((IF(INT(RIGHT(W15,5)/1000)&gt;19,INT(RIGHT(W15,4)/1000),IF(INT(RIGHT(W15,5)/1000)&gt;10,0,INT(RIGHT(W15,4)/1000)))+IF(INT(RIGHT(W15,5)/1000)&gt;19,INT(RIGHT(W15,5)/10000),IF(INT(RIGHT(W15,5)/1000)&gt;=10,INT(RIGHT(W15,5)/1000),0)))&gt;0,LOOKUP(IF(INT(RIGHT(W15,5)/1000)&gt;19,INT(RIGHT(W15,4)/1000),IF(INT(RIGHT(W15,5)/1000)&gt;10,0,INT(RIGHT(W15,4)/1000))),{0,1,2,3,4,5,6,7,8,9,10,11,12,13,14,15,16,17,18,19},{""," ONE "," TWO "," THREE "," FOUR "," FIVE "," SIX "," SEVEN "," EIGHT "," NINE "," TEN "," ELEVEN "," TWELVE "," THIRTEEN "," FOURTEEN "," FIFTEEN "," SIXTEEN"," SEVENTEEN"," EIGHTEEN "," NINETEEN "})&amp;" THOUSAND "," ")&amp;IF((INT((RIGHT(W15,3))/100))&gt;0,LOOKUP(INT((RIGHT(W15,3))/100),{0,1,2,3,4,5,6,7,8,9,10,11,12,13,14,15,16,17,18,19},{""," ONE "," TWO "," THREE "," FOUR "," FIVE "," SIX "," SEVEN "," EIGHT "," NINE "," TEN "," ELEVEN "," TWELVE "," THIRTEEN "," FOURTEEN "," FIFTEEN "," SIXTEEN"," SEVENTEEN"," EIGHTEEN "," NINETEEN "})&amp;" HUNDRED "," ")&amp;LOOKUP(IF(INT(RIGHT(W15,2))&gt;19,INT(RIGHT(W15,2)/10),IF(INT(RIGHT(W15,2))&gt;=10,INT(RIGHT(W15,2)),0)),{0,1,2,3,4,5,6,7,8,9,10,11,12,13,14,15,16,17,18,19},{""," TEN "," TWENTY "," THIRTY "," FOURTY "," FIFTY "," SIXTY "," SEVENTY "," EIGHTY "," NINETY "," TEN "," ELEVEN "," TWELVE "," THIRTEEN "," FOURTEEN "," FIFTEEN "," SIXTEEN"," SEVENTEEN"," EIGHTEEN "," NINETEEN "})&amp;LOOKUP(IF(INT(RIGHT(W15,2))&lt;10,INT(RIGHT(W15,1)),IF(INT(RIGHT(W15,2))&lt;20,0,INT(RIGHT(W15,1)))),{0,1,2,3,4,5,6,7,8,9,10,11,12,13,14,15,16,17,18,19},{""," ONE "," TWO "," THREE "," FOUR "," FIVE "," SIX "," SEVEN "," EIGHT "," NINE "," TEN "," ELEVEN "," TWELVE "," THIRTEEN "," FOURTEEN "," FIFTEEN "," SIXTEEN"," SEVENTEEN"," EIGHTEEN "," NINETEEN "})&amp;" Only)"</f>
        <v>( Rs.   FOURTY  TWO  THOUSAND  SIX  HUNDRED  FOURTY  TWO  Only)</v>
      </c>
      <c r="Y16" s="2"/>
      <c r="AC16" s="3"/>
      <c r="AD16" s="3"/>
      <c r="AE16" s="3"/>
      <c r="AF16" s="3"/>
      <c r="AG16" s="3"/>
    </row>
    <row r="17" spans="1:45" ht="18" customHeight="1">
      <c r="A17" s="61">
        <v>8</v>
      </c>
      <c r="B17" s="62" t="s">
        <v>26</v>
      </c>
      <c r="C17" s="20">
        <f>C16</f>
        <v>46500</v>
      </c>
      <c r="D17" s="63">
        <f t="shared" ref="D17:D18" si="7">ROUND((C17*5%),0)</f>
        <v>2325</v>
      </c>
      <c r="E17" s="63">
        <f>SUM(C17:D17)</f>
        <v>48825</v>
      </c>
      <c r="F17" s="20">
        <f>F16</f>
        <v>17550</v>
      </c>
      <c r="G17" s="63">
        <f t="shared" ref="G17:G18" si="8">ROUND((F17*139%),0)</f>
        <v>24395</v>
      </c>
      <c r="H17" s="63">
        <f>SUM(F17:G17)</f>
        <v>41945</v>
      </c>
      <c r="I17" s="20">
        <f>IF(AND(C17=""),"",IF(AND(F17=""),"",C17-F17))</f>
        <v>28950</v>
      </c>
      <c r="J17" s="20">
        <f>IF(AND(D17=""),"",IF(AND(G17=""),"",D17-G17))</f>
        <v>-22070</v>
      </c>
      <c r="K17" s="63">
        <f>SUM(I17:J17)</f>
        <v>6880</v>
      </c>
      <c r="L17" s="20">
        <f t="shared" si="2"/>
        <v>4816</v>
      </c>
      <c r="M17" s="20">
        <f>IF(AND(C17=""),"",IF(AND(K17=""),"",IF(AND($Z$4=$Y$6),L17-ROUND(((L17)*10%),0),ROUND(((L17)*10%),0))))</f>
        <v>482</v>
      </c>
      <c r="N17" s="20">
        <f t="shared" si="3"/>
        <v>433</v>
      </c>
      <c r="O17" s="63">
        <f t="shared" si="4"/>
        <v>915</v>
      </c>
      <c r="P17" s="64">
        <f>IF(AND(K17=""),"",IF(AND(C17=0),"",IF(AND(O17=""),L17,L17-O17)))</f>
        <v>3901</v>
      </c>
      <c r="Q17" s="21"/>
      <c r="R17" s="22"/>
      <c r="W17" s="1">
        <f>IF(AND($Q$4=""),"",K22)</f>
        <v>34539</v>
      </c>
      <c r="X17" s="1" t="str">
        <f>"( Rs. "&amp;LOOKUP(IF(INT(RIGHT(W17,7)/100000)&gt;19,INT(RIGHT(W17,7)/1000000),IF(INT(RIGHT(W17,7)/100000)&gt;=10,INT(RIGHT(W17,7)/100000),0)),{0,1,2,3,4,5,6,7,8,9,10,11,12,13,14,15,16,17,18,19},{""," TEN "," TWENTY "," THIRTY "," FOURTY "," FIFTY "," SIXTY "," SEVENTY "," EIGHTY "," NINETY "," TEN "," ELEVEN "," TWELVE "," THIRTEEN "," FOURTEEN "," FIFTEEN "," SIXTEEN"," SEVENTEEN"," EIGHTEEN "," NINETEEN "})&amp;IF((IF(INT(RIGHT(W17,7)/100000)&gt;19,INT(RIGHT(W17,7)/1000000),IF(INT(RIGHT(W17,7)/100000)&gt;=10,INT(RIGHT(W17,7)/100000),0))+IF(INT(RIGHT(W17,7)/100000)&gt;19,INT(RIGHT(W17,6)/100000),IF(INT(RIGHT(W17,7)/100000)&gt;10,0,INT(RIGHT(W17,6)/100000))))&gt;0,LOOKUP(IF(INT(RIGHT(W17,7)/100000)&gt;19,INT(RIGHT(W17,6)/100000),IF(INT(RIGHT(W17,7)/100000)&gt;10,0,INT(RIGHT(W17,6)/100000))),{0,1,2,3,4,5,6,7,8,9,10,11,12,13,14,15,16,17,18,19},{""," ONE "," TWO "," THREE "," FOUR "," FIVE "," SIX "," SEVEN "," EIGHT "," NINE "," TEN "," ELEVEN "," TWELVE "," THIRTEEN "," FOURTEEN "," FIFTEEN "," SIXTEEN"," SEVENTEEN"," EIGHTEEN "," NINETEEN "})&amp;" Lac. "," ")&amp;LOOKUP(IF(INT(RIGHT(W17,5)/1000)&gt;19,INT(RIGHT(W17,5)/10000),IF(INT(RIGHT(W17,5)/1000)&gt;=10,INT(RIGHT(W17,5)/1000),0)),{0,1,2,3,4,5,6,7,8,9,10,11,12,13,14,15,16,17,18,19},{""," TEN "," TWENTY "," THIRTY "," FOURTY "," FIFTY "," SIXTY "," SEVENTY "," EIGHTY "," NINETY "," TEN "," ELEVEN "," TWELVE "," THIRTEEN "," FOURTEEN "," FIFTEEN "," SIXTEEN"," SEVENTEEN"," EIGHTEEN "," NINETEEN "})&amp;IF((IF(INT(RIGHT(W17,5)/1000)&gt;19,INT(RIGHT(W17,4)/1000),IF(INT(RIGHT(W17,5)/1000)&gt;10,0,INT(RIGHT(W17,4)/1000)))+IF(INT(RIGHT(W17,5)/1000)&gt;19,INT(RIGHT(W17,5)/10000),IF(INT(RIGHT(W17,5)/1000)&gt;=10,INT(RIGHT(W17,5)/1000),0)))&gt;0,LOOKUP(IF(INT(RIGHT(W17,5)/1000)&gt;19,INT(RIGHT(W17,4)/1000),IF(INT(RIGHT(W17,5)/1000)&gt;10,0,INT(RIGHT(W17,4)/1000))),{0,1,2,3,4,5,6,7,8,9,10,11,12,13,14,15,16,17,18,19},{""," ONE "," TWO "," THREE "," FOUR "," FIVE "," SIX "," SEVEN "," EIGHT "," NINE "," TEN "," ELEVEN "," TWELVE "," THIRTEEN "," FOURTEEN "," FIFTEEN "," SIXTEEN"," SEVENTEEN"," EIGHTEEN "," NINETEEN "})&amp;" THOUSAND "," ")&amp;IF((INT((RIGHT(W17,3))/100))&gt;0,LOOKUP(INT((RIGHT(W17,3))/100),{0,1,2,3,4,5,6,7,8,9,10,11,12,13,14,15,16,17,18,19},{""," ONE "," TWO "," THREE "," FOUR "," FIVE "," SIX "," SEVEN "," EIGHT "," NINE "," TEN "," ELEVEN "," TWELVE "," THIRTEEN "," FOURTEEN "," FIFTEEN "," SIXTEEN"," SEVENTEEN"," EIGHTEEN "," NINETEEN "})&amp;" HUNDRED "," ")&amp;LOOKUP(IF(INT(RIGHT(W17,2))&gt;19,INT(RIGHT(W17,2)/10),IF(INT(RIGHT(W17,2))&gt;=10,INT(RIGHT(W17,2)),0)),{0,1,2,3,4,5,6,7,8,9,10,11,12,13,14,15,16,17,18,19},{""," TEN "," TWENTY "," THIRTY "," FOURTY "," FIFTY "," SIXTY "," SEVENTY "," EIGHTY "," NINETY "," TEN "," ELEVEN "," TWELVE "," THIRTEEN "," FOURTEEN "," FIFTEEN "," SIXTEEN"," SEVENTEEN"," EIGHTEEN "," NINETEEN "})&amp;LOOKUP(IF(INT(RIGHT(W17,2))&lt;10,INT(RIGHT(W17,1)),IF(INT(RIGHT(W17,2))&lt;20,0,INT(RIGHT(W17,1)))),{0,1,2,3,4,5,6,7,8,9,10,11,12,13,14,15,16,17,18,19},{""," ONE "," TWO "," THREE "," FOUR "," FIVE "," SIX "," SEVEN "," EIGHT "," NINE "," TEN "," ELEVEN "," TWELVE "," THIRTEEN "," FOURTEEN "," FIFTEEN "," SIXTEEN"," SEVENTEEN"," EIGHTEEN "," NINETEEN "})&amp;" Only)"</f>
        <v>( Rs.   THIRTY  FOUR  THOUSAND  FIVE  HUNDRED  THIRTY  NINE  Only)</v>
      </c>
      <c r="AC17" s="3"/>
      <c r="AD17" s="3"/>
      <c r="AE17" s="3"/>
      <c r="AF17" s="3"/>
      <c r="AG17" s="3"/>
    </row>
    <row r="18" spans="1:45" ht="18" customHeight="1">
      <c r="A18" s="61">
        <v>9</v>
      </c>
      <c r="B18" s="62" t="s">
        <v>27</v>
      </c>
      <c r="C18" s="20">
        <f>C17</f>
        <v>46500</v>
      </c>
      <c r="D18" s="63">
        <f t="shared" si="7"/>
        <v>2325</v>
      </c>
      <c r="E18" s="63">
        <f>SUM(C18:D18)</f>
        <v>48825</v>
      </c>
      <c r="F18" s="20">
        <f>F17</f>
        <v>17550</v>
      </c>
      <c r="G18" s="63">
        <f t="shared" si="8"/>
        <v>24395</v>
      </c>
      <c r="H18" s="63">
        <f>SUM(F18:G18)</f>
        <v>41945</v>
      </c>
      <c r="I18" s="65">
        <f>IF(AND(C18=""),"",IF(AND(F18=""),"",C18-F18))</f>
        <v>28950</v>
      </c>
      <c r="J18" s="65">
        <f>IF(AND(D18=""),"",IF(AND(G18=""),"",D18-G18))</f>
        <v>-22070</v>
      </c>
      <c r="K18" s="63">
        <f>SUM(I18:J18)</f>
        <v>6880</v>
      </c>
      <c r="L18" s="20">
        <f t="shared" si="2"/>
        <v>4816</v>
      </c>
      <c r="M18" s="20">
        <f>IF(AND(C18=""),"",IF(AND(K18=""),"",IF(AND($Z$4=$Y$6),L18-ROUND(((L18)*10%),0),ROUND(((L18)*10%),0))))</f>
        <v>482</v>
      </c>
      <c r="N18" s="20">
        <f t="shared" si="3"/>
        <v>433</v>
      </c>
      <c r="O18" s="21">
        <f t="shared" si="4"/>
        <v>915</v>
      </c>
      <c r="P18" s="64">
        <f>IF(AND(K18=""),"",IF(AND(C18=0),"",IF(AND(O18=""),L18,L18-O18)))</f>
        <v>3901</v>
      </c>
      <c r="Q18" s="21"/>
      <c r="R18" s="22"/>
      <c r="Y18" s="2"/>
      <c r="AC18" s="3"/>
      <c r="AD18" s="3"/>
      <c r="AE18" s="3"/>
      <c r="AF18" s="3"/>
      <c r="AG18" s="3"/>
      <c r="AQ18" s="114" t="s">
        <v>58</v>
      </c>
      <c r="AR18" s="114"/>
      <c r="AS18" s="114"/>
    </row>
    <row r="19" spans="1:45" ht="15" hidden="1" customHeight="1">
      <c r="A19" s="61"/>
      <c r="B19" s="66"/>
      <c r="C19" s="66"/>
      <c r="D19" s="65"/>
      <c r="E19" s="20"/>
      <c r="F19" s="65"/>
      <c r="G19" s="65"/>
      <c r="H19" s="63"/>
      <c r="I19" s="65"/>
      <c r="J19" s="65"/>
      <c r="K19" s="65"/>
      <c r="L19" s="20"/>
      <c r="M19" s="20"/>
      <c r="N19" s="20"/>
      <c r="O19" s="21"/>
      <c r="P19" s="64"/>
      <c r="Q19" s="21"/>
      <c r="R19" s="22"/>
      <c r="Y19" s="2"/>
      <c r="AC19" s="3"/>
      <c r="AD19" s="3"/>
      <c r="AE19" s="3"/>
      <c r="AF19" s="3"/>
      <c r="AG19" s="3"/>
      <c r="AQ19" s="114"/>
      <c r="AR19" s="114"/>
      <c r="AS19" s="114"/>
    </row>
    <row r="20" spans="1:45" ht="15" hidden="1" customHeight="1">
      <c r="A20" s="61"/>
      <c r="B20" s="66"/>
      <c r="C20" s="66"/>
      <c r="D20" s="65"/>
      <c r="E20" s="20"/>
      <c r="F20" s="65"/>
      <c r="G20" s="65"/>
      <c r="H20" s="63"/>
      <c r="I20" s="65"/>
      <c r="J20" s="65"/>
      <c r="K20" s="65"/>
      <c r="L20" s="20"/>
      <c r="M20" s="20"/>
      <c r="N20" s="20"/>
      <c r="O20" s="21"/>
      <c r="P20" s="64"/>
      <c r="Q20" s="21"/>
      <c r="R20" s="12"/>
      <c r="S20" s="3"/>
      <c r="T20" s="8"/>
      <c r="Y20" s="2"/>
      <c r="AC20" s="3"/>
      <c r="AD20" s="3"/>
      <c r="AE20" s="3"/>
      <c r="AF20" s="3"/>
      <c r="AG20" s="3"/>
      <c r="AQ20" s="114"/>
      <c r="AR20" s="114"/>
      <c r="AS20" s="114"/>
    </row>
    <row r="21" spans="1:45" ht="18.75">
      <c r="A21" s="67" t="s">
        <v>28</v>
      </c>
      <c r="B21" s="68"/>
      <c r="C21" s="69">
        <f>IF(AND($Q$4=""),"",SUM(C10:C20))</f>
        <v>410100</v>
      </c>
      <c r="D21" s="69">
        <f>IF(AND($Q$4=""),"",SUM(D10:D20))</f>
        <v>17799</v>
      </c>
      <c r="E21" s="69">
        <f>IF(AND($Q$4=""),"",SUM(E10:E20))</f>
        <v>427899</v>
      </c>
      <c r="F21" s="70">
        <f>IF(AND($Q$4=""),"",SUM(F10:F20))</f>
        <v>154830</v>
      </c>
      <c r="G21" s="70">
        <f>IF(AND($Q$4=""),"",SUM(G10:G20))</f>
        <v>212151</v>
      </c>
      <c r="H21" s="70">
        <f>IF(AND($Q$4=""),"",SUM(H10:H20))</f>
        <v>366981</v>
      </c>
      <c r="I21" s="70">
        <f>IF(AND($Q$4=""),"",SUM(I10:I20))</f>
        <v>255270</v>
      </c>
      <c r="J21" s="70">
        <f>IF(AND($Q$4=""),"",SUM(J10:J20))</f>
        <v>-194352</v>
      </c>
      <c r="K21" s="70">
        <f>IF(AND($Q$4=""),"",SUM(K10:K20))</f>
        <v>60918</v>
      </c>
      <c r="L21" s="70">
        <f>IF(AND($Q$4=""),"",SUM(L10:L20))</f>
        <v>42642</v>
      </c>
      <c r="M21" s="70">
        <f>IF(AND($Q$4=""),"",SUM(M10:M20))</f>
        <v>4266</v>
      </c>
      <c r="N21" s="70">
        <f>IF(AND($Q$4=""),"",SUM(N10:N20))</f>
        <v>3837</v>
      </c>
      <c r="O21" s="70">
        <f>IF(AND($Q$4=""),"",SUM(O10:O20))</f>
        <v>8103</v>
      </c>
      <c r="P21" s="71">
        <f>IF(AND($Q$4=""),"",SUM(P10:P20))</f>
        <v>34539</v>
      </c>
      <c r="Q21" s="23"/>
      <c r="R21" s="24"/>
      <c r="AC21" s="3"/>
      <c r="AD21" s="3"/>
      <c r="AE21" s="3"/>
      <c r="AF21" s="3"/>
      <c r="AG21" s="3"/>
      <c r="AQ21" s="114"/>
      <c r="AR21" s="114"/>
      <c r="AS21" s="114"/>
    </row>
    <row r="22" spans="1:45" ht="17.25">
      <c r="A22" s="72"/>
      <c r="B22" s="109" t="s">
        <v>41</v>
      </c>
      <c r="C22" s="110" t="str">
        <f>IF(AND(Q$4=""),"",IF(AND(AC7&lt;=AC8),"01-01-2017",AC7))</f>
        <v>01-01-2017</v>
      </c>
      <c r="D22" s="110"/>
      <c r="E22" s="75" t="s">
        <v>48</v>
      </c>
      <c r="F22" s="75"/>
      <c r="G22" s="75"/>
      <c r="H22" s="75"/>
      <c r="I22" s="75"/>
      <c r="J22" s="75"/>
      <c r="K22" s="111">
        <f>IF(AND(Q4=""),"",IF(AND(Z4=$Y$7),P21,M21))</f>
        <v>34539</v>
      </c>
      <c r="L22" s="111"/>
      <c r="M22" s="77" t="str">
        <f>IF(AND(Q$4=""),"",IF(AND(Z4=$Y$7),"dk udn Hkqxrku fd;k x;k A","jkf'k thih,Q esa tek A"))</f>
        <v>dk udn Hkqxrku fd;k x;k A</v>
      </c>
      <c r="N22" s="77"/>
      <c r="O22" s="77"/>
      <c r="P22" s="77"/>
      <c r="Q22" s="78"/>
      <c r="R22" s="79"/>
      <c r="U22" s="10"/>
      <c r="AC22" s="3"/>
      <c r="AD22" s="3"/>
      <c r="AE22" s="3"/>
      <c r="AF22" s="3"/>
      <c r="AG22" s="3"/>
    </row>
    <row r="23" spans="1:45" ht="18.75">
      <c r="A23" s="43"/>
      <c r="B23" s="18"/>
      <c r="C23" s="18"/>
      <c r="D23" s="80"/>
      <c r="E23" s="80"/>
      <c r="F23" s="80"/>
      <c r="G23" s="80"/>
      <c r="H23" s="18"/>
      <c r="I23" s="18"/>
      <c r="J23" s="81" t="s">
        <v>47</v>
      </c>
      <c r="K23" s="81"/>
      <c r="L23" s="81"/>
      <c r="M23" s="81"/>
      <c r="N23" s="82">
        <f>IF(AND($Q$4=""),"",L21)</f>
        <v>42642</v>
      </c>
      <c r="O23" s="82"/>
      <c r="P23" s="83" t="s">
        <v>34</v>
      </c>
      <c r="Q23" s="83"/>
      <c r="R23" s="84"/>
      <c r="AC23" s="3"/>
      <c r="AD23" s="3"/>
      <c r="AE23" s="3"/>
      <c r="AF23" s="3"/>
      <c r="AG23" s="3"/>
    </row>
    <row r="24" spans="1:45" ht="21" customHeight="1">
      <c r="A24" s="112" t="str">
        <f>IF(AND($Q$4=""),"",IF(AND(F4=""),"",IF(AND(E7=""),"",E7)))</f>
        <v>Second &amp; Third installment of Arrear on 01-10-2018 (70% Amount)</v>
      </c>
      <c r="B24" s="113"/>
      <c r="C24" s="113"/>
      <c r="D24" s="113"/>
      <c r="E24" s="113"/>
      <c r="F24" s="113"/>
      <c r="G24" s="113"/>
      <c r="H24" s="113"/>
      <c r="I24" s="113"/>
      <c r="J24" s="81" t="str">
        <f>IF(AND(Q4=""),"",IF(AND(Z4=$Y$7),",u-ih-,l- dVkSrh","jkf'k thih,Q esa tek A"))</f>
        <v>,u-ih-,l- dVkSrh</v>
      </c>
      <c r="K24" s="81"/>
      <c r="L24" s="81"/>
      <c r="M24" s="81"/>
      <c r="N24" s="82">
        <f>IF(AND($Q$4=""),"",M21)</f>
        <v>4266</v>
      </c>
      <c r="O24" s="82"/>
      <c r="P24" s="86" t="str">
        <f>IF(AND($Q$4=""),"",X17)</f>
        <v>( Rs.   THIRTY  FOUR  THOUSAND  FIVE  HUNDRED  THIRTY  NINE  Only)</v>
      </c>
      <c r="Q24" s="86"/>
      <c r="R24" s="87"/>
      <c r="AC24" s="3"/>
      <c r="AD24" s="3"/>
      <c r="AE24" s="3"/>
      <c r="AF24" s="3"/>
      <c r="AG24" s="3"/>
    </row>
    <row r="25" spans="1:45" ht="21" customHeight="1">
      <c r="A25" s="43"/>
      <c r="B25" s="88"/>
      <c r="C25" s="89"/>
      <c r="D25" s="89"/>
      <c r="E25" s="89"/>
      <c r="F25" s="89"/>
      <c r="G25" s="89"/>
      <c r="H25" s="90"/>
      <c r="I25" s="90"/>
      <c r="J25" s="81" t="s">
        <v>32</v>
      </c>
      <c r="K25" s="81"/>
      <c r="L25" s="81"/>
      <c r="M25" s="81"/>
      <c r="N25" s="82">
        <f>IF(AND($Q$4=""),"",N21)</f>
        <v>3837</v>
      </c>
      <c r="O25" s="82"/>
      <c r="P25" s="86"/>
      <c r="Q25" s="86"/>
      <c r="R25" s="87"/>
    </row>
    <row r="26" spans="1:45" ht="15.75">
      <c r="A26" s="91"/>
      <c r="B26" s="92"/>
      <c r="C26" s="93"/>
      <c r="D26" s="93"/>
      <c r="E26" s="93"/>
      <c r="F26" s="93"/>
      <c r="G26" s="93"/>
      <c r="H26" s="94"/>
      <c r="I26" s="94"/>
      <c r="J26" s="95" t="s">
        <v>33</v>
      </c>
      <c r="K26" s="95"/>
      <c r="L26" s="95"/>
      <c r="M26" s="95"/>
      <c r="N26" s="96">
        <f>IF(AND(Z4=$Y$7),SUM(N23-N24-N25),0)</f>
        <v>34539</v>
      </c>
      <c r="O26" s="96"/>
      <c r="P26" s="97" t="str">
        <f>IF(AND(Q$4=""),"",IF(AND(Z4=$Y$7),"dk udn Hkqxrku fd;k x;k","jkf'k thih,Q esa tek"))</f>
        <v>dk udn Hkqxrku fd;k x;k</v>
      </c>
      <c r="Q26" s="97"/>
      <c r="R26" s="98"/>
    </row>
    <row r="27" spans="1:45" ht="18.75">
      <c r="A27" s="43"/>
      <c r="B27" s="88"/>
      <c r="C27" s="89"/>
      <c r="D27" s="89"/>
      <c r="E27" s="89"/>
      <c r="F27" s="89"/>
      <c r="G27" s="89"/>
      <c r="H27" s="90"/>
      <c r="I27" s="90"/>
      <c r="J27" s="90"/>
      <c r="K27" s="99"/>
      <c r="L27" s="99"/>
      <c r="M27" s="18"/>
      <c r="N27" s="18"/>
      <c r="O27" s="100"/>
      <c r="P27" s="100"/>
      <c r="Q27" s="100"/>
      <c r="R27" s="101"/>
    </row>
    <row r="28" spans="1:45" ht="19.5" customHeight="1">
      <c r="A28" s="43"/>
      <c r="B28" s="88"/>
      <c r="C28" s="102"/>
      <c r="D28" s="102"/>
      <c r="E28" s="102"/>
      <c r="F28" s="102"/>
      <c r="G28" s="102"/>
      <c r="H28" s="90"/>
      <c r="I28" s="90"/>
      <c r="J28" s="90"/>
      <c r="K28" s="99"/>
      <c r="L28" s="99"/>
      <c r="M28" s="18"/>
      <c r="N28" s="18"/>
      <c r="O28" s="100"/>
      <c r="P28" s="35" t="s">
        <v>52</v>
      </c>
      <c r="Q28" s="35"/>
      <c r="R28" s="36"/>
    </row>
    <row r="29" spans="1:45" ht="15.75">
      <c r="A29" s="43"/>
      <c r="B29" s="18"/>
      <c r="C29" s="18"/>
      <c r="D29" s="18"/>
      <c r="E29" s="18"/>
      <c r="F29" s="18"/>
      <c r="G29" s="18"/>
      <c r="H29" s="18"/>
      <c r="I29" s="18"/>
      <c r="J29" s="18"/>
      <c r="K29" s="18"/>
      <c r="L29" s="18"/>
      <c r="M29" s="18"/>
      <c r="N29" s="18"/>
      <c r="O29" s="18"/>
      <c r="P29" s="31" t="s">
        <v>36</v>
      </c>
      <c r="Q29" s="31"/>
      <c r="R29" s="32"/>
    </row>
    <row r="30" spans="1:45" ht="16.5" thickBot="1">
      <c r="A30" s="103"/>
      <c r="B30" s="104"/>
      <c r="C30" s="104"/>
      <c r="D30" s="104"/>
      <c r="E30" s="104"/>
      <c r="F30" s="104"/>
      <c r="G30" s="104"/>
      <c r="H30" s="104"/>
      <c r="I30" s="104"/>
      <c r="J30" s="104"/>
      <c r="K30" s="104"/>
      <c r="L30" s="104"/>
      <c r="M30" s="104"/>
      <c r="N30" s="104"/>
      <c r="O30" s="104"/>
      <c r="P30" s="33" t="s">
        <v>37</v>
      </c>
      <c r="Q30" s="33"/>
      <c r="R30" s="34"/>
    </row>
  </sheetData>
  <sheetProtection password="C1FB" sheet="1" objects="1" scenarios="1" formatCells="0" formatColumns="0" formatRows="0" insertColumns="0" insertRows="0" insertHyperlinks="0" deleteColumns="0" deleteRows="0"/>
  <mergeCells count="47">
    <mergeCell ref="AQ18:AS21"/>
    <mergeCell ref="P29:R29"/>
    <mergeCell ref="P30:R30"/>
    <mergeCell ref="C26:G26"/>
    <mergeCell ref="J26:M26"/>
    <mergeCell ref="N26:O26"/>
    <mergeCell ref="P26:R26"/>
    <mergeCell ref="C27:G27"/>
    <mergeCell ref="P28:R28"/>
    <mergeCell ref="D23:G23"/>
    <mergeCell ref="J23:M23"/>
    <mergeCell ref="N23:O23"/>
    <mergeCell ref="P23:R23"/>
    <mergeCell ref="J24:M24"/>
    <mergeCell ref="N24:O24"/>
    <mergeCell ref="P24:R25"/>
    <mergeCell ref="C25:G25"/>
    <mergeCell ref="J25:M25"/>
    <mergeCell ref="N25:O25"/>
    <mergeCell ref="A24:I24"/>
    <mergeCell ref="A21:B21"/>
    <mergeCell ref="Q21:R21"/>
    <mergeCell ref="C22:D22"/>
    <mergeCell ref="E22:J22"/>
    <mergeCell ref="K22:L22"/>
    <mergeCell ref="M22:P22"/>
    <mergeCell ref="S4:T4"/>
    <mergeCell ref="B5:Q5"/>
    <mergeCell ref="C6:P6"/>
    <mergeCell ref="E7:M7"/>
    <mergeCell ref="A8:A9"/>
    <mergeCell ref="B8:B9"/>
    <mergeCell ref="C8:E8"/>
    <mergeCell ref="F8:H8"/>
    <mergeCell ref="I8:K8"/>
    <mergeCell ref="L8:L9"/>
    <mergeCell ref="M8:O8"/>
    <mergeCell ref="P8:P9"/>
    <mergeCell ref="Q8:Q9"/>
    <mergeCell ref="R8:R9"/>
    <mergeCell ref="B2:Q2"/>
    <mergeCell ref="B3:Q3"/>
    <mergeCell ref="C4:E4"/>
    <mergeCell ref="F4:H4"/>
    <mergeCell ref="I4:J4"/>
    <mergeCell ref="K4:N4"/>
    <mergeCell ref="O4:P4"/>
  </mergeCells>
  <dataValidations count="1">
    <dataValidation type="list" allowBlank="1" showInputMessage="1" showErrorMessage="1" sqref="Q4">
      <formula1>$Y$6:$Y$8</formula1>
    </dataValidation>
  </dataValidations>
  <pageMargins left="0.7" right="0.45" top="0.75" bottom="0.75" header="0.3" footer="0.3"/>
  <pageSetup paperSize="9"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Unlock Sheet 100%</vt:lpstr>
      <vt:lpstr>Unlock Arrear Sheet 70%</vt:lpstr>
      <vt:lpstr>'Unlock Arrear Sheet 70%'!Print_Area</vt:lpstr>
      <vt:lpstr>'Unlock Sheet 100%'!Print_Area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2018-10-18T04:00:12Z</dcterms:modified>
</cp:coreProperties>
</file>