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form10E!$A$1:$N$38</definedName>
    <definedName name="_xlnm.Print_Area" localSheetId="4">'GA55 Summry'!$A$1:$AA$30</definedName>
    <definedName name="_xlnm.Print_Area" localSheetId="1">Master!$B$1:$I$25</definedName>
    <definedName name="Z_8E92581F_007A_4A12_99AF_FBD8FA5F0BC8_.wvu.Cols" localSheetId="2" hidden="1">Bills!$A:$A,Bills!$AL:$XFD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form10E!$A$1:$N$38</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Bills!$41:$88</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K9" i="10"/>
  <c r="S8" i="1"/>
  <c r="S9"/>
  <c r="S10"/>
  <c r="S11"/>
  <c r="S12"/>
  <c r="S13"/>
  <c r="S14"/>
  <c r="S15"/>
  <c r="S16"/>
  <c r="S17"/>
  <c r="S18"/>
  <c r="S19"/>
  <c r="S20"/>
  <c r="S21"/>
  <c r="S7"/>
  <c r="U8"/>
  <c r="U9" s="1"/>
  <c r="U10" s="1"/>
  <c r="U11" s="1"/>
  <c r="U12" s="1"/>
  <c r="U13" s="1"/>
  <c r="U14" s="1"/>
  <c r="U15" s="1"/>
  <c r="U16" s="1"/>
  <c r="U17" s="1"/>
  <c r="U18" s="1"/>
  <c r="U7"/>
  <c r="M8"/>
  <c r="M9"/>
  <c r="M10"/>
  <c r="M11"/>
  <c r="M12"/>
  <c r="M13"/>
  <c r="M14"/>
  <c r="M15"/>
  <c r="M16"/>
  <c r="M17"/>
  <c r="M18"/>
  <c r="M7"/>
  <c r="O24"/>
  <c r="O14"/>
  <c r="O18"/>
  <c r="O19"/>
  <c r="O8"/>
  <c r="O9"/>
  <c r="O10"/>
  <c r="O11"/>
  <c r="O12"/>
  <c r="O13"/>
  <c r="O15"/>
  <c r="O16"/>
  <c r="O17"/>
  <c r="O7"/>
  <c r="AP5" l="1"/>
  <c r="F7"/>
  <c r="G5" i="9"/>
  <c r="AE36" i="13"/>
  <c r="AD36"/>
  <c r="AB36"/>
  <c r="Z36"/>
  <c r="AE37"/>
  <c r="AD37"/>
  <c r="L7"/>
  <c r="E33"/>
  <c r="E34"/>
  <c r="C34"/>
  <c r="Z34" s="1"/>
  <c r="C33"/>
  <c r="Z33" s="1"/>
  <c r="E37"/>
  <c r="E36"/>
  <c r="E35"/>
  <c r="C37"/>
  <c r="Z37" s="1"/>
  <c r="C36"/>
  <c r="C35"/>
  <c r="Z35" s="1"/>
  <c r="AD35" s="1"/>
  <c r="L22"/>
  <c r="AA7" i="3"/>
  <c r="AA8"/>
  <c r="AA9"/>
  <c r="AA10"/>
  <c r="AA11"/>
  <c r="AA12"/>
  <c r="AA13"/>
  <c r="AA14"/>
  <c r="AA15"/>
  <c r="AA16"/>
  <c r="AA17"/>
  <c r="AA18"/>
  <c r="AA19"/>
  <c r="AA20"/>
  <c r="AA21"/>
  <c r="AA22"/>
  <c r="AA23"/>
  <c r="AA24"/>
  <c r="AA25"/>
  <c r="AA26"/>
  <c r="AA6"/>
  <c r="I106" i="6"/>
  <c r="I107"/>
  <c r="I108"/>
  <c r="I109"/>
  <c r="I110"/>
  <c r="I111"/>
  <c r="I105"/>
  <c r="I96"/>
  <c r="I95"/>
  <c r="I94"/>
  <c r="I92"/>
  <c r="I91"/>
  <c r="E2" i="2"/>
  <c r="I3"/>
  <c r="E6"/>
  <c r="I5"/>
  <c r="D40" i="9"/>
  <c r="B24" i="3"/>
  <c r="C24"/>
  <c r="D24"/>
  <c r="E24"/>
  <c r="F24"/>
  <c r="G24"/>
  <c r="H24"/>
  <c r="I24"/>
  <c r="K24"/>
  <c r="M24"/>
  <c r="O24"/>
  <c r="Q24"/>
  <c r="R24"/>
  <c r="S24"/>
  <c r="T24"/>
  <c r="V24"/>
  <c r="W24"/>
  <c r="Z24"/>
  <c r="B25"/>
  <c r="C25"/>
  <c r="D25"/>
  <c r="E25"/>
  <c r="F25"/>
  <c r="G25"/>
  <c r="H25"/>
  <c r="I25"/>
  <c r="K25"/>
  <c r="L25"/>
  <c r="M25"/>
  <c r="N25"/>
  <c r="O25"/>
  <c r="Q25"/>
  <c r="R25"/>
  <c r="S25"/>
  <c r="T25"/>
  <c r="V25"/>
  <c r="W25"/>
  <c r="Z25"/>
  <c r="B26"/>
  <c r="C26"/>
  <c r="D26"/>
  <c r="E26"/>
  <c r="F26"/>
  <c r="G26"/>
  <c r="H26"/>
  <c r="I26"/>
  <c r="K26"/>
  <c r="L26"/>
  <c r="M26"/>
  <c r="N26"/>
  <c r="O26"/>
  <c r="Q26"/>
  <c r="R26"/>
  <c r="S26"/>
  <c r="T26"/>
  <c r="V26"/>
  <c r="W26"/>
  <c r="Z26"/>
  <c r="X27" i="1"/>
  <c r="U26" i="3" s="1"/>
  <c r="O25" i="1"/>
  <c r="L24" i="3" s="1"/>
  <c r="O26" i="1"/>
  <c r="O27"/>
  <c r="X24"/>
  <c r="Q24" s="1"/>
  <c r="S27"/>
  <c r="P26" i="3" s="1"/>
  <c r="M25" i="1"/>
  <c r="J24" i="3" s="1"/>
  <c r="M27" i="1"/>
  <c r="J26" i="3" s="1"/>
  <c r="R8" i="1"/>
  <c r="R9" s="1"/>
  <c r="R10" s="1"/>
  <c r="R11" s="1"/>
  <c r="R12" s="1"/>
  <c r="R13" s="1"/>
  <c r="E16" i="10"/>
  <c r="E15"/>
  <c r="O16" s="1"/>
  <c r="I65" i="6" s="1"/>
  <c r="Y8" i="1"/>
  <c r="N1"/>
  <c r="K1"/>
  <c r="G34" i="13" l="1"/>
  <c r="AC34" s="1"/>
  <c r="AE34" s="1"/>
  <c r="K34" s="1"/>
  <c r="M34" s="1"/>
  <c r="K36"/>
  <c r="I36"/>
  <c r="AA37"/>
  <c r="AD34"/>
  <c r="I34" s="1"/>
  <c r="G36"/>
  <c r="G37"/>
  <c r="G35"/>
  <c r="AC35" s="1"/>
  <c r="AE35" s="1"/>
  <c r="G39" i="2"/>
  <c r="S25" i="1"/>
  <c r="P24" i="3" s="1"/>
  <c r="M19" i="1"/>
  <c r="R6"/>
  <c r="R7" s="1"/>
  <c r="R14"/>
  <c r="R15" s="1"/>
  <c r="R16" s="1"/>
  <c r="R17" s="1"/>
  <c r="R18" s="1"/>
  <c r="M23"/>
  <c r="M26"/>
  <c r="J25" i="3" s="1"/>
  <c r="M24" i="1"/>
  <c r="S24"/>
  <c r="X26"/>
  <c r="X25"/>
  <c r="S26"/>
  <c r="P25" i="3" s="1"/>
  <c r="E47" i="1"/>
  <c r="AO16"/>
  <c r="K3" i="3"/>
  <c r="Q7" i="1"/>
  <c r="Q8" s="1"/>
  <c r="Q9" s="1"/>
  <c r="Q10" s="1"/>
  <c r="Q11" s="1"/>
  <c r="Q12" s="1"/>
  <c r="Q13" s="1"/>
  <c r="Q14" s="1"/>
  <c r="Q15" s="1"/>
  <c r="Q16" s="1"/>
  <c r="Q17" s="1"/>
  <c r="Q18" s="1"/>
  <c r="K19"/>
  <c r="X56" i="10"/>
  <c r="O42"/>
  <c r="O43"/>
  <c r="O41"/>
  <c r="O40"/>
  <c r="O39"/>
  <c r="O38"/>
  <c r="O37"/>
  <c r="O36"/>
  <c r="O33"/>
  <c r="M29"/>
  <c r="M28"/>
  <c r="M27"/>
  <c r="M26"/>
  <c r="M25"/>
  <c r="M24"/>
  <c r="M23"/>
  <c r="M22"/>
  <c r="M21"/>
  <c r="G29"/>
  <c r="G28"/>
  <c r="G27"/>
  <c r="G24"/>
  <c r="G23"/>
  <c r="G22"/>
  <c r="AB37" i="13" l="1"/>
  <c r="AC37" s="1"/>
  <c r="I37"/>
  <c r="U24" i="3"/>
  <c r="B59" i="2"/>
  <c r="B39"/>
  <c r="U25" i="3"/>
  <c r="B60" i="2"/>
  <c r="B40"/>
  <c r="Q25" i="1"/>
  <c r="N24" i="3" s="1"/>
  <c r="AA26" i="1"/>
  <c r="AP12"/>
  <c r="I13" i="10"/>
  <c r="F13"/>
  <c r="K11"/>
  <c r="K8"/>
  <c r="K7"/>
  <c r="K37" i="13" l="1"/>
  <c r="M37" s="1"/>
  <c r="AA25" i="1"/>
  <c r="AB25" s="1"/>
  <c r="Y24" i="3" s="1"/>
  <c r="AB26" i="1"/>
  <c r="Y25" i="3" s="1"/>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X24" i="3" l="1"/>
  <c r="O44" i="10"/>
  <c r="D13"/>
  <c r="K13" s="1"/>
  <c r="O14" s="1"/>
  <c r="J17" i="9"/>
  <c r="O59" i="10" s="1"/>
  <c r="J5" i="13"/>
  <c r="C4"/>
  <c r="D15"/>
  <c r="C5" i="14"/>
  <c r="C5" i="13" s="1"/>
  <c r="C3" i="14"/>
  <c r="C3" i="13" s="1"/>
  <c r="G33" l="1"/>
  <c r="AC33" s="1"/>
  <c r="B13"/>
  <c r="AD33"/>
  <c r="I35"/>
  <c r="M36" l="1"/>
  <c r="AE33"/>
  <c r="K33" s="1"/>
  <c r="M33" s="1"/>
  <c r="M35" l="1"/>
  <c r="K35"/>
  <c r="M38"/>
  <c r="L27" s="1"/>
  <c r="O23" i="1"/>
  <c r="X23" s="1"/>
  <c r="L15" i="6"/>
  <c r="Q23" i="1" l="1"/>
  <c r="B37" i="2"/>
  <c r="B58"/>
  <c r="S23" i="1"/>
  <c r="B57" i="2" s="1"/>
  <c r="X7" i="1"/>
  <c r="B25" i="2" s="1"/>
  <c r="AA26" i="6" s="1"/>
  <c r="C26" s="1"/>
  <c r="I7" i="1"/>
  <c r="AZ8"/>
  <c r="AY8"/>
  <c r="X8" l="1"/>
  <c r="B26" i="2" s="1"/>
  <c r="AA27" i="6" s="1"/>
  <c r="C27" s="1"/>
  <c r="B45" i="2"/>
  <c r="C128" i="6"/>
  <c r="X9" i="1" l="1"/>
  <c r="X10" s="1"/>
  <c r="X11" s="1"/>
  <c r="B46" i="2"/>
  <c r="F46"/>
  <c r="F47"/>
  <c r="F48"/>
  <c r="F49"/>
  <c r="F50"/>
  <c r="F51"/>
  <c r="F52"/>
  <c r="F53"/>
  <c r="F54"/>
  <c r="F55"/>
  <c r="F56"/>
  <c r="F57"/>
  <c r="F58"/>
  <c r="F59"/>
  <c r="F60"/>
  <c r="F45"/>
  <c r="B47" l="1"/>
  <c r="B27"/>
  <c r="AA28" i="6" s="1"/>
  <c r="C28" s="1"/>
  <c r="C29" i="3"/>
  <c r="R29"/>
  <c r="B39" i="9"/>
  <c r="B28" i="2" l="1"/>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X12" i="1"/>
  <c r="F24" i="6"/>
  <c r="A23"/>
  <c r="K129"/>
  <c r="K51"/>
  <c r="D129"/>
  <c r="D51"/>
  <c r="F125"/>
  <c r="E45"/>
  <c r="K124"/>
  <c r="B124"/>
  <c r="B44"/>
  <c r="A1" i="10"/>
  <c r="K106" i="6"/>
  <c r="K107"/>
  <c r="K108"/>
  <c r="K111"/>
  <c r="H9"/>
  <c r="H8"/>
  <c r="A7"/>
  <c r="H7"/>
  <c r="L11"/>
  <c r="H11"/>
  <c r="I89" s="1"/>
  <c r="E11"/>
  <c r="C50"/>
  <c r="K44"/>
  <c r="C24"/>
  <c r="I97" l="1"/>
  <c r="K80"/>
  <c r="H80"/>
  <c r="H73"/>
  <c r="H79"/>
  <c r="H74"/>
  <c r="H72"/>
  <c r="N119"/>
  <c r="I100"/>
  <c r="I98"/>
  <c r="N98"/>
  <c r="K98"/>
  <c r="X13" i="1"/>
  <c r="B50" i="2"/>
  <c r="B30"/>
  <c r="AA31" i="6" s="1"/>
  <c r="C31" s="1"/>
  <c r="K110"/>
  <c r="N110"/>
  <c r="K109"/>
  <c r="N109"/>
  <c r="K91"/>
  <c r="N80"/>
  <c r="M25"/>
  <c r="K25"/>
  <c r="I25"/>
  <c r="F25"/>
  <c r="Y1" i="3"/>
  <c r="D2"/>
  <c r="B6"/>
  <c r="C3"/>
  <c r="T2"/>
  <c r="L2"/>
  <c r="E1" i="1"/>
  <c r="B51" i="2" l="1"/>
  <c r="B31"/>
  <c r="AA32" i="6" s="1"/>
  <c r="C32" s="1"/>
  <c r="X14" i="1"/>
  <c r="N105" i="6"/>
  <c r="K105"/>
  <c r="N96"/>
  <c r="K96"/>
  <c r="N92"/>
  <c r="K92"/>
  <c r="K97"/>
  <c r="N97"/>
  <c r="N100"/>
  <c r="K100"/>
  <c r="N94"/>
  <c r="K94"/>
  <c r="K95"/>
  <c r="N95"/>
  <c r="X15" i="1" l="1"/>
  <c r="B52" i="2"/>
  <c r="B32"/>
  <c r="AA33" i="6" s="1"/>
  <c r="C33" s="1"/>
  <c r="P7" i="1"/>
  <c r="Z7"/>
  <c r="W7"/>
  <c r="V7"/>
  <c r="T7"/>
  <c r="N7"/>
  <c r="J7"/>
  <c r="I8"/>
  <c r="B53" i="2" l="1"/>
  <c r="B33"/>
  <c r="AA34" i="6" s="1"/>
  <c r="C34" s="1"/>
  <c r="X16" i="1"/>
  <c r="X17" s="1"/>
  <c r="X18" s="1"/>
  <c r="B54" i="2" l="1"/>
  <c r="B34"/>
  <c r="AA35" i="6" s="1"/>
  <c r="C35" s="1"/>
  <c r="Z8" i="1"/>
  <c r="Z9" s="1"/>
  <c r="Z10" s="1"/>
  <c r="Z11" s="1"/>
  <c r="Z12" s="1"/>
  <c r="Z13" s="1"/>
  <c r="Z14" s="1"/>
  <c r="Z15" s="1"/>
  <c r="Z16" s="1"/>
  <c r="Z17" s="1"/>
  <c r="Z18" s="1"/>
  <c r="J8"/>
  <c r="J9" s="1"/>
  <c r="J10" s="1"/>
  <c r="J11" s="1"/>
  <c r="J12" s="1"/>
  <c r="J13" s="1"/>
  <c r="J14" s="1"/>
  <c r="J15" s="1"/>
  <c r="J16" s="1"/>
  <c r="J17" s="1"/>
  <c r="J18" s="1"/>
  <c r="I9"/>
  <c r="I10" s="1"/>
  <c r="I11" s="1"/>
  <c r="I12" s="1"/>
  <c r="I13" s="1"/>
  <c r="I14" s="1"/>
  <c r="I15" s="1"/>
  <c r="I16" s="1"/>
  <c r="I17" s="1"/>
  <c r="I18" s="1"/>
  <c r="N8"/>
  <c r="N9" s="1"/>
  <c r="N10" s="1"/>
  <c r="N11" s="1"/>
  <c r="N13" s="1"/>
  <c r="N14" s="1"/>
  <c r="N15" s="1"/>
  <c r="N16" s="1"/>
  <c r="N17" s="1"/>
  <c r="N18" s="1"/>
  <c r="T8"/>
  <c r="T9" s="1"/>
  <c r="T10" s="1"/>
  <c r="T11" s="1"/>
  <c r="T12" s="1"/>
  <c r="T13" s="1"/>
  <c r="T14" s="1"/>
  <c r="T15" s="1"/>
  <c r="T16" s="1"/>
  <c r="T17" s="1"/>
  <c r="T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5"/>
  <c r="F48" s="1"/>
  <c r="D48" s="1"/>
  <c r="B55" i="2" l="1"/>
  <c r="B35"/>
  <c r="AA36" i="6" s="1"/>
  <c r="C36" s="1"/>
  <c r="F47" i="1"/>
  <c r="D47"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F86"/>
  <c r="D86" s="1"/>
  <c r="B36" i="2" l="1"/>
  <c r="AA37" i="6" s="1"/>
  <c r="C37" s="1"/>
  <c r="B56" i="2"/>
  <c r="L18" i="3"/>
  <c r="AA27" i="1"/>
  <c r="AA19"/>
  <c r="X18" i="3" s="1"/>
  <c r="AA22" i="1"/>
  <c r="X21" i="3"/>
  <c r="AD14"/>
  <c r="Y3"/>
  <c r="AA4"/>
  <c r="Z4"/>
  <c r="Y4"/>
  <c r="Z7"/>
  <c r="Z8"/>
  <c r="Z9"/>
  <c r="Z10"/>
  <c r="Z11"/>
  <c r="Z12"/>
  <c r="Z13"/>
  <c r="Z14"/>
  <c r="Z15"/>
  <c r="Z16"/>
  <c r="Z17"/>
  <c r="Z18"/>
  <c r="Z19"/>
  <c r="Z20"/>
  <c r="Z21"/>
  <c r="Z22"/>
  <c r="Z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H6"/>
  <c r="K6"/>
  <c r="M6"/>
  <c r="N6"/>
  <c r="O6"/>
  <c r="Q6"/>
  <c r="R6"/>
  <c r="S6"/>
  <c r="T6"/>
  <c r="V6"/>
  <c r="W6"/>
  <c r="X5"/>
  <c r="M5"/>
  <c r="N5"/>
  <c r="O5"/>
  <c r="P5"/>
  <c r="Q5"/>
  <c r="R5"/>
  <c r="S5"/>
  <c r="T5"/>
  <c r="U5"/>
  <c r="V5"/>
  <c r="W5"/>
  <c r="D5"/>
  <c r="E5"/>
  <c r="F5"/>
  <c r="G5"/>
  <c r="H5"/>
  <c r="I5"/>
  <c r="J5"/>
  <c r="K5"/>
  <c r="L5"/>
  <c r="C5"/>
  <c r="B5"/>
  <c r="A5"/>
  <c r="B19"/>
  <c r="H62" i="10" l="1"/>
  <c r="AB27" i="1"/>
  <c r="Y26" i="3" s="1"/>
  <c r="X26"/>
  <c r="W27"/>
  <c r="B61" i="2"/>
  <c r="I20" i="6"/>
  <c r="I19"/>
  <c r="AB19" i="1"/>
  <c r="Y18" i="3" s="1"/>
  <c r="L2" i="10"/>
  <c r="G2"/>
  <c r="J15" i="6" l="1"/>
  <c r="H15"/>
  <c r="I93" s="1"/>
  <c r="Z6" i="3"/>
  <c r="Q3"/>
  <c r="G3"/>
  <c r="B7"/>
  <c r="B8"/>
  <c r="B9"/>
  <c r="B10"/>
  <c r="B11"/>
  <c r="B12"/>
  <c r="B13"/>
  <c r="B14"/>
  <c r="B15"/>
  <c r="B16"/>
  <c r="B17"/>
  <c r="B18"/>
  <c r="B20"/>
  <c r="B21"/>
  <c r="B22"/>
  <c r="B23"/>
  <c r="N93" i="6" l="1"/>
  <c r="K93"/>
  <c r="M27" i="3"/>
  <c r="G20" i="10" s="1"/>
  <c r="I85" i="6" s="1"/>
  <c r="Q27" i="3"/>
  <c r="O8"/>
  <c r="F27"/>
  <c r="V27"/>
  <c r="T27"/>
  <c r="R27"/>
  <c r="S27"/>
  <c r="K27"/>
  <c r="H27"/>
  <c r="G21" i="10" l="1"/>
  <c r="I86" i="6" s="1"/>
  <c r="G26" i="10"/>
  <c r="I88" i="6" s="1"/>
  <c r="O9" i="3"/>
  <c r="O10" l="1"/>
  <c r="N106" i="6"/>
  <c r="N107"/>
  <c r="N108"/>
  <c r="O11" i="3" l="1"/>
  <c r="O12" l="1"/>
  <c r="G27"/>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U6" i="3" l="1"/>
  <c r="U8" l="1"/>
  <c r="U7"/>
  <c r="E62" i="10" l="1"/>
  <c r="I18" i="6"/>
  <c r="K18" l="1"/>
  <c r="M18" s="1"/>
  <c r="U23" i="3" l="1"/>
  <c r="AA41" i="6"/>
  <c r="C41" s="1"/>
  <c r="AA40"/>
  <c r="C40" s="1"/>
  <c r="AA23" i="1"/>
  <c r="AB23" s="1"/>
  <c r="B38" i="2"/>
  <c r="AA39" i="6" s="1"/>
  <c r="C39" s="1"/>
  <c r="AA24" i="1"/>
  <c r="AB24" s="1"/>
  <c r="Y23" i="3" s="1"/>
  <c r="AA38" i="6"/>
  <c r="C38" s="1"/>
  <c r="U22" i="3"/>
  <c r="M62" i="10" l="1"/>
  <c r="I21" i="6"/>
  <c r="I22" s="1"/>
  <c r="U27" i="3"/>
  <c r="X23"/>
  <c r="X22"/>
  <c r="Y22"/>
  <c r="B41" i="2"/>
  <c r="C42" i="6" s="1"/>
  <c r="K21" l="1"/>
  <c r="M21" s="1"/>
  <c r="K22"/>
  <c r="M22" s="1"/>
  <c r="O62" i="10"/>
  <c r="N121" i="6" s="1"/>
  <c r="N45"/>
  <c r="AG49" s="1"/>
  <c r="C46" l="1"/>
  <c r="C49" i="1" l="1"/>
  <c r="E48"/>
  <c r="E50" s="1"/>
  <c r="AO11" l="1"/>
  <c r="AO15"/>
  <c r="AQ17" l="1"/>
  <c r="AP18" s="1"/>
  <c r="AP17"/>
  <c r="F11"/>
  <c r="AP13"/>
  <c r="AP16"/>
  <c r="F10" s="1"/>
  <c r="AP14"/>
  <c r="F8" s="1"/>
  <c r="AP15"/>
  <c r="F9" s="1"/>
  <c r="AP21" l="1"/>
  <c r="F12"/>
  <c r="AP22"/>
  <c r="AP23"/>
  <c r="AP19"/>
  <c r="F13" s="1"/>
  <c r="AP24"/>
  <c r="AP20"/>
  <c r="F14" s="1"/>
  <c r="G16" l="1"/>
  <c r="F16"/>
  <c r="G15"/>
  <c r="F15"/>
  <c r="G18"/>
  <c r="F18"/>
  <c r="G17"/>
  <c r="F17"/>
  <c r="G7"/>
  <c r="G20"/>
  <c r="H15"/>
  <c r="G8"/>
  <c r="H7"/>
  <c r="E6" i="3" s="1"/>
  <c r="D27" i="9" s="1"/>
  <c r="J6" i="3"/>
  <c r="AY11" i="1"/>
  <c r="C6" i="3"/>
  <c r="C27" i="9" s="1"/>
  <c r="H9" i="1"/>
  <c r="E8" i="3" s="1"/>
  <c r="D29" i="9" s="1"/>
  <c r="C8" i="3"/>
  <c r="C29" i="9" s="1"/>
  <c r="H10" i="1" l="1"/>
  <c r="E9" i="3" s="1"/>
  <c r="D30" i="9" s="1"/>
  <c r="G9" i="1"/>
  <c r="H8"/>
  <c r="E7" i="3" s="1"/>
  <c r="D28" i="9" s="1"/>
  <c r="G10" i="1"/>
  <c r="C7" i="3"/>
  <c r="C28" i="9" s="1"/>
  <c r="D7" i="3"/>
  <c r="J7"/>
  <c r="J8"/>
  <c r="P19"/>
  <c r="M20" i="1"/>
  <c r="D19" i="3"/>
  <c r="Q20" i="1"/>
  <c r="O20"/>
  <c r="L19" i="3" s="1"/>
  <c r="J19"/>
  <c r="D6"/>
  <c r="D9"/>
  <c r="C9"/>
  <c r="C30" i="9" s="1"/>
  <c r="G21" i="1" l="1"/>
  <c r="G11"/>
  <c r="H11"/>
  <c r="P7" i="3"/>
  <c r="AA8" i="1"/>
  <c r="D8" i="3"/>
  <c r="AA20" i="1"/>
  <c r="N19" i="3"/>
  <c r="AA7" i="1"/>
  <c r="P6" i="3"/>
  <c r="H13" i="1"/>
  <c r="AA10"/>
  <c r="X9" i="3" s="1"/>
  <c r="P9"/>
  <c r="C10"/>
  <c r="C31" i="9" s="1"/>
  <c r="D10" i="3"/>
  <c r="E10"/>
  <c r="D31" i="9" s="1"/>
  <c r="J9" i="3"/>
  <c r="G13" i="1" l="1"/>
  <c r="G12"/>
  <c r="H12"/>
  <c r="P8" i="3"/>
  <c r="AA9" i="1"/>
  <c r="X7" i="3"/>
  <c r="M21" i="1"/>
  <c r="J20" i="3" s="1"/>
  <c r="X6"/>
  <c r="X19"/>
  <c r="AB20" i="1"/>
  <c r="Y19" i="3" s="1"/>
  <c r="H14" i="1"/>
  <c r="E11" i="3"/>
  <c r="D32" i="9" s="1"/>
  <c r="D11" i="3"/>
  <c r="J10"/>
  <c r="P10"/>
  <c r="AA11" i="1"/>
  <c r="X10" i="3" s="1"/>
  <c r="C11"/>
  <c r="C32" i="9" s="1"/>
  <c r="D20" i="3"/>
  <c r="P20"/>
  <c r="Q21" i="1"/>
  <c r="O21"/>
  <c r="G14" l="1"/>
  <c r="F22"/>
  <c r="X8" i="3"/>
  <c r="J11"/>
  <c r="E12"/>
  <c r="L20"/>
  <c r="AA21" i="1"/>
  <c r="X20" i="3" s="1"/>
  <c r="N20"/>
  <c r="N27" s="1"/>
  <c r="G25" i="10" s="1"/>
  <c r="I87" i="6" s="1"/>
  <c r="C12" i="3"/>
  <c r="C33" i="9" s="1"/>
  <c r="D12" i="3"/>
  <c r="G22" i="1" l="1"/>
  <c r="D21" i="3" s="1"/>
  <c r="N87" i="6"/>
  <c r="K87"/>
  <c r="C21" i="3"/>
  <c r="O22" i="1"/>
  <c r="H16"/>
  <c r="AY10"/>
  <c r="E13" i="3"/>
  <c r="D34" i="9" s="1"/>
  <c r="D13" i="3"/>
  <c r="AA13" i="1"/>
  <c r="X12" i="3" s="1"/>
  <c r="C13"/>
  <c r="C34" i="9" s="1"/>
  <c r="J13" i="3"/>
  <c r="AA12" i="1"/>
  <c r="X11" i="3" s="1"/>
  <c r="P11"/>
  <c r="D33" i="9"/>
  <c r="J12" i="3"/>
  <c r="AB21" i="1"/>
  <c r="Y20" i="3" s="1"/>
  <c r="C40" i="9" l="1"/>
  <c r="AB22" i="1"/>
  <c r="Y21" i="3" s="1"/>
  <c r="L21"/>
  <c r="H17" i="1"/>
  <c r="AZ10"/>
  <c r="C14" i="3"/>
  <c r="C35" i="9" s="1"/>
  <c r="E14" i="3"/>
  <c r="P12"/>
  <c r="L6" i="1" l="1"/>
  <c r="L7" s="1"/>
  <c r="H18"/>
  <c r="D14" i="3"/>
  <c r="J14"/>
  <c r="C15"/>
  <c r="C36" i="9" s="1"/>
  <c r="AZ11" i="1"/>
  <c r="D35" i="9"/>
  <c r="AA14" i="1"/>
  <c r="P13" i="3"/>
  <c r="D15"/>
  <c r="J15"/>
  <c r="P14"/>
  <c r="AA15" i="1"/>
  <c r="X14" i="3" s="1"/>
  <c r="E15"/>
  <c r="D36" i="9" s="1"/>
  <c r="L8" i="1" l="1"/>
  <c r="I6" i="3"/>
  <c r="E17"/>
  <c r="D38" i="9" s="1"/>
  <c r="C17" i="3"/>
  <c r="C16"/>
  <c r="C37" i="9" s="1"/>
  <c r="E16" i="3"/>
  <c r="D37" i="9" s="1"/>
  <c r="AA16" i="1"/>
  <c r="X15" i="3" s="1"/>
  <c r="P15"/>
  <c r="D16"/>
  <c r="J16"/>
  <c r="X13"/>
  <c r="D39" i="9" l="1"/>
  <c r="C38"/>
  <c r="C39" s="1"/>
  <c r="G36" s="1"/>
  <c r="G37" s="1"/>
  <c r="G31" s="1"/>
  <c r="C27" i="3"/>
  <c r="G35" i="9"/>
  <c r="L6" i="3"/>
  <c r="AB7" i="1"/>
  <c r="Y6" i="3" s="1"/>
  <c r="L9" i="1"/>
  <c r="I7" i="3"/>
  <c r="E27"/>
  <c r="D17"/>
  <c r="D27" s="1"/>
  <c r="J17"/>
  <c r="J27" s="1"/>
  <c r="P16"/>
  <c r="AA17" i="1"/>
  <c r="X16" i="3" s="1"/>
  <c r="G32" i="9" l="1"/>
  <c r="O5" i="10" s="1"/>
  <c r="L7" i="3"/>
  <c r="AB8" i="1"/>
  <c r="L10"/>
  <c r="I8" i="3"/>
  <c r="G41" i="9"/>
  <c r="AA18" i="1"/>
  <c r="X17" i="3" s="1"/>
  <c r="X27" s="1"/>
  <c r="P17"/>
  <c r="P27" s="1"/>
  <c r="M20" i="10" s="1"/>
  <c r="I90" i="6" s="1"/>
  <c r="I62" l="1"/>
  <c r="F68"/>
  <c r="K69" s="1"/>
  <c r="K90"/>
  <c r="N90"/>
  <c r="L8" i="3"/>
  <c r="AB9" i="1"/>
  <c r="Y8" i="3" s="1"/>
  <c r="L11" i="1"/>
  <c r="I9" i="3"/>
  <c r="AB13" i="4"/>
  <c r="Y7" i="3"/>
  <c r="O32" i="10"/>
  <c r="I99" i="6" s="1"/>
  <c r="M30" i="10"/>
  <c r="O31" s="1"/>
  <c r="K99" i="6" l="1"/>
  <c r="N99"/>
  <c r="L9" i="3"/>
  <c r="AB10" i="1"/>
  <c r="Y9" i="3" s="1"/>
  <c r="L12" i="1"/>
  <c r="I10" i="3"/>
  <c r="O34" i="10"/>
  <c r="O45" s="1"/>
  <c r="N113" i="6" s="1"/>
  <c r="L10" i="3" l="1"/>
  <c r="AB11" i="1"/>
  <c r="Y10" i="3" s="1"/>
  <c r="L13" i="1"/>
  <c r="I11" i="3"/>
  <c r="L14" i="1" l="1"/>
  <c r="I12" i="3"/>
  <c r="L11"/>
  <c r="AB12" i="1"/>
  <c r="Y11" i="3" s="1"/>
  <c r="L12" l="1"/>
  <c r="AB13" i="1"/>
  <c r="Y12" i="3" s="1"/>
  <c r="L15" i="1"/>
  <c r="I13" i="3"/>
  <c r="L16" i="1" l="1"/>
  <c r="I14" i="3"/>
  <c r="L13"/>
  <c r="AB14" i="1"/>
  <c r="Y13" i="3" s="1"/>
  <c r="L14" l="1"/>
  <c r="AB15" i="1"/>
  <c r="Y14" i="3" s="1"/>
  <c r="L17" i="1"/>
  <c r="I15" i="3"/>
  <c r="L18" i="1" l="1"/>
  <c r="I16" i="3"/>
  <c r="L15"/>
  <c r="AB16" i="1"/>
  <c r="Y15" i="3" s="1"/>
  <c r="I17" l="1"/>
  <c r="I27" s="1"/>
  <c r="L16"/>
  <c r="AB17" i="1"/>
  <c r="Y16" i="3" s="1"/>
  <c r="L17" l="1"/>
  <c r="L27" s="1"/>
  <c r="O4" i="10" s="1"/>
  <c r="AB18" i="1"/>
  <c r="Y17" i="3" s="1"/>
  <c r="Y27" s="1"/>
  <c r="O6" i="10" l="1"/>
  <c r="I63" i="6"/>
  <c r="O9" i="10" l="1"/>
  <c r="H75" i="6" s="1"/>
  <c r="H76" s="1"/>
  <c r="K66"/>
  <c r="M70" s="1"/>
  <c r="O10" i="10" l="1"/>
  <c r="O15" s="1"/>
  <c r="O17" s="1"/>
  <c r="O46" s="1"/>
  <c r="O47" s="1"/>
  <c r="X52" s="1"/>
  <c r="N77" i="6"/>
  <c r="N81"/>
  <c r="N114" s="1"/>
  <c r="X50" i="10" l="1"/>
  <c r="W52"/>
  <c r="O53" s="1"/>
  <c r="W51"/>
  <c r="O52" s="1"/>
  <c r="Y53"/>
  <c r="Y52"/>
  <c r="X51"/>
  <c r="Y51"/>
  <c r="L23" i="14"/>
  <c r="L23" i="13" s="1"/>
  <c r="W50" i="10"/>
  <c r="O51" s="1"/>
  <c r="O54" s="1"/>
  <c r="N115" i="6" s="1"/>
  <c r="W53" i="10"/>
  <c r="Y60"/>
  <c r="X53"/>
  <c r="Z22" i="13"/>
  <c r="AC22" s="1"/>
  <c r="Z23"/>
  <c r="AA23" s="1"/>
  <c r="AB23" s="1"/>
  <c r="L21"/>
  <c r="Z21" l="1"/>
  <c r="AC21" s="1"/>
  <c r="Z19"/>
  <c r="AC19" s="1"/>
  <c r="O55" i="10"/>
  <c r="N116" i="6" s="1"/>
  <c r="AC23" i="13"/>
  <c r="L24" s="1"/>
  <c r="Z24"/>
  <c r="AA24" s="1"/>
  <c r="AB24" s="1"/>
  <c r="AC24" s="1"/>
  <c r="L25" s="1"/>
  <c r="O56" i="10" l="1"/>
  <c r="L26" i="13"/>
  <c r="L28" s="1"/>
  <c r="O57" i="10" l="1"/>
  <c r="N117" i="6" s="1"/>
  <c r="N118" s="1"/>
  <c r="O58" i="10" l="1"/>
  <c r="O60" s="1"/>
  <c r="O63" l="1"/>
  <c r="A63"/>
  <c r="N120" i="6"/>
  <c r="N122" l="1"/>
  <c r="B122"/>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7th Pay  Basic </t>
        </r>
      </text>
    </comment>
  </commentList>
</comments>
</file>

<file path=xl/sharedStrings.xml><?xml version="1.0" encoding="utf-8"?>
<sst xmlns="http://schemas.openxmlformats.org/spreadsheetml/2006/main" count="848" uniqueCount="577">
  <si>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</si>
  <si>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</si>
  <si>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</si>
  <si>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</si>
  <si>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</si>
  <si>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</si>
  <si>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</si>
  <si>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</si>
  <si>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</si>
  <si>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</si>
  <si>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</si>
  <si>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</si>
  <si>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</si>
  <si>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</si>
  <si>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</si>
  <si>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</si>
  <si>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</si>
  <si>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</si>
  <si>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</si>
  <si>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</si>
  <si>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</si>
  <si>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</si>
  <si>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</si>
  <si>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</si>
  <si>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</si>
  <si>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</si>
  <si>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</si>
  <si>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</si>
  <si>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</si>
  <si>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</si>
  <si>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</si>
  <si>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</si>
  <si>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</si>
  <si>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</si>
  <si>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</si>
  <si>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</si>
  <si>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</si>
  <si>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</si>
  <si>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</si>
  <si>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</si>
  <si>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</si>
  <si>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</si>
  <si>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</si>
  <si>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</si>
  <si>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</si>
  <si>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</si>
  <si>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</si>
  <si>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</si>
  <si>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</si>
  <si>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</si>
  <si>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</si>
  <si>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</si>
  <si>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</si>
  <si>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</si>
  <si>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</si>
  <si>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</si>
  <si>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</si>
  <si>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</si>
  <si>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</si>
  <si>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</si>
  <si>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</si>
  <si>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</si>
  <si>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</si>
  <si>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</si>
  <si>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</si>
  <si>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</si>
  <si>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</si>
  <si>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</si>
  <si>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</si>
  <si>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</si>
  <si>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</si>
  <si>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</si>
  <si>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</si>
  <si>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</si>
  <si>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</si>
  <si>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</si>
  <si>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</si>
  <si>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</si>
  <si>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</si>
  <si>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</si>
  <si>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</si>
  <si>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</si>
  <si>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</si>
  <si>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</si>
  <si>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</si>
  <si>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</si>
  <si>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</si>
  <si>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</si>
  <si>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</si>
  <si>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</si>
  <si>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</si>
  <si>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</si>
  <si>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</si>
  <si>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</si>
  <si>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</si>
  <si>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</si>
  <si>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</si>
  <si>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</si>
  <si>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</si>
  <si>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</si>
  <si>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</si>
  <si>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</si>
  <si>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</si>
  <si>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</si>
  <si>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</si>
  <si>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</si>
  <si>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</si>
  <si>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</si>
  <si>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</si>
  <si>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</si>
  <si>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</si>
  <si>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</si>
  <si>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</si>
  <si>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</si>
  <si>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</si>
  <si>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</si>
  <si>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</si>
  <si>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</si>
  <si>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</si>
  <si>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</si>
  <si>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</si>
  <si>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</si>
  <si>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</si>
  <si>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</si>
  <si>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</si>
  <si>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</si>
  <si>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</si>
  <si>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</si>
  <si>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</si>
  <si>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</si>
  <si>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</si>
  <si>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</si>
  <si>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</si>
  <si>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</si>
  <si>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</si>
  <si>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</si>
  <si>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</si>
  <si>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</si>
  <si>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</si>
  <si>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</si>
  <si>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</si>
  <si>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</si>
  <si>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</si>
  <si>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</si>
  <si>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</si>
  <si>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</si>
  <si>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</si>
  <si>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</si>
  <si>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</si>
  <si>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</si>
  <si>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</si>
  <si>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</si>
  <si>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</si>
  <si>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</si>
  <si>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</si>
  <si>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</si>
  <si>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</si>
  <si>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</si>
  <si>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</si>
  <si>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</si>
  <si>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</si>
  <si>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</si>
  <si>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</si>
  <si>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</si>
  <si>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</si>
  <si>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</si>
  <si>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</si>
  <si>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</si>
  <si>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</si>
  <si>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</si>
  <si>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</si>
  <si>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</si>
  <si>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</si>
  <si>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</si>
  <si>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</si>
  <si>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</si>
  <si>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</si>
  <si>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</si>
  <si>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</si>
  <si>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</si>
  <si>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</si>
  <si>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</si>
  <si>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</si>
  <si>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</si>
  <si>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</si>
  <si>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</si>
  <si>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</si>
  <si>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</si>
  <si>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</si>
  <si>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</si>
  <si>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</si>
  <si>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</si>
  <si>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</si>
  <si>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</si>
  <si>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</si>
  <si>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</si>
  <si>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</si>
  <si>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</si>
  <si>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</si>
  <si>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</si>
  <si>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</si>
  <si>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</si>
  <si>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</si>
  <si>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</si>
  <si>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</si>
  <si>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</si>
  <si>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</si>
  <si>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</si>
  <si>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Surrender</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</si>
  <si>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</si>
  <si>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</si>
  <si>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</si>
  <si>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</si>
  <si>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</si>
  <si>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</si>
  <si>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</si>
  <si>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</si>
  <si>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</si>
  <si>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</si>
  <si>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</si>
  <si>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</si>
  <si>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</si>
  <si>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</si>
  <si>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</si>
  <si>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</si>
  <si>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</si>
  <si>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</si>
  <si>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</si>
  <si>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</si>
  <si>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</si>
  <si>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</si>
  <si>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</si>
  <si>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</si>
  <si>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</si>
  <si>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</si>
  <si>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</si>
  <si>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</si>
  <si>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</si>
  <si>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</si>
  <si>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</si>
  <si>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</si>
  <si>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</si>
  <si>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</si>
  <si>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</si>
  <si>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</si>
  <si>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</si>
  <si>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</si>
  <si>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</si>
  <si>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</si>
  <si>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</si>
  <si>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</si>
  <si>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</si>
  <si>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</si>
  <si>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</si>
  <si>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</si>
  <si>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</si>
  <si>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</si>
  <si>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</si>
  <si>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</si>
  <si>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</si>
  <si>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</si>
  <si>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</si>
  <si>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</si>
  <si>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</si>
  <si>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</si>
  <si>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</si>
  <si>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</si>
  <si>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</si>
  <si>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</si>
  <si>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</si>
  <si>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</si>
  <si>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</si>
  <si>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</si>
  <si>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</si>
  <si>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PB-3</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</si>
  <si>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</si>
  <si>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</si>
  <si>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</si>
  <si>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</si>
  <si>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</si>
  <si>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</si>
  <si>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</si>
  <si>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</si>
  <si>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</si>
  <si>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</si>
  <si>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</si>
  <si>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</si>
  <si>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</si>
  <si>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</si>
  <si>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</si>
  <si>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</si>
  <si>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</si>
  <si>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</si>
  <si>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</si>
  <si>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</si>
  <si>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</si>
  <si>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</si>
  <si>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</si>
  <si>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</si>
  <si>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</si>
  <si>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</si>
  <si>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</si>
  <si>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</si>
  <si>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</si>
  <si>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</si>
  <si>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</si>
  <si>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</si>
  <si>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</si>
  <si>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</si>
  <si>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</si>
  <si>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</si>
  <si>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</si>
  <si>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</si>
  <si>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</si>
  <si>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</si>
  <si>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</si>
  <si>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</si>
  <si>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</si>
  <si>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</si>
  <si>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</si>
  <si>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</si>
  <si>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</si>
  <si>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</si>
  <si>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</si>
  <si>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</si>
  <si>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</si>
  <si>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</si>
  <si>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</si>
  <si>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</si>
  <si>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</si>
  <si>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</si>
  <si>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</si>
  <si>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</si>
  <si>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</si>
  <si>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</si>
  <si>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</si>
  <si>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</si>
  <si>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</si>
  <si>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</si>
  <si>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</si>
  <si>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</si>
  <si>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</si>
  <si>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</si>
  <si>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</si>
  <si>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</si>
  <si>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</si>
  <si>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</si>
  <si>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</si>
  <si>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</si>
  <si>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</si>
  <si>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</si>
  <si>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</si>
  <si>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</si>
  <si>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</si>
  <si>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</si>
  <si>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</si>
  <si>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</si>
  <si>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</si>
  <si>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</si>
  <si>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</si>
  <si>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</si>
  <si>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</si>
  <si>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</si>
  <si>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</si>
  <si>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</si>
  <si>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</si>
  <si>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</si>
  <si>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</si>
  <si>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</si>
  <si>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</si>
  <si>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</si>
  <si>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</si>
  <si>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</si>
  <si>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</si>
  <si>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</si>
  <si>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</si>
  <si>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</si>
  <si>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</si>
  <si>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</si>
  <si>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</si>
  <si>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</si>
  <si>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</si>
  <si>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</si>
  <si>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</si>
  <si>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</si>
  <si>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</si>
  <si>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</si>
  <si>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</si>
  <si>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</si>
  <si>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</si>
  <si>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</si>
  <si>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</si>
  <si>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</si>
  <si>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</si>
  <si>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</si>
  <si>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</si>
  <si>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</si>
  <si>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</si>
  <si>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</si>
  <si>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</si>
  <si>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</si>
  <si>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</si>
  <si>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</si>
  <si>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</si>
  <si>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</si>
  <si>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</si>
  <si>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</si>
  <si>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</si>
  <si>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</si>
  <si>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</si>
  <si>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</si>
  <si>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</si>
  <si>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</si>
  <si>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</si>
  <si>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</si>
  <si>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</si>
  <si>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</si>
  <si>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</si>
  <si>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</si>
  <si>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</si>
  <si>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</si>
  <si>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</si>
  <si>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</si>
  <si>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</si>
  <si>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</si>
  <si>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</si>
  <si>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</si>
  <si>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</si>
  <si>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</si>
  <si>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</si>
  <si>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</si>
  <si>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</si>
  <si>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</si>
  <si>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</si>
  <si>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</si>
  <si>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</si>
  <si>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</si>
  <si>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</si>
  <si>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</si>
  <si>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</si>
  <si>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</si>
  <si>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</si>
  <si>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</si>
  <si>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</si>
  <si>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</si>
  <si>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</si>
  <si>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</si>
  <si>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2014-15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</si>
  <si>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</si>
  <si>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</si>
  <si>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</si>
  <si>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</si>
  <si>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t>vk; %  o"kZ&amp;2018&amp;19 esa izkIr dqy osru ¼ dj ;ksX; lqfo/kkvksa ds eqY; lfgr ½</t>
  </si>
  <si>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</si>
  <si>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</si>
  <si>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</si>
  <si>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</si>
  <si>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</si>
  <si>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</si>
  <si>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flrEcj 2018
rd  :i;s</t>
  </si>
  <si>
    <t>(xix)</t>
  </si>
  <si>
    <t>(xx)</t>
  </si>
  <si>
    <r>
      <t xml:space="preserve">vfrfjDr thou chek </t>
    </r>
    <r>
      <rPr>
        <sz val="10.5"/>
        <rFont val="Calibri"/>
        <family val="2"/>
        <scheme val="minor"/>
      </rPr>
      <t>(Extra LIC)</t>
    </r>
  </si>
  <si>
    <r>
      <t>x`g fdjk;k] /kkjk 10¼</t>
    </r>
    <r>
      <rPr>
        <sz val="12"/>
        <rFont val="Calibri"/>
        <family val="2"/>
        <scheme val="minor"/>
      </rPr>
      <t>13-</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</si>
  <si>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</si>
  <si>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</si>
  <si>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40]000 ¼vf/kdre½</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</si>
  <si>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</si>
  <si>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</si>
  <si>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</si>
  <si>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</si>
  <si>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</si>
  <si>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r>
      <t xml:space="preserve">ljdkjh isa'ku ;kstuk esa va'knku </t>
    </r>
    <r>
      <rPr>
        <sz val="11"/>
        <rFont val="Calibri"/>
        <family val="2"/>
        <scheme val="minor"/>
      </rPr>
      <t>ECPF</t>
    </r>
    <r>
      <rPr>
        <sz val="11"/>
        <rFont val="Kruti Dev 010"/>
      </rPr>
      <t xml:space="preserve">
vf/kdre osru dk 10%¼/kkjk 80ccd½</t>
    </r>
  </si>
  <si>
    <r>
      <t xml:space="preserve">isa'ku Iyku gsrq va'knku¼/kkjk </t>
    </r>
    <r>
      <rPr>
        <sz val="12"/>
        <rFont val="Calibri"/>
        <family val="2"/>
        <scheme val="minor"/>
      </rPr>
      <t>80ccc</t>
    </r>
    <r>
      <rPr>
        <sz val="12"/>
        <rFont val="Kruti Dev 010"/>
      </rPr>
      <t>½</t>
    </r>
  </si>
  <si>
    <r>
      <t xml:space="preserve">ih-,y-vkbZ- </t>
    </r>
    <r>
      <rPr>
        <sz val="10"/>
        <rFont val="Kruti Dev 010"/>
      </rPr>
      <t>¼</t>
    </r>
    <r>
      <rPr>
        <sz val="10"/>
        <rFont val="Calibri"/>
        <family val="2"/>
        <scheme val="minor"/>
      </rPr>
      <t>PLI)</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</si>
  <si>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</si>
  <si>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</si>
  <si>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</si>
  <si>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</si>
  <si>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</si>
  <si>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</si>
  <si>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</si>
  <si>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</si>
  <si>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</si>
  <si>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</si>
  <si>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</si>
  <si>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</si>
  <si>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</si>
  <si>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rPr>
        <b/>
        <sz val="12"/>
        <rFont val="Kruti Dev 010"/>
      </rPr>
      <t>¼2½</t>
    </r>
    <r>
      <rPr>
        <sz val="12"/>
        <rFont val="Kruti Dev 010"/>
      </rPr>
      <t xml:space="preserve"> NwV ?kkjk 87¼</t>
    </r>
    <r>
      <rPr>
        <sz val="10"/>
        <rFont val="Kruti Dev 010"/>
      </rPr>
      <t>A</t>
    </r>
    <r>
      <rPr>
        <sz val="12"/>
        <rFont val="Kruti Dev 010"/>
      </rPr>
      <t>½ ¼2-50 yk[k ls 3-50 yk[k rd dh dj ;ksX; vk; ij vk;dj dh NwV vf/kdre :- 2500 rd½</t>
    </r>
  </si>
  <si>
    <r>
      <t xml:space="preserve">¼4½ </t>
    </r>
    <r>
      <rPr>
        <sz val="12"/>
        <rFont val="Kruti Dev 010"/>
      </rPr>
      <t/>
    </r>
  </si>
  <si>
    <t>,fj;j ls Vh-Mh-,l-
o vU; -</t>
  </si>
  <si>
    <t>E</t>
  </si>
  <si>
    <t>2019-20</t>
  </si>
  <si>
    <t>PLAN</t>
  </si>
  <si>
    <t>HEERA LAL JAT</t>
  </si>
  <si>
    <t>SENIOR TEACHER</t>
  </si>
  <si>
    <r>
      <t xml:space="preserve">Sellect Month When You Receive 7th Pay </t>
    </r>
    <r>
      <rPr>
        <b/>
        <sz val="12"/>
        <color rgb="FFFF0000"/>
        <rFont val="Wingdings"/>
        <charset val="2"/>
      </rPr>
      <t>F</t>
    </r>
  </si>
  <si>
    <r>
      <t xml:space="preserve">Sellect Grade Pay </t>
    </r>
    <r>
      <rPr>
        <b/>
        <sz val="12"/>
        <color theme="0"/>
        <rFont val="Wingdings"/>
        <charset val="2"/>
      </rPr>
      <t xml:space="preserve">  </t>
    </r>
    <r>
      <rPr>
        <b/>
        <sz val="12"/>
        <color theme="0"/>
        <rFont val="Calibri"/>
        <family val="2"/>
        <scheme val="minor"/>
      </rPr>
      <t xml:space="preserve">according 6th pay  </t>
    </r>
    <r>
      <rPr>
        <b/>
        <sz val="12"/>
        <color theme="0"/>
        <rFont val="Wingdings"/>
        <charset val="2"/>
      </rPr>
      <t>F</t>
    </r>
  </si>
  <si>
    <r>
      <t xml:space="preserve">If You have not Received 7th Pay , Write Here Six Pay Basic </t>
    </r>
    <r>
      <rPr>
        <b/>
        <sz val="12"/>
        <color rgb="FFFF0000"/>
        <rFont val="Wingdings"/>
        <charset val="2"/>
      </rPr>
      <t>F</t>
    </r>
  </si>
  <si>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</si>
  <si>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</si>
  <si>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</si>
  <si>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</si>
  <si>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</si>
  <si>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</si>
  <si>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</si>
  <si>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</si>
  <si>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</si>
  <si>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</si>
  <si>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t>DA Arrear 7%</t>
  </si>
  <si>
    <t>DA Arrear 9%</t>
  </si>
  <si>
    <t>Fixation Arrear 30%</t>
  </si>
  <si>
    <t>Fixation Arrear 40%</t>
  </si>
  <si>
    <t>Salary Diff. Arrear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</si>
  <si>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</si>
  <si>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</si>
  <si>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</si>
  <si>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t>FINANCIAL YEAR- 2018-19</t>
  </si>
  <si>
    <r>
      <t xml:space="preserve">Enter net taxable income for 2018-19 including entire arrears received (as per ITR/Form-16)              </t>
    </r>
    <r>
      <rPr>
        <b/>
        <sz val="12"/>
        <color theme="1"/>
        <rFont val="Kruti Dev 010"/>
      </rPr>
      <t>¼'kq) dj ;ksX; vk; nl ds xq.kkad esa ½</t>
    </r>
  </si>
  <si>
    <r>
      <t xml:space="preserve">Enter net taxable income for 2017-18 (as per ITR/Form-16) </t>
    </r>
    <r>
      <rPr>
        <b/>
        <sz val="12"/>
        <color theme="1"/>
        <rFont val="Kruti Dev 010"/>
      </rPr>
      <t>¼'kq) dj ;ksX; vk; nl ds xq.kkad esa ½</t>
    </r>
  </si>
  <si>
    <r>
      <t xml:space="preserve">Enter arrears relates to 2017-18     </t>
    </r>
    <r>
      <rPr>
        <b/>
        <sz val="12"/>
        <color theme="1"/>
        <rFont val="Kruti Dev 010"/>
      </rPr>
      <t>¼bl l= 2017&amp;18 dh feyus okyh ,fj;j jkf'k ½</t>
    </r>
  </si>
  <si>
    <t xml:space="preserve"> Whats App No. 09001884272</t>
  </si>
  <si>
    <t>V./P. -  CHANDAWAL NAGAR , SOJAT (PALI)</t>
  </si>
  <si>
    <t>tuojh 2019
esa dqy :i;s</t>
  </si>
  <si>
    <t>Qjojh 2019
essa dqy :i;s</t>
  </si>
  <si>
    <t>flr- 2018 ls fnl- 2018
rd  :i;s</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</si>
  <si>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</si>
  <si>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</si>
  <si>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</si>
  <si>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</si>
  <si>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</si>
  <si>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rPr>
        <b/>
        <sz val="16"/>
        <color rgb="FFC0C03E"/>
        <rFont val="Calibri"/>
        <family val="2"/>
        <scheme val="minor"/>
      </rPr>
      <t>%</t>
    </r>
    <r>
      <rPr>
        <b/>
        <sz val="16"/>
        <color rgb="FFC0C03E"/>
        <rFont val="Kruti Dev 010"/>
      </rPr>
      <t xml:space="preserve">      vkidks osru fey jgk gSA</t>
    </r>
  </si>
  <si>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</si>
  <si>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</si>
  <si>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</si>
  <si>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</si>
  <si>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vkidksa fcy 'khV ij dsoy 1 ekpZ 2017 dks ;k mlls igys lkrokW osrueku fey x;k gSa rks lkros osrueku dh dsoy csfld ihys dyj dh lsy esa fy[kuh gSa ckdh dk dke ;g ,Dly izksxzke djsxkA vxj 1 ekpZ vkSj mlds ckn Hkh NBk osrueku ys jgs gks rks cSfld xzsM is lfgr fcy 'khV ij fy[kuh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</si>
  <si>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</si>
  <si>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</si>
  <si>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</si>
  <si>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r>
      <rPr>
        <b/>
        <u/>
        <sz val="16"/>
        <color rgb="FFC00000"/>
        <rFont val="Kruti Dev 010"/>
      </rPr>
      <t>gj {k.k] gj txg vkidh lsok esa rRij</t>
    </r>
  </si>
  <si>
    <t>Senior Teacher</t>
  </si>
  <si>
    <r>
      <t xml:space="preserve">Whats App No.  9001884272     </t>
    </r>
    <r>
      <rPr>
        <b/>
        <sz val="18"/>
        <color indexed="17"/>
        <rFont val="Wingdings"/>
        <charset val="2"/>
      </rPr>
      <t>(</t>
    </r>
  </si>
  <si>
    <t>Government Senior Secondary School INDERWARA , PALI</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</si>
  <si>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Teacher junction APP &amp; ARJ GURU APP</t>
    </r>
    <r>
      <rPr>
        <sz val="14"/>
        <rFont val="Kruti Dev 010"/>
      </rPr>
      <t xml:space="preserve"> ls vki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</si>
  <si>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2,50,000 </t>
    </r>
    <r>
      <rPr>
        <sz val="12"/>
        <rFont val="Kruti Dev 010"/>
      </rPr>
      <t>rd</t>
    </r>
  </si>
  <si>
    <r>
      <t xml:space="preserve">3,00,000 </t>
    </r>
    <r>
      <rPr>
        <sz val="12"/>
        <rFont val="Kruti Dev 010"/>
      </rPr>
      <t>rd</t>
    </r>
  </si>
  <si>
    <r>
      <t xml:space="preserve">5,00,000 </t>
    </r>
    <r>
      <rPr>
        <sz val="12"/>
        <rFont val="Kruti Dev 010"/>
      </rPr>
      <t>rd</t>
    </r>
  </si>
  <si>
    <r>
      <rPr>
        <sz val="10"/>
        <rFont val="Calibri"/>
        <family val="2"/>
        <scheme val="minor"/>
      </rPr>
      <t>10,00,000</t>
    </r>
    <r>
      <rPr>
        <sz val="10"/>
        <rFont val="DevLys 010"/>
      </rPr>
      <t xml:space="preserve"> </t>
    </r>
    <r>
      <rPr>
        <sz val="10"/>
        <rFont val="Kruti Dev 010"/>
      </rPr>
      <t>ls vf/kd</t>
    </r>
  </si>
  <si>
    <r>
      <t xml:space="preserve">10,00,000 </t>
    </r>
    <r>
      <rPr>
        <sz val="12"/>
        <rFont val="Kruti Dev 010"/>
      </rPr>
      <t>ls vf/kd</t>
    </r>
  </si>
  <si>
    <r>
      <t xml:space="preserve">f'k{kk midj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</si>
  <si>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 xml:space="preserve">?kVkb;s  %&amp; jkgr /kkjk 89 ds rgr </t>
  </si>
  <si>
    <t>FINANCIAL YEAR- 2014-15</t>
  </si>
  <si>
    <r>
      <t xml:space="preserve">Enter net taxable income for 2014-15 (as per ITR/Form-16) </t>
    </r>
    <r>
      <rPr>
        <b/>
        <sz val="12"/>
        <color theme="1"/>
        <rFont val="Kruti Dev 010"/>
      </rPr>
      <t>¼'kq) dj ;ksX; vk; nl ds xq.kkad esa ½</t>
    </r>
  </si>
  <si>
    <r>
      <t xml:space="preserve">Enter arrears relates to 2014-15  </t>
    </r>
    <r>
      <rPr>
        <b/>
        <sz val="12"/>
        <color theme="1"/>
        <rFont val="Kruti Dev 010"/>
      </rPr>
      <t>¼bl l= 2014&amp;15 dh feyus okyh ,fj;j jkf'k ½</t>
    </r>
  </si>
  <si>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</si>
  <si>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</si>
  <si>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</si>
  <si>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</si>
  <si>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</si>
  <si>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</si>
  <si>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</si>
  <si>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t>FINANCIAL YEAR- 2013-14</t>
  </si>
  <si>
    <r>
      <t xml:space="preserve">Enter net taxable income for 2013-14 (as per ITR/Form-16) </t>
    </r>
    <r>
      <rPr>
        <b/>
        <sz val="12"/>
        <color theme="1"/>
        <rFont val="Kruti Dev 010"/>
      </rPr>
      <t>¼'kq) dj ;ksX; vk; nl ds xq.kkad esa ½</t>
    </r>
  </si>
  <si>
    <r>
      <t xml:space="preserve">Enter arrears relates to 2013-14  </t>
    </r>
    <r>
      <rPr>
        <b/>
        <sz val="12"/>
        <color theme="1"/>
        <rFont val="Kruti Dev 010"/>
      </rPr>
      <t>¼bl l= 2013&amp;14 dh feyus okyh ,fj;j jkf'k ½</t>
    </r>
  </si>
  <si>
    <t>2013-14</t>
  </si>
  <si>
    <t>GSSS, BARAKHURD (OSIYA), JODHPUR</t>
  </si>
  <si>
    <t>ANITA CHOUDHARY</t>
  </si>
  <si>
    <t>TEACHER</t>
  </si>
  <si>
    <t>JDHH02430B</t>
  </si>
  <si>
    <t>RJJO201725007610</t>
  </si>
  <si>
    <t>G.U.P.S. Bhilo ki Dhani, Bara Khurd</t>
  </si>
  <si>
    <t>BNUPC2108M</t>
  </si>
  <si>
    <t>PEEO , GSSS, BARAKHURD (OSIYA), JODHPUR</t>
  </si>
  <si>
    <t>Girdhari Ram Vishnoi</t>
  </si>
  <si>
    <t>2007xxxx375</t>
  </si>
  <si>
    <t>SI LOAN</t>
  </si>
</sst>
</file>

<file path=xl/styles.xml><?xml version="1.0" encoding="utf-8"?>
<styleSheet xmlns="http://schemas.openxmlformats.org/spreadsheetml/2006/main">
  <numFmts count="5">
    <numFmt numFmtId="43" formatCode="_(* #,##0.00_);_(* \(#,##0.00\);_(* &quot;-&quot;??_);_(@_)"/>
    <numFmt numFmtId="164" formatCode="[$-409]mmmm\-yy;@"/>
    <numFmt numFmtId="165" formatCode="[$-409]mmm/yy;@"/>
    <numFmt numFmtId="166" formatCode="mmm\-yy"/>
    <numFmt numFmtId="167" formatCode="###0;###0"/>
  </numFmts>
  <fonts count="22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sz val="10.5"/>
      <name val="Calibri"/>
      <family val="2"/>
      <scheme val="minor"/>
    </font>
    <font>
      <b/>
      <sz val="12"/>
      <name val="Kruti Dev 010"/>
    </font>
    <font>
      <sz val="10.5"/>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12"/>
      <color rgb="FFFF0000"/>
      <name val="Wingdings"/>
      <charset val="2"/>
    </font>
    <font>
      <b/>
      <sz val="12"/>
      <color theme="0"/>
      <name val="Wingdings"/>
      <charset val="2"/>
    </font>
    <font>
      <b/>
      <i/>
      <sz val="14"/>
      <color rgb="FF166D07"/>
      <name val="Calibri"/>
      <family val="2"/>
      <scheme val="minor"/>
    </font>
    <font>
      <b/>
      <i/>
      <sz val="14"/>
      <color rgb="FFFF0000"/>
      <name val="Calibri"/>
      <family val="2"/>
      <scheme val="minor"/>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s>
  <fills count="34">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1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cellStyleXfs>
  <cellXfs count="881">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6" xfId="0" applyFont="1" applyFill="1" applyBorder="1" applyAlignment="1" applyProtection="1">
      <alignment horizontal="center" vertical="center" wrapText="1"/>
      <protection hidden="1"/>
    </xf>
    <xf numFmtId="0" fontId="3" fillId="17" borderId="16"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0" borderId="16" xfId="0" applyBorder="1" applyProtection="1">
      <protection hidden="1"/>
    </xf>
    <xf numFmtId="0" fontId="0" fillId="0" borderId="17" xfId="0" applyBorder="1" applyProtection="1">
      <protection hidden="1"/>
    </xf>
    <xf numFmtId="0" fontId="71" fillId="0" borderId="29" xfId="0" applyFont="1" applyFill="1" applyBorder="1" applyAlignment="1" applyProtection="1">
      <alignment horizontal="center" vertical="center"/>
      <protection hidden="1"/>
    </xf>
    <xf numFmtId="167" fontId="72" fillId="0" borderId="29" xfId="0" applyNumberFormat="1" applyFont="1" applyFill="1" applyBorder="1" applyAlignment="1" applyProtection="1">
      <alignment horizontal="center" vertical="center" wrapText="1"/>
      <protection hidden="1"/>
    </xf>
    <xf numFmtId="167" fontId="73" fillId="0" borderId="29" xfId="0" applyNumberFormat="1" applyFont="1" applyFill="1" applyBorder="1" applyAlignment="1" applyProtection="1">
      <alignment horizontal="center" vertical="center" wrapText="1"/>
      <protection hidden="1"/>
    </xf>
    <xf numFmtId="167" fontId="74" fillId="0" borderId="29" xfId="0" applyNumberFormat="1" applyFont="1" applyFill="1" applyBorder="1" applyAlignment="1" applyProtection="1">
      <alignment horizontal="center" vertical="center" wrapText="1"/>
      <protection hidden="1"/>
    </xf>
    <xf numFmtId="167" fontId="75" fillId="0" borderId="29" xfId="0" applyNumberFormat="1" applyFont="1" applyFill="1" applyBorder="1" applyAlignment="1" applyProtection="1">
      <alignment horizontal="center" vertical="center" wrapText="1"/>
      <protection hidden="1"/>
    </xf>
    <xf numFmtId="0" fontId="0" fillId="0" borderId="21" xfId="0" applyBorder="1" applyProtection="1">
      <protection hidden="1"/>
    </xf>
    <xf numFmtId="0" fontId="0" fillId="0" borderId="20" xfId="0" applyBorder="1" applyProtection="1">
      <protection hidden="1"/>
    </xf>
    <xf numFmtId="0" fontId="0" fillId="0" borderId="24" xfId="0" applyBorder="1" applyProtection="1">
      <protection hidden="1"/>
    </xf>
    <xf numFmtId="0" fontId="71" fillId="0" borderId="29" xfId="0" applyFont="1" applyFill="1" applyBorder="1" applyAlignment="1" applyProtection="1">
      <alignment horizontal="center" vertical="center" wrapText="1"/>
      <protection hidden="1"/>
    </xf>
    <xf numFmtId="1" fontId="71" fillId="0" borderId="29" xfId="0" applyNumberFormat="1" applyFont="1" applyFill="1" applyBorder="1" applyAlignment="1" applyProtection="1">
      <alignment horizontal="center" vertical="center" wrapText="1"/>
      <protection hidden="1"/>
    </xf>
    <xf numFmtId="1" fontId="76" fillId="0" borderId="29" xfId="0" applyNumberFormat="1" applyFont="1" applyFill="1" applyBorder="1" applyAlignment="1" applyProtection="1">
      <alignment horizontal="center" vertical="center" wrapText="1"/>
      <protection hidden="1"/>
    </xf>
    <xf numFmtId="1" fontId="76" fillId="0" borderId="30" xfId="0" applyNumberFormat="1" applyFont="1" applyFill="1" applyBorder="1" applyAlignment="1" applyProtection="1">
      <alignment horizontal="center" vertical="center" wrapText="1"/>
      <protection hidden="1"/>
    </xf>
    <xf numFmtId="0" fontId="77" fillId="0" borderId="1" xfId="0" applyFont="1" applyFill="1" applyBorder="1" applyAlignment="1" applyProtection="1">
      <alignment horizontal="center" vertical="center"/>
      <protection hidden="1"/>
    </xf>
    <xf numFmtId="1" fontId="76" fillId="0" borderId="31" xfId="0" applyNumberFormat="1" applyFont="1" applyFill="1" applyBorder="1" applyAlignment="1" applyProtection="1">
      <alignment horizontal="center" vertical="center" wrapText="1"/>
      <protection hidden="1"/>
    </xf>
    <xf numFmtId="1" fontId="75" fillId="0" borderId="29" xfId="0" applyNumberFormat="1" applyFont="1" applyFill="1" applyBorder="1" applyAlignment="1" applyProtection="1">
      <alignment horizontal="center" vertical="center" wrapText="1"/>
      <protection hidden="1"/>
    </xf>
    <xf numFmtId="1" fontId="74" fillId="0" borderId="29" xfId="0" applyNumberFormat="1" applyFont="1" applyFill="1" applyBorder="1" applyAlignment="1" applyProtection="1">
      <alignment horizontal="center" vertical="center" wrapText="1"/>
      <protection hidden="1"/>
    </xf>
    <xf numFmtId="1" fontId="71" fillId="0" borderId="30" xfId="0" applyNumberFormat="1" applyFont="1" applyFill="1" applyBorder="1" applyAlignment="1" applyProtection="1">
      <alignment horizontal="center" vertical="center" wrapText="1"/>
      <protection hidden="1"/>
    </xf>
    <xf numFmtId="1" fontId="71" fillId="0" borderId="31" xfId="0" applyNumberFormat="1" applyFont="1" applyFill="1" applyBorder="1" applyAlignment="1" applyProtection="1">
      <alignment horizontal="center" vertical="center" wrapText="1"/>
      <protection hidden="1"/>
    </xf>
    <xf numFmtId="1" fontId="78" fillId="0" borderId="29" xfId="0" applyNumberFormat="1" applyFont="1" applyFill="1" applyBorder="1" applyAlignment="1" applyProtection="1">
      <alignment horizontal="center" vertical="center" wrapText="1"/>
      <protection hidden="1"/>
    </xf>
    <xf numFmtId="1" fontId="79" fillId="0" borderId="29" xfId="0" applyNumberFormat="1" applyFont="1" applyFill="1" applyBorder="1" applyAlignment="1" applyProtection="1">
      <alignment horizontal="center" vertical="center" wrapText="1"/>
      <protection hidden="1"/>
    </xf>
    <xf numFmtId="1" fontId="75" fillId="0" borderId="30" xfId="0" applyNumberFormat="1" applyFont="1" applyFill="1" applyBorder="1" applyAlignment="1" applyProtection="1">
      <alignment horizontal="center" vertical="center" wrapText="1"/>
      <protection hidden="1"/>
    </xf>
    <xf numFmtId="1" fontId="75" fillId="0" borderId="31" xfId="0" applyNumberFormat="1" applyFont="1" applyFill="1" applyBorder="1" applyAlignment="1" applyProtection="1">
      <alignment horizontal="center" vertical="center" wrapText="1"/>
      <protection hidden="1"/>
    </xf>
    <xf numFmtId="0" fontId="77" fillId="0" borderId="0" xfId="0" applyFont="1" applyFill="1" applyBorder="1" applyAlignment="1" applyProtection="1">
      <alignment horizontal="center" vertical="center"/>
      <protection hidden="1"/>
    </xf>
    <xf numFmtId="1" fontId="72" fillId="0" borderId="29"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164" fontId="20" fillId="9" borderId="1" xfId="0" applyNumberFormat="1" applyFont="1" applyFill="1" applyBorder="1" applyAlignment="1" applyProtection="1">
      <alignment horizontal="left" vertical="center"/>
      <protection locked="0"/>
    </xf>
    <xf numFmtId="2" fontId="30"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88" fillId="12" borderId="0" xfId="0" applyFont="1" applyFill="1" applyBorder="1" applyAlignment="1" applyProtection="1">
      <alignment vertical="center"/>
      <protection hidden="1"/>
    </xf>
    <xf numFmtId="0" fontId="95" fillId="12" borderId="1" xfId="0" applyFont="1" applyFill="1" applyBorder="1" applyAlignment="1" applyProtection="1">
      <alignment horizontal="center" vertical="center"/>
      <protection hidden="1"/>
    </xf>
    <xf numFmtId="0" fontId="89" fillId="12" borderId="0" xfId="0" applyFont="1" applyFill="1" applyBorder="1" applyAlignment="1" applyProtection="1">
      <alignment horizontal="center" vertical="center"/>
      <protection hidden="1"/>
    </xf>
    <xf numFmtId="0" fontId="115"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vertical="center"/>
      <protection hidden="1"/>
    </xf>
    <xf numFmtId="0" fontId="91" fillId="12" borderId="0" xfId="0" applyFont="1" applyFill="1" applyBorder="1" applyAlignment="1" applyProtection="1">
      <alignment vertical="center"/>
      <protection hidden="1"/>
    </xf>
    <xf numFmtId="0" fontId="97" fillId="12" borderId="0" xfId="0" applyFont="1" applyFill="1" applyBorder="1" applyAlignment="1" applyProtection="1">
      <alignment horizontal="right" vertical="center"/>
      <protection hidden="1"/>
    </xf>
    <xf numFmtId="0" fontId="98" fillId="12" borderId="0" xfId="0" applyFont="1" applyFill="1" applyBorder="1" applyAlignment="1" applyProtection="1">
      <alignment horizontal="center" vertical="center"/>
      <protection hidden="1"/>
    </xf>
    <xf numFmtId="0" fontId="93" fillId="12" borderId="0" xfId="0" applyFont="1" applyFill="1" applyBorder="1" applyAlignment="1" applyProtection="1">
      <alignment horizontal="center" vertical="center"/>
      <protection hidden="1"/>
    </xf>
    <xf numFmtId="0" fontId="99" fillId="12" borderId="0" xfId="0" applyFont="1" applyFill="1" applyBorder="1" applyAlignment="1" applyProtection="1">
      <alignment horizontal="center" vertical="center"/>
      <protection hidden="1"/>
    </xf>
    <xf numFmtId="0" fontId="92" fillId="12" borderId="0" xfId="0" applyFont="1" applyFill="1" applyBorder="1" applyAlignment="1" applyProtection="1">
      <alignment horizontal="center" vertical="center"/>
      <protection hidden="1"/>
    </xf>
    <xf numFmtId="0" fontId="10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11" fillId="12" borderId="0" xfId="0" applyFont="1" applyFill="1" applyBorder="1" applyAlignment="1" applyProtection="1">
      <alignment horizontal="right"/>
      <protection hidden="1"/>
    </xf>
    <xf numFmtId="0" fontId="112"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66" fillId="9" borderId="1" xfId="0" applyFont="1" applyFill="1" applyBorder="1" applyAlignment="1" applyProtection="1">
      <alignment horizontal="center" vertical="center" wrapText="1"/>
      <protection locked="0"/>
    </xf>
    <xf numFmtId="0" fontId="94"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20" fillId="22" borderId="32" xfId="0" applyFont="1" applyFill="1" applyBorder="1" applyAlignment="1">
      <alignment horizontal="center" vertical="top"/>
    </xf>
    <xf numFmtId="0" fontId="42" fillId="22" borderId="32" xfId="0" applyFont="1" applyFill="1" applyBorder="1" applyAlignment="1">
      <alignment horizontal="left" vertical="center" wrapText="1"/>
    </xf>
    <xf numFmtId="0" fontId="42" fillId="22" borderId="32" xfId="0" applyFont="1" applyFill="1" applyBorder="1" applyAlignment="1">
      <alignment wrapText="1"/>
    </xf>
    <xf numFmtId="0" fontId="120" fillId="22" borderId="32" xfId="0" applyFont="1" applyFill="1" applyBorder="1" applyAlignment="1">
      <alignment horizontal="center" vertical="center"/>
    </xf>
    <xf numFmtId="0" fontId="42" fillId="22" borderId="32" xfId="0" applyFont="1" applyFill="1" applyBorder="1" applyAlignment="1"/>
    <xf numFmtId="0" fontId="120" fillId="22" borderId="32" xfId="0" applyFont="1" applyFill="1" applyBorder="1" applyAlignment="1">
      <alignment horizontal="center"/>
    </xf>
    <xf numFmtId="0" fontId="119" fillId="23" borderId="32"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32" xfId="0" applyFont="1" applyBorder="1" applyAlignment="1" applyProtection="1">
      <alignment vertical="center"/>
      <protection hidden="1"/>
    </xf>
    <xf numFmtId="0" fontId="36" fillId="0" borderId="32" xfId="0" applyFont="1" applyBorder="1" applyAlignment="1" applyProtection="1">
      <alignment horizontal="center" vertical="center" wrapText="1"/>
      <protection hidden="1"/>
    </xf>
    <xf numFmtId="0" fontId="34" fillId="0" borderId="32" xfId="0" applyFont="1" applyBorder="1" applyAlignment="1" applyProtection="1">
      <alignment horizontal="center" vertical="center"/>
      <protection hidden="1"/>
    </xf>
    <xf numFmtId="0" fontId="34" fillId="0" borderId="32" xfId="0" applyFont="1" applyBorder="1" applyAlignment="1" applyProtection="1">
      <alignment horizontal="right" vertical="center"/>
      <protection hidden="1"/>
    </xf>
    <xf numFmtId="0" fontId="0" fillId="0" borderId="32" xfId="0" applyFont="1" applyBorder="1" applyProtection="1">
      <protection hidden="1"/>
    </xf>
    <xf numFmtId="0" fontId="36" fillId="0" borderId="32" xfId="0" applyFont="1" applyBorder="1" applyAlignment="1" applyProtection="1">
      <alignment vertical="center"/>
      <protection hidden="1"/>
    </xf>
    <xf numFmtId="0" fontId="36" fillId="0" borderId="32" xfId="0" applyFont="1" applyBorder="1" applyAlignment="1" applyProtection="1">
      <alignment horizontal="right" vertical="center"/>
      <protection hidden="1"/>
    </xf>
    <xf numFmtId="0" fontId="34" fillId="0" borderId="33" xfId="0" applyFont="1" applyBorder="1" applyAlignment="1" applyProtection="1">
      <alignment horizontal="center" vertical="center"/>
      <protection hidden="1"/>
    </xf>
    <xf numFmtId="0" fontId="34" fillId="0" borderId="34" xfId="0" applyFont="1" applyBorder="1" applyAlignment="1" applyProtection="1">
      <alignment vertical="center"/>
      <protection hidden="1"/>
    </xf>
    <xf numFmtId="0" fontId="34" fillId="0" borderId="34" xfId="0" applyFont="1" applyBorder="1" applyAlignment="1" applyProtection="1">
      <alignment horizontal="right" vertical="center"/>
      <protection hidden="1"/>
    </xf>
    <xf numFmtId="0" fontId="30" fillId="0" borderId="32" xfId="0" applyFont="1" applyBorder="1" applyAlignment="1" applyProtection="1">
      <alignment vertical="center"/>
      <protection hidden="1"/>
    </xf>
    <xf numFmtId="0" fontId="35" fillId="0" borderId="32" xfId="0" applyFont="1" applyBorder="1" applyAlignment="1" applyProtection="1">
      <alignment horizontal="center" vertical="center"/>
      <protection hidden="1"/>
    </xf>
    <xf numFmtId="0" fontId="36" fillId="0" borderId="32" xfId="0" applyFont="1" applyBorder="1" applyAlignment="1" applyProtection="1">
      <alignment horizontal="center" vertical="center"/>
      <protection hidden="1"/>
    </xf>
    <xf numFmtId="0" fontId="31" fillId="0" borderId="32" xfId="0" applyFont="1" applyBorder="1" applyAlignment="1" applyProtection="1">
      <alignment vertical="center"/>
      <protection hidden="1"/>
    </xf>
    <xf numFmtId="0" fontId="39" fillId="0" borderId="32" xfId="0" applyFont="1" applyBorder="1" applyAlignment="1" applyProtection="1">
      <alignment vertical="center"/>
      <protection hidden="1"/>
    </xf>
    <xf numFmtId="0" fontId="39" fillId="0" borderId="32" xfId="0" applyFont="1" applyBorder="1" applyAlignment="1" applyProtection="1">
      <alignment horizontal="left" vertical="center"/>
      <protection hidden="1"/>
    </xf>
    <xf numFmtId="0" fontId="34" fillId="0" borderId="32" xfId="0" applyFont="1" applyBorder="1" applyAlignment="1" applyProtection="1">
      <alignment horizontal="left" vertical="center"/>
      <protection hidden="1"/>
    </xf>
    <xf numFmtId="0" fontId="3" fillId="0" borderId="32" xfId="0" applyFont="1" applyBorder="1" applyProtection="1">
      <protection hidden="1"/>
    </xf>
    <xf numFmtId="0" fontId="9" fillId="0" borderId="32" xfId="0" applyFont="1" applyBorder="1" applyProtection="1">
      <protection hidden="1"/>
    </xf>
    <xf numFmtId="0" fontId="9" fillId="0" borderId="32" xfId="0" applyFont="1" applyBorder="1" applyAlignment="1" applyProtection="1">
      <alignment horizontal="right" vertical="center"/>
      <protection hidden="1"/>
    </xf>
    <xf numFmtId="1" fontId="9" fillId="0" borderId="32" xfId="0" applyNumberFormat="1" applyFont="1" applyBorder="1" applyAlignment="1" applyProtection="1">
      <alignment horizontal="right" vertical="center"/>
      <protection hidden="1"/>
    </xf>
    <xf numFmtId="0" fontId="0" fillId="0" borderId="32" xfId="0" applyBorder="1" applyProtection="1">
      <protection hidden="1"/>
    </xf>
    <xf numFmtId="0" fontId="123" fillId="11" borderId="0" xfId="0" applyFont="1" applyFill="1" applyBorder="1" applyAlignment="1" applyProtection="1">
      <alignment vertical="center"/>
      <protection hidden="1"/>
    </xf>
    <xf numFmtId="0" fontId="124" fillId="11" borderId="0" xfId="0" applyFont="1" applyFill="1" applyBorder="1" applyAlignment="1" applyProtection="1">
      <alignment vertical="center"/>
      <protection hidden="1"/>
    </xf>
    <xf numFmtId="0" fontId="125" fillId="11" borderId="0" xfId="0" applyFont="1" applyFill="1" applyBorder="1" applyAlignment="1" applyProtection="1">
      <alignment vertical="center"/>
      <protection hidden="1"/>
    </xf>
    <xf numFmtId="0" fontId="126" fillId="11" borderId="0" xfId="0" applyFont="1" applyFill="1" applyBorder="1" applyAlignment="1" applyProtection="1">
      <alignment vertical="center"/>
      <protection hidden="1"/>
    </xf>
    <xf numFmtId="0" fontId="128" fillId="11" borderId="0" xfId="0" applyFont="1" applyFill="1" applyBorder="1" applyAlignment="1" applyProtection="1">
      <alignment vertical="center"/>
      <protection hidden="1"/>
    </xf>
    <xf numFmtId="0" fontId="130" fillId="11" borderId="0" xfId="0" applyFont="1" applyFill="1" applyBorder="1" applyAlignment="1" applyProtection="1">
      <alignment vertical="center"/>
      <protection hidden="1"/>
    </xf>
    <xf numFmtId="0" fontId="132" fillId="24" borderId="44" xfId="0" applyFont="1" applyFill="1" applyBorder="1" applyAlignment="1">
      <alignment horizontal="center" vertical="center"/>
    </xf>
    <xf numFmtId="0" fontId="133" fillId="24" borderId="44" xfId="0" applyFont="1" applyFill="1" applyBorder="1" applyAlignment="1">
      <alignment horizontal="center" vertical="top"/>
    </xf>
    <xf numFmtId="0" fontId="134" fillId="24" borderId="44" xfId="0" applyFont="1" applyFill="1" applyBorder="1" applyAlignment="1">
      <alignment vertical="top" wrapText="1"/>
    </xf>
    <xf numFmtId="0" fontId="141" fillId="24" borderId="44" xfId="0" applyFont="1" applyFill="1" applyBorder="1" applyAlignment="1">
      <alignment vertical="center"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7" borderId="39"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45" fillId="12" borderId="0" xfId="0" applyFont="1" applyFill="1" applyBorder="1" applyAlignment="1" applyProtection="1">
      <alignment vertical="center" wrapText="1"/>
      <protection hidden="1"/>
    </xf>
    <xf numFmtId="0" fontId="108" fillId="12" borderId="13" xfId="0" applyFont="1" applyFill="1" applyBorder="1" applyAlignment="1" applyProtection="1">
      <alignment horizontal="center" vertical="center"/>
      <protection hidden="1"/>
    </xf>
    <xf numFmtId="0" fontId="90" fillId="12" borderId="12" xfId="0" applyFont="1" applyFill="1" applyBorder="1" applyAlignment="1" applyProtection="1">
      <alignment vertical="center"/>
      <protection hidden="1"/>
    </xf>
    <xf numFmtId="49" fontId="109" fillId="12" borderId="13" xfId="0" applyNumberFormat="1" applyFont="1" applyFill="1" applyBorder="1" applyAlignment="1" applyProtection="1">
      <alignment horizontal="center" vertical="center"/>
      <protection hidden="1"/>
    </xf>
    <xf numFmtId="0" fontId="91" fillId="12" borderId="12" xfId="0" applyFont="1" applyFill="1" applyBorder="1" applyAlignment="1" applyProtection="1">
      <alignment vertical="center"/>
      <protection hidden="1"/>
    </xf>
    <xf numFmtId="0" fontId="89" fillId="12" borderId="12" xfId="0" applyFont="1" applyFill="1" applyBorder="1" applyAlignment="1" applyProtection="1">
      <alignment horizontal="center" vertical="center"/>
      <protection hidden="1"/>
    </xf>
    <xf numFmtId="0" fontId="107" fillId="12" borderId="7" xfId="0" applyFont="1" applyFill="1" applyBorder="1" applyAlignment="1" applyProtection="1">
      <alignment horizontal="center" vertical="center"/>
      <protection hidden="1"/>
    </xf>
    <xf numFmtId="0" fontId="110" fillId="12" borderId="8" xfId="0" applyFont="1" applyFill="1" applyBorder="1" applyAlignment="1" applyProtection="1">
      <alignment horizontal="center" vertical="center"/>
      <protection hidden="1"/>
    </xf>
    <xf numFmtId="0" fontId="89" fillId="12" borderId="8" xfId="0" applyFont="1" applyFill="1" applyBorder="1" applyAlignment="1" applyProtection="1">
      <alignment horizontal="center" vertical="center"/>
      <protection hidden="1"/>
    </xf>
    <xf numFmtId="0" fontId="89" fillId="12" borderId="14"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48" fillId="30" borderId="0" xfId="0" applyFont="1" applyFill="1" applyAlignment="1" applyProtection="1">
      <alignment horizontal="center" vertical="center"/>
      <protection hidden="1"/>
    </xf>
    <xf numFmtId="0" fontId="149" fillId="12" borderId="12" xfId="0" applyFont="1" applyFill="1" applyBorder="1" applyAlignment="1" applyProtection="1">
      <alignment horizontal="center" vertical="center"/>
      <protection hidden="1"/>
    </xf>
    <xf numFmtId="0" fontId="153"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50" fillId="12" borderId="8" xfId="0" applyFont="1" applyFill="1" applyBorder="1" applyAlignment="1" applyProtection="1">
      <alignment horizontal="left" vertical="center"/>
      <protection hidden="1"/>
    </xf>
    <xf numFmtId="0" fontId="156" fillId="10" borderId="0" xfId="0" applyFont="1" applyFill="1" applyProtection="1">
      <protection hidden="1"/>
    </xf>
    <xf numFmtId="0" fontId="157"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52" xfId="0" applyFont="1" applyFill="1" applyBorder="1" applyAlignment="1" applyProtection="1">
      <alignment horizontal="center" vertical="center" wrapText="1"/>
      <protection hidden="1"/>
    </xf>
    <xf numFmtId="0" fontId="40" fillId="9" borderId="52" xfId="0" applyFont="1" applyFill="1" applyBorder="1" applyAlignment="1" applyProtection="1">
      <alignment horizontal="center" vertical="center" wrapText="1"/>
      <protection locked="0"/>
    </xf>
    <xf numFmtId="0" fontId="30" fillId="9" borderId="52" xfId="0" applyFont="1" applyFill="1" applyBorder="1" applyAlignment="1" applyProtection="1">
      <alignment horizontal="center" vertical="center" wrapText="1"/>
      <protection locked="0" hidden="1"/>
    </xf>
    <xf numFmtId="0" fontId="26" fillId="10" borderId="52" xfId="0" applyFont="1" applyFill="1" applyBorder="1" applyAlignment="1" applyProtection="1">
      <alignment vertical="center" wrapText="1"/>
      <protection hidden="1"/>
    </xf>
    <xf numFmtId="0" fontId="27" fillId="10" borderId="54" xfId="0" applyFont="1" applyFill="1" applyBorder="1" applyAlignment="1" applyProtection="1">
      <alignment horizontal="center" vertical="center"/>
      <protection hidden="1"/>
    </xf>
    <xf numFmtId="14" fontId="0" fillId="0" borderId="55" xfId="0" applyNumberForma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8" borderId="55" xfId="0" applyFont="1" applyFill="1" applyBorder="1" applyAlignment="1" applyProtection="1">
      <alignment horizontal="center" vertical="center"/>
      <protection locked="0"/>
    </xf>
    <xf numFmtId="0" fontId="0" fillId="0" borderId="55" xfId="0" applyFont="1" applyBorder="1" applyAlignment="1" applyProtection="1">
      <alignment horizontal="center" vertical="center"/>
      <protection locked="0"/>
    </xf>
    <xf numFmtId="1" fontId="0" fillId="9" borderId="56" xfId="0" applyNumberFormat="1" applyFill="1" applyBorder="1" applyAlignment="1" applyProtection="1">
      <alignment horizontal="center" vertical="center"/>
      <protection locked="0"/>
    </xf>
    <xf numFmtId="14" fontId="0" fillId="9" borderId="56" xfId="0" applyNumberFormat="1" applyFill="1" applyBorder="1" applyAlignment="1" applyProtection="1">
      <alignment horizontal="center" vertical="center"/>
      <protection locked="0"/>
    </xf>
    <xf numFmtId="1" fontId="3" fillId="9" borderId="56" xfId="0" applyNumberFormat="1" applyFont="1" applyFill="1" applyBorder="1" applyAlignment="1" applyProtection="1">
      <alignment horizontal="center" vertical="center"/>
      <protection locked="0"/>
    </xf>
    <xf numFmtId="1" fontId="30" fillId="9" borderId="56" xfId="0" applyNumberFormat="1" applyFont="1" applyFill="1"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61" fillId="17" borderId="1" xfId="0" applyFont="1" applyFill="1" applyBorder="1" applyAlignment="1" applyProtection="1">
      <alignment horizontal="center" vertical="center"/>
      <protection hidden="1"/>
    </xf>
    <xf numFmtId="1" fontId="70" fillId="2" borderId="1" xfId="0" applyNumberFormat="1" applyFont="1" applyFill="1" applyBorder="1" applyAlignment="1" applyProtection="1">
      <alignment horizontal="center" vertical="center"/>
      <protection locked="0" hidden="1"/>
    </xf>
    <xf numFmtId="0" fontId="162" fillId="3" borderId="0" xfId="0" applyFont="1" applyFill="1"/>
    <xf numFmtId="2" fontId="65" fillId="15" borderId="1" xfId="9" applyNumberFormat="1" applyFont="1" applyFill="1" applyBorder="1" applyAlignment="1" applyProtection="1">
      <alignment horizontal="right" vertical="center" wrapText="1"/>
      <protection hidden="1"/>
    </xf>
    <xf numFmtId="2" fontId="160"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87"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56"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66" fillId="0" borderId="0" xfId="0" applyFont="1" applyBorder="1" applyAlignment="1" applyProtection="1">
      <alignment vertical="top" wrapText="1"/>
      <protection hidden="1"/>
    </xf>
    <xf numFmtId="0" fontId="168"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58" xfId="0" applyFill="1" applyBorder="1" applyProtection="1">
      <protection hidden="1"/>
    </xf>
    <xf numFmtId="0" fontId="0" fillId="11" borderId="59" xfId="0" applyFill="1" applyBorder="1" applyProtection="1">
      <protection hidden="1"/>
    </xf>
    <xf numFmtId="0" fontId="46" fillId="11" borderId="59" xfId="0" applyFont="1" applyFill="1" applyBorder="1" applyAlignment="1" applyProtection="1">
      <alignment horizontal="center" vertical="center"/>
      <protection hidden="1"/>
    </xf>
    <xf numFmtId="0" fontId="0" fillId="11" borderId="59" xfId="0" applyFill="1" applyBorder="1" applyAlignment="1" applyProtection="1">
      <alignment horizontal="center" vertical="center"/>
      <protection hidden="1"/>
    </xf>
    <xf numFmtId="0" fontId="0" fillId="11" borderId="60" xfId="0" applyFill="1" applyBorder="1" applyAlignment="1" applyProtection="1">
      <alignment horizontal="center" vertical="center"/>
      <protection hidden="1"/>
    </xf>
    <xf numFmtId="0" fontId="0" fillId="11" borderId="61" xfId="0" applyFill="1" applyBorder="1" applyProtection="1">
      <protection hidden="1"/>
    </xf>
    <xf numFmtId="0" fontId="0" fillId="11" borderId="62"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63" xfId="0" applyFont="1" applyFill="1" applyBorder="1" applyProtection="1">
      <protection hidden="1"/>
    </xf>
    <xf numFmtId="0" fontId="40" fillId="16" borderId="64" xfId="0" applyFont="1" applyFill="1" applyBorder="1" applyProtection="1">
      <protection hidden="1"/>
    </xf>
    <xf numFmtId="0" fontId="40" fillId="17" borderId="63" xfId="0" applyFont="1" applyFill="1" applyBorder="1" applyProtection="1">
      <protection hidden="1"/>
    </xf>
    <xf numFmtId="0" fontId="40" fillId="17" borderId="64" xfId="0" applyFont="1" applyFill="1" applyBorder="1" applyProtection="1">
      <protection hidden="1"/>
    </xf>
    <xf numFmtId="0" fontId="0" fillId="11" borderId="65" xfId="0" applyFill="1" applyBorder="1" applyProtection="1">
      <protection hidden="1"/>
    </xf>
    <xf numFmtId="0" fontId="0" fillId="11" borderId="66" xfId="0" applyFill="1" applyBorder="1" applyProtection="1">
      <protection hidden="1"/>
    </xf>
    <xf numFmtId="0" fontId="0" fillId="11" borderId="66" xfId="0" applyFill="1" applyBorder="1" applyAlignment="1" applyProtection="1">
      <alignment horizontal="center" vertical="center"/>
      <protection hidden="1"/>
    </xf>
    <xf numFmtId="0" fontId="0" fillId="11" borderId="67" xfId="0" applyFill="1" applyBorder="1" applyAlignment="1" applyProtection="1">
      <alignment horizontal="center" vertical="center"/>
      <protection hidden="1"/>
    </xf>
    <xf numFmtId="1" fontId="0" fillId="28" borderId="0" xfId="0" applyNumberFormat="1" applyFill="1" applyBorder="1" applyProtection="1">
      <protection hidden="1"/>
    </xf>
    <xf numFmtId="1" fontId="89"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169" fillId="27" borderId="41" xfId="0" applyFont="1" applyFill="1" applyBorder="1" applyAlignment="1">
      <alignment horizontal="center" vertical="top"/>
    </xf>
    <xf numFmtId="0" fontId="9" fillId="0" borderId="32" xfId="0" applyFont="1" applyBorder="1" applyAlignment="1" applyProtection="1">
      <alignment horizontal="right" vertical="center"/>
      <protection hidden="1"/>
    </xf>
    <xf numFmtId="0" fontId="34" fillId="0" borderId="32" xfId="0" applyFont="1" applyBorder="1" applyAlignment="1" applyProtection="1">
      <alignment horizontal="center" vertical="center"/>
      <protection hidden="1"/>
    </xf>
    <xf numFmtId="0" fontId="30" fillId="0" borderId="32" xfId="0" applyFont="1" applyBorder="1" applyAlignment="1" applyProtection="1">
      <alignment horizontal="center" vertical="center"/>
      <protection hidden="1"/>
    </xf>
    <xf numFmtId="1" fontId="30" fillId="0" borderId="32" xfId="0" applyNumberFormat="1"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56" xfId="0" applyNumberFormat="1" applyFill="1" applyBorder="1" applyAlignment="1" applyProtection="1">
      <alignment horizontal="center" vertical="center"/>
      <protection locked="0" hidden="1"/>
    </xf>
    <xf numFmtId="0" fontId="172" fillId="0" borderId="0" xfId="5" applyFont="1" applyAlignment="1" applyProtection="1">
      <protection hidden="1"/>
    </xf>
    <xf numFmtId="0" fontId="171" fillId="0" borderId="0" xfId="6" applyFont="1" applyBorder="1" applyAlignment="1" applyProtection="1">
      <protection hidden="1"/>
    </xf>
    <xf numFmtId="0" fontId="172" fillId="0" borderId="0" xfId="6" applyFont="1" applyBorder="1" applyAlignment="1" applyProtection="1">
      <protection hidden="1"/>
    </xf>
    <xf numFmtId="0" fontId="173"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74" fillId="0" borderId="0" xfId="6" applyFont="1" applyBorder="1" applyAlignment="1" applyProtection="1">
      <alignment horizontal="right"/>
      <protection hidden="1"/>
    </xf>
    <xf numFmtId="0" fontId="172" fillId="0" borderId="0" xfId="6" applyFont="1" applyBorder="1" applyAlignment="1" applyProtection="1">
      <alignment horizontal="right"/>
      <protection hidden="1"/>
    </xf>
    <xf numFmtId="0" fontId="171" fillId="0" borderId="0" xfId="6" applyFont="1" applyFill="1" applyBorder="1" applyAlignment="1" applyProtection="1">
      <protection hidden="1"/>
    </xf>
    <xf numFmtId="0" fontId="170" fillId="0" borderId="0" xfId="6" applyFont="1" applyFill="1" applyAlignment="1" applyProtection="1">
      <alignment vertical="top"/>
      <protection hidden="1"/>
    </xf>
    <xf numFmtId="0" fontId="172" fillId="0" borderId="0" xfId="5" applyFont="1" applyFill="1" applyAlignment="1" applyProtection="1">
      <protection hidden="1"/>
    </xf>
    <xf numFmtId="0" fontId="171" fillId="0" borderId="0" xfId="6" applyFont="1" applyFill="1" applyAlignment="1" applyProtection="1">
      <protection hidden="1"/>
    </xf>
    <xf numFmtId="0" fontId="172" fillId="0" borderId="0" xfId="6" applyFont="1" applyFill="1" applyBorder="1" applyAlignment="1" applyProtection="1">
      <protection hidden="1"/>
    </xf>
    <xf numFmtId="0" fontId="175" fillId="0" borderId="0" xfId="6" applyFont="1" applyFill="1" applyBorder="1" applyAlignment="1" applyProtection="1">
      <alignment vertical="center"/>
      <protection hidden="1"/>
    </xf>
    <xf numFmtId="0" fontId="172" fillId="0" borderId="0" xfId="6" applyFont="1" applyFill="1" applyAlignment="1" applyProtection="1">
      <protection hidden="1"/>
    </xf>
    <xf numFmtId="0" fontId="174" fillId="0" borderId="0" xfId="6" applyFont="1" applyFill="1" applyAlignment="1" applyProtection="1">
      <protection hidden="1"/>
    </xf>
    <xf numFmtId="0" fontId="171" fillId="9" borderId="0" xfId="6" applyFont="1" applyFill="1" applyAlignment="1" applyProtection="1">
      <protection hidden="1"/>
    </xf>
    <xf numFmtId="0" fontId="172" fillId="9" borderId="0" xfId="6" applyFont="1" applyFill="1" applyAlignment="1" applyProtection="1">
      <protection hidden="1"/>
    </xf>
    <xf numFmtId="0" fontId="172" fillId="9" borderId="0" xfId="5" applyFont="1" applyFill="1" applyAlignment="1" applyProtection="1">
      <protection hidden="1"/>
    </xf>
    <xf numFmtId="0" fontId="174" fillId="9" borderId="0" xfId="6" applyFont="1" applyFill="1" applyAlignment="1" applyProtection="1">
      <alignment horizontal="right"/>
      <protection hidden="1"/>
    </xf>
    <xf numFmtId="0" fontId="172" fillId="9" borderId="0" xfId="6" applyFont="1" applyFill="1" applyAlignment="1" applyProtection="1">
      <alignment horizontal="right"/>
      <protection hidden="1"/>
    </xf>
    <xf numFmtId="0" fontId="174" fillId="9" borderId="0" xfId="6" applyFont="1" applyFill="1" applyAlignment="1" applyProtection="1">
      <protection hidden="1"/>
    </xf>
    <xf numFmtId="2" fontId="172" fillId="9" borderId="0" xfId="6" applyNumberFormat="1" applyFont="1" applyFill="1" applyAlignment="1" applyProtection="1">
      <alignment horizontal="right"/>
      <protection hidden="1"/>
    </xf>
    <xf numFmtId="0" fontId="171" fillId="0" borderId="0" xfId="6" applyFont="1" applyAlignment="1" applyProtection="1">
      <protection hidden="1"/>
    </xf>
    <xf numFmtId="0" fontId="172" fillId="0" borderId="0" xfId="6" applyFont="1" applyAlignment="1" applyProtection="1">
      <protection hidden="1"/>
    </xf>
    <xf numFmtId="0" fontId="174" fillId="0" borderId="0" xfId="6" applyFont="1" applyAlignment="1" applyProtection="1">
      <alignment horizontal="right"/>
      <protection hidden="1"/>
    </xf>
    <xf numFmtId="0" fontId="172"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76"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81" fillId="15" borderId="0" xfId="11" applyNumberFormat="1" applyFont="1" applyFill="1" applyBorder="1" applyAlignment="1" applyProtection="1">
      <alignment horizontal="left" vertical="center"/>
      <protection hidden="1"/>
    </xf>
    <xf numFmtId="0" fontId="117" fillId="12" borderId="0" xfId="0" applyFont="1" applyFill="1" applyBorder="1" applyAlignment="1" applyProtection="1">
      <alignment horizontal="left" vertical="center"/>
      <protection hidden="1"/>
    </xf>
    <xf numFmtId="0" fontId="149" fillId="12" borderId="0" xfId="0" applyFont="1" applyFill="1" applyBorder="1" applyAlignment="1" applyProtection="1">
      <alignment horizontal="center" vertical="center"/>
      <protection hidden="1"/>
    </xf>
    <xf numFmtId="0" fontId="113" fillId="12" borderId="0" xfId="0" applyFont="1" applyFill="1" applyBorder="1" applyAlignment="1" applyProtection="1">
      <alignment horizontal="left" wrapText="1"/>
      <protection hidden="1"/>
    </xf>
    <xf numFmtId="0" fontId="164" fillId="12" borderId="0" xfId="0" applyFont="1" applyFill="1" applyBorder="1" applyAlignment="1" applyProtection="1">
      <alignment horizontal="left" vertical="center"/>
      <protection hidden="1"/>
    </xf>
    <xf numFmtId="0" fontId="153" fillId="12" borderId="0" xfId="0" applyFont="1" applyFill="1" applyBorder="1" applyAlignment="1" applyProtection="1">
      <alignment horizontal="left" vertical="center"/>
      <protection hidden="1"/>
    </xf>
    <xf numFmtId="0" fontId="152" fillId="12" borderId="0" xfId="0" applyFont="1" applyFill="1" applyBorder="1" applyAlignment="1" applyProtection="1">
      <alignment horizontal="left" wrapText="1"/>
      <protection hidden="1"/>
    </xf>
    <xf numFmtId="0" fontId="164"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78" xfId="0" applyFont="1" applyFill="1" applyBorder="1" applyAlignment="1" applyProtection="1">
      <alignment horizontal="center" vertical="center" wrapText="1"/>
      <protection locked="0"/>
    </xf>
    <xf numFmtId="1" fontId="0" fillId="10" borderId="56" xfId="0" applyNumberFormat="1" applyFill="1" applyBorder="1" applyAlignment="1" applyProtection="1">
      <alignment horizontal="center" vertical="center"/>
      <protection locked="0" hidden="1"/>
    </xf>
    <xf numFmtId="1" fontId="3" fillId="9" borderId="56"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6" xfId="0" applyNumberFormat="1"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9" xfId="2" applyFont="1" applyBorder="1" applyAlignment="1">
      <alignment horizontal="center" vertical="center"/>
    </xf>
    <xf numFmtId="9" fontId="32" fillId="0" borderId="69" xfId="2" applyNumberFormat="1" applyFont="1" applyBorder="1" applyAlignment="1">
      <alignment horizontal="center" vertical="center"/>
    </xf>
    <xf numFmtId="0" fontId="185"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87" fillId="0" borderId="0" xfId="2" applyFont="1" applyBorder="1" applyAlignment="1">
      <alignment horizontal="left" vertical="center"/>
    </xf>
    <xf numFmtId="0" fontId="186" fillId="0" borderId="0" xfId="2" applyFont="1" applyBorder="1" applyAlignment="1">
      <alignment horizontal="left" vertical="center"/>
    </xf>
    <xf numFmtId="2" fontId="190" fillId="0" borderId="0" xfId="2" applyNumberFormat="1" applyFont="1" applyBorder="1" applyAlignment="1">
      <alignment horizontal="right" vertical="center"/>
    </xf>
    <xf numFmtId="0" fontId="51" fillId="0" borderId="0" xfId="2" applyFont="1" applyBorder="1" applyAlignment="1">
      <alignment horizontal="left" vertical="center"/>
    </xf>
    <xf numFmtId="0" fontId="187" fillId="0" borderId="0" xfId="2" applyFont="1" applyBorder="1" applyAlignment="1">
      <alignment vertical="center"/>
    </xf>
    <xf numFmtId="2" fontId="33" fillId="0" borderId="0" xfId="2" applyNumberFormat="1" applyFont="1" applyBorder="1" applyAlignment="1">
      <alignment vertical="center"/>
    </xf>
    <xf numFmtId="0" fontId="187"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9" xfId="2" applyFont="1" applyBorder="1" applyAlignment="1">
      <alignment horizontal="right"/>
    </xf>
    <xf numFmtId="0" fontId="197" fillId="0" borderId="69" xfId="2" applyFont="1" applyBorder="1" applyAlignment="1">
      <alignment horizontal="right" vertical="center"/>
    </xf>
    <xf numFmtId="2" fontId="192" fillId="0" borderId="75" xfId="5" applyNumberFormat="1" applyFont="1" applyBorder="1" applyAlignment="1" applyProtection="1">
      <protection hidden="1"/>
    </xf>
    <xf numFmtId="0" fontId="198" fillId="0" borderId="0" xfId="0" applyFont="1" applyAlignment="1" applyProtection="1">
      <alignment horizontal="right" vertical="center"/>
      <protection hidden="1"/>
    </xf>
    <xf numFmtId="0" fontId="55" fillId="0" borderId="81" xfId="2" applyFont="1" applyBorder="1" applyAlignment="1">
      <alignment horizontal="center" vertical="center"/>
    </xf>
    <xf numFmtId="0" fontId="32" fillId="0" borderId="81" xfId="2" applyFont="1" applyBorder="1" applyAlignment="1">
      <alignment horizontal="right" vertical="center"/>
    </xf>
    <xf numFmtId="2" fontId="33" fillId="0" borderId="85" xfId="2" applyNumberFormat="1" applyFont="1" applyBorder="1" applyAlignment="1">
      <alignment horizontal="right" vertical="center"/>
    </xf>
    <xf numFmtId="0" fontId="187" fillId="0" borderId="85" xfId="2" applyFont="1" applyBorder="1" applyAlignment="1">
      <alignment vertical="center"/>
    </xf>
    <xf numFmtId="0" fontId="55" fillId="0" borderId="91"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25" fillId="10" borderId="0" xfId="0" applyFont="1" applyFill="1" applyAlignment="1" applyProtection="1">
      <alignment vertical="center"/>
      <protection hidden="1"/>
    </xf>
    <xf numFmtId="0" fontId="0" fillId="10" borderId="0" xfId="0" applyFill="1" applyAlignment="1" applyProtection="1">
      <alignment vertical="center"/>
      <protection hidden="1"/>
    </xf>
    <xf numFmtId="1" fontId="202" fillId="2" borderId="1" xfId="0" applyNumberFormat="1" applyFont="1" applyFill="1" applyBorder="1" applyAlignment="1" applyProtection="1">
      <alignment horizontal="center" vertical="center"/>
      <protection locked="0"/>
    </xf>
    <xf numFmtId="0" fontId="161" fillId="10" borderId="0" xfId="0" applyFont="1" applyFill="1" applyProtection="1">
      <protection hidden="1"/>
    </xf>
    <xf numFmtId="0" fontId="0" fillId="0" borderId="69" xfId="0" applyBorder="1" applyProtection="1">
      <protection hidden="1"/>
    </xf>
    <xf numFmtId="0" fontId="55" fillId="0" borderId="69"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76" xfId="2" applyFont="1" applyBorder="1" applyAlignment="1">
      <alignment vertical="center"/>
    </xf>
    <xf numFmtId="1" fontId="0" fillId="9" borderId="69" xfId="0" applyNumberFormat="1" applyFill="1" applyBorder="1" applyAlignment="1" applyProtection="1">
      <alignment horizontal="center" vertical="center"/>
      <protection locked="0"/>
    </xf>
    <xf numFmtId="14" fontId="0" fillId="9" borderId="69" xfId="0" applyNumberFormat="1" applyFill="1" applyBorder="1" applyAlignment="1" applyProtection="1">
      <alignment horizontal="center" vertical="center"/>
      <protection locked="0"/>
    </xf>
    <xf numFmtId="1" fontId="3" fillId="9" borderId="69" xfId="0" applyNumberFormat="1" applyFont="1" applyFill="1" applyBorder="1" applyAlignment="1" applyProtection="1">
      <alignment horizontal="center" vertical="center"/>
      <protection locked="0"/>
    </xf>
    <xf numFmtId="1" fontId="3" fillId="9" borderId="69" xfId="0" applyNumberFormat="1" applyFont="1" applyFill="1" applyBorder="1" applyAlignment="1" applyProtection="1">
      <alignment horizontal="center" vertical="center"/>
      <protection locked="0" hidden="1"/>
    </xf>
    <xf numFmtId="1" fontId="30" fillId="9" borderId="69" xfId="0" applyNumberFormat="1" applyFont="1" applyFill="1" applyBorder="1" applyAlignment="1" applyProtection="1">
      <alignment horizontal="center" vertical="center"/>
      <protection locked="0"/>
    </xf>
    <xf numFmtId="1" fontId="0" fillId="9" borderId="69" xfId="0" applyNumberFormat="1" applyFill="1" applyBorder="1" applyAlignment="1" applyProtection="1">
      <alignment horizontal="center" vertical="center"/>
      <protection locked="0" hidden="1"/>
    </xf>
    <xf numFmtId="1" fontId="0" fillId="10" borderId="69" xfId="0" applyNumberFormat="1" applyFill="1" applyBorder="1" applyAlignment="1" applyProtection="1">
      <alignment horizontal="center" vertical="center"/>
      <protection locked="0" hidden="1"/>
    </xf>
    <xf numFmtId="0" fontId="0" fillId="0" borderId="69"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87"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203" fillId="0" borderId="1" xfId="0" applyNumberFormat="1" applyFont="1" applyBorder="1" applyAlignment="1" applyProtection="1">
      <alignment horizontal="left" vertical="center"/>
      <protection hidden="1"/>
    </xf>
    <xf numFmtId="1" fontId="55" fillId="0" borderId="69" xfId="2" applyNumberFormat="1" applyFont="1" applyBorder="1" applyAlignment="1">
      <alignment horizontal="right" vertical="center"/>
    </xf>
    <xf numFmtId="1" fontId="40" fillId="0" borderId="85" xfId="2" applyNumberFormat="1" applyFont="1" applyBorder="1" applyAlignment="1">
      <alignment horizontal="right" vertical="center"/>
    </xf>
    <xf numFmtId="1" fontId="33" fillId="0" borderId="85" xfId="2" applyNumberFormat="1" applyFont="1" applyBorder="1" applyAlignment="1">
      <alignment horizontal="right" vertical="center"/>
    </xf>
    <xf numFmtId="1" fontId="194" fillId="0" borderId="85" xfId="2" applyNumberFormat="1" applyFont="1" applyBorder="1" applyAlignment="1">
      <alignment horizontal="right" vertical="center"/>
    </xf>
    <xf numFmtId="1" fontId="190" fillId="0" borderId="85" xfId="2" applyNumberFormat="1" applyFont="1" applyBorder="1" applyAlignment="1">
      <alignment vertical="center"/>
    </xf>
    <xf numFmtId="1" fontId="189" fillId="0" borderId="69" xfId="2" applyNumberFormat="1" applyFont="1" applyBorder="1" applyAlignment="1">
      <alignment horizontal="center"/>
    </xf>
    <xf numFmtId="1" fontId="189" fillId="0" borderId="69" xfId="2" applyNumberFormat="1" applyFont="1" applyBorder="1" applyAlignment="1">
      <alignment horizontal="right"/>
    </xf>
    <xf numFmtId="1" fontId="189" fillId="13" borderId="69" xfId="2" applyNumberFormat="1" applyFont="1" applyFill="1" applyBorder="1" applyAlignment="1">
      <alignment horizontal="right"/>
    </xf>
    <xf numFmtId="1" fontId="58" fillId="0" borderId="69" xfId="2" applyNumberFormat="1" applyFont="1" applyBorder="1" applyAlignment="1">
      <alignment horizontal="right"/>
    </xf>
    <xf numFmtId="0" fontId="204" fillId="0" borderId="69" xfId="2" applyFont="1" applyBorder="1" applyAlignment="1">
      <alignment horizontal="center"/>
    </xf>
    <xf numFmtId="0" fontId="205" fillId="0" borderId="69" xfId="2" applyFont="1" applyBorder="1" applyAlignment="1">
      <alignment horizontal="center"/>
    </xf>
    <xf numFmtId="1" fontId="194" fillId="0" borderId="89" xfId="2" applyNumberFormat="1" applyFont="1" applyBorder="1" applyAlignment="1">
      <alignment vertical="center" wrapText="1"/>
    </xf>
    <xf numFmtId="1" fontId="207" fillId="0" borderId="92" xfId="2" applyNumberFormat="1" applyFont="1" applyBorder="1" applyAlignment="1">
      <alignment horizontal="right" vertical="center"/>
    </xf>
    <xf numFmtId="0" fontId="208"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212" fillId="33" borderId="0" xfId="0" applyFont="1" applyFill="1" applyBorder="1" applyAlignment="1" applyProtection="1">
      <alignment vertical="center"/>
      <protection locked="0"/>
    </xf>
    <xf numFmtId="0" fontId="213" fillId="11" borderId="94" xfId="0" applyFont="1" applyFill="1" applyBorder="1" applyAlignment="1" applyProtection="1">
      <alignment horizontal="center" vertical="center"/>
      <protection hidden="1"/>
    </xf>
    <xf numFmtId="0" fontId="18" fillId="9" borderId="94" xfId="0" applyFont="1" applyFill="1" applyBorder="1" applyAlignment="1" applyProtection="1">
      <alignment horizontal="center" vertical="center"/>
      <protection locked="0"/>
    </xf>
    <xf numFmtId="0" fontId="4" fillId="9" borderId="94" xfId="0" applyFont="1" applyFill="1" applyBorder="1" applyAlignment="1" applyProtection="1">
      <alignment horizontal="center" vertical="center"/>
      <protection locked="0"/>
    </xf>
    <xf numFmtId="0" fontId="25" fillId="11" borderId="94" xfId="0" applyFont="1" applyFill="1" applyBorder="1" applyAlignment="1" applyProtection="1">
      <alignment horizontal="center" vertical="center"/>
      <protection hidden="1"/>
    </xf>
    <xf numFmtId="0" fontId="64" fillId="9" borderId="94" xfId="0" applyFont="1" applyFill="1" applyBorder="1" applyAlignment="1" applyProtection="1">
      <alignment horizontal="center" vertical="center"/>
      <protection locked="0"/>
    </xf>
    <xf numFmtId="0" fontId="18" fillId="9" borderId="94" xfId="0" applyFont="1" applyFill="1" applyBorder="1" applyAlignment="1" applyProtection="1">
      <alignment horizontal="right" vertical="center"/>
      <protection locked="0"/>
    </xf>
    <xf numFmtId="0" fontId="42" fillId="22" borderId="32" xfId="0" applyFont="1" applyFill="1" applyBorder="1" applyAlignment="1">
      <alignment horizontal="left" vertical="top" wrapText="1"/>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0" fontId="9" fillId="9" borderId="1" xfId="0" applyNumberFormat="1" applyFont="1" applyFill="1" applyBorder="1" applyAlignment="1" applyProtection="1">
      <alignment horizontal="left" vertical="center"/>
      <protection locked="0" hidden="1"/>
    </xf>
    <xf numFmtId="1" fontId="84" fillId="10" borderId="1" xfId="0" applyNumberFormat="1" applyFont="1" applyFill="1" applyBorder="1" applyAlignment="1" applyProtection="1">
      <alignment horizontal="center" vertical="center"/>
      <protection locked="0" hidden="1"/>
    </xf>
    <xf numFmtId="166" fontId="80"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32" xfId="0" applyNumberFormat="1" applyFont="1" applyBorder="1" applyAlignment="1" applyProtection="1">
      <alignment vertical="center"/>
      <protection hidden="1"/>
    </xf>
    <xf numFmtId="1" fontId="30" fillId="0" borderId="32" xfId="0" applyNumberFormat="1" applyFont="1" applyBorder="1" applyAlignment="1" applyProtection="1">
      <alignment vertical="center"/>
      <protection hidden="1"/>
    </xf>
    <xf numFmtId="1" fontId="0" fillId="0" borderId="32" xfId="0" applyNumberFormat="1" applyFont="1" applyBorder="1" applyProtection="1">
      <protection hidden="1"/>
    </xf>
    <xf numFmtId="0" fontId="42" fillId="22" borderId="32" xfId="0" applyFont="1" applyFill="1" applyBorder="1" applyAlignment="1">
      <alignment vertical="center" wrapText="1"/>
    </xf>
    <xf numFmtId="0" fontId="42" fillId="22" borderId="32" xfId="0" applyFont="1" applyFill="1" applyBorder="1" applyAlignment="1">
      <alignment vertical="center"/>
    </xf>
    <xf numFmtId="0" fontId="197" fillId="0" borderId="69" xfId="2" applyFont="1" applyBorder="1" applyAlignment="1">
      <alignment horizontal="center" vertical="center" wrapText="1"/>
    </xf>
    <xf numFmtId="0" fontId="55" fillId="0" borderId="69" xfId="2" applyFont="1" applyBorder="1" applyAlignment="1">
      <alignment horizontal="right" vertical="center"/>
    </xf>
    <xf numFmtId="0" fontId="34" fillId="0" borderId="32"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6" xfId="0" applyNumberFormat="1" applyFont="1" applyBorder="1" applyAlignment="1" applyProtection="1">
      <alignment horizontal="center" vertical="center"/>
      <protection hidden="1"/>
    </xf>
    <xf numFmtId="0" fontId="55" fillId="0" borderId="84" xfId="2" applyFont="1" applyBorder="1" applyAlignment="1">
      <alignment horizontal="center" vertical="center"/>
    </xf>
    <xf numFmtId="0" fontId="55" fillId="0" borderId="79" xfId="2" applyFont="1" applyBorder="1" applyAlignment="1">
      <alignment horizontal="center" vertical="center"/>
    </xf>
    <xf numFmtId="0" fontId="197" fillId="0" borderId="85" xfId="2" applyFont="1" applyBorder="1" applyAlignment="1">
      <alignment horizontal="center" vertical="center" wrapText="1"/>
    </xf>
    <xf numFmtId="0" fontId="140" fillId="25" borderId="49" xfId="0" applyFont="1" applyFill="1" applyBorder="1" applyAlignment="1">
      <alignment horizontal="center"/>
    </xf>
    <xf numFmtId="0" fontId="140" fillId="25" borderId="50" xfId="0" applyFont="1" applyFill="1" applyBorder="1" applyAlignment="1">
      <alignment horizontal="center"/>
    </xf>
    <xf numFmtId="0" fontId="143" fillId="25" borderId="49" xfId="22" applyFont="1" applyFill="1" applyBorder="1" applyAlignment="1" applyProtection="1">
      <alignment horizontal="center"/>
    </xf>
    <xf numFmtId="0" fontId="139" fillId="25" borderId="50" xfId="0" applyFont="1" applyFill="1" applyBorder="1" applyAlignment="1">
      <alignment horizontal="center"/>
    </xf>
    <xf numFmtId="0" fontId="219" fillId="26" borderId="36" xfId="0" applyFont="1" applyFill="1" applyBorder="1" applyAlignment="1" applyProtection="1">
      <alignment horizontal="center" vertical="top" wrapText="1"/>
      <protection hidden="1"/>
    </xf>
    <xf numFmtId="0" fontId="219" fillId="26" borderId="38" xfId="0" applyFont="1" applyFill="1" applyBorder="1" applyAlignment="1" applyProtection="1">
      <alignment horizontal="center" vertical="top" wrapText="1"/>
      <protection hidden="1"/>
    </xf>
    <xf numFmtId="0" fontId="135" fillId="25" borderId="45" xfId="0" applyFont="1" applyFill="1" applyBorder="1" applyAlignment="1">
      <alignment horizontal="center"/>
    </xf>
    <xf numFmtId="0" fontId="135" fillId="25" borderId="46" xfId="0" applyFont="1" applyFill="1" applyBorder="1" applyAlignment="1">
      <alignment horizontal="center"/>
    </xf>
    <xf numFmtId="0" fontId="136" fillId="25" borderId="47" xfId="0" applyFont="1" applyFill="1" applyBorder="1" applyAlignment="1">
      <alignment horizontal="center"/>
    </xf>
    <xf numFmtId="0" fontId="136" fillId="25" borderId="48" xfId="0" applyFont="1" applyFill="1" applyBorder="1" applyAlignment="1">
      <alignment horizontal="center"/>
    </xf>
    <xf numFmtId="0" fontId="137" fillId="25" borderId="47" xfId="0" applyFont="1" applyFill="1" applyBorder="1" applyAlignment="1">
      <alignment horizontal="center"/>
    </xf>
    <xf numFmtId="0" fontId="137" fillId="25" borderId="48" xfId="0" applyFont="1" applyFill="1" applyBorder="1" applyAlignment="1">
      <alignment horizontal="center"/>
    </xf>
    <xf numFmtId="0" fontId="138" fillId="25" borderId="47" xfId="0" applyFont="1" applyFill="1" applyBorder="1" applyAlignment="1">
      <alignment horizontal="center"/>
    </xf>
    <xf numFmtId="0" fontId="138" fillId="25" borderId="48" xfId="0" applyFont="1" applyFill="1" applyBorder="1" applyAlignment="1">
      <alignment horizontal="center"/>
    </xf>
    <xf numFmtId="0" fontId="139" fillId="25" borderId="49" xfId="0" applyFont="1" applyFill="1" applyBorder="1" applyAlignment="1">
      <alignment horizontal="center"/>
    </xf>
    <xf numFmtId="0" fontId="121" fillId="2" borderId="32" xfId="0" applyFont="1" applyFill="1" applyBorder="1" applyAlignment="1">
      <alignment horizontal="left" vertical="top" wrapText="1"/>
    </xf>
    <xf numFmtId="0" fontId="119" fillId="23" borderId="32" xfId="0" applyFont="1" applyFill="1" applyBorder="1" applyAlignment="1">
      <alignment horizontal="left"/>
    </xf>
    <xf numFmtId="0" fontId="220" fillId="21" borderId="32" xfId="0" applyFont="1" applyFill="1" applyBorder="1" applyAlignment="1">
      <alignment horizontal="center" vertical="center"/>
    </xf>
    <xf numFmtId="0" fontId="18" fillId="22" borderId="32" xfId="0" applyFont="1" applyFill="1" applyBorder="1" applyAlignment="1">
      <alignment horizontal="center" vertical="center"/>
    </xf>
    <xf numFmtId="0" fontId="85" fillId="23" borderId="32" xfId="0" applyFont="1" applyFill="1" applyBorder="1" applyAlignment="1">
      <alignment horizontal="left" vertical="center"/>
    </xf>
    <xf numFmtId="0" fontId="119" fillId="23" borderId="32" xfId="0" applyFont="1" applyFill="1" applyBorder="1" applyAlignment="1">
      <alignment horizontal="left" vertical="center"/>
    </xf>
    <xf numFmtId="0" fontId="42" fillId="22" borderId="32" xfId="0" applyFont="1" applyFill="1" applyBorder="1" applyAlignment="1">
      <alignment horizontal="left" vertical="top" wrapText="1"/>
    </xf>
    <xf numFmtId="0" fontId="124" fillId="9" borderId="32" xfId="0" applyFont="1" applyFill="1" applyBorder="1" applyAlignment="1" applyProtection="1">
      <alignment horizontal="center" vertical="center"/>
      <protection hidden="1"/>
    </xf>
    <xf numFmtId="0" fontId="124" fillId="9" borderId="33" xfId="0" applyFont="1" applyFill="1" applyBorder="1" applyAlignment="1" applyProtection="1">
      <alignment horizontal="center" vertical="center"/>
      <protection hidden="1"/>
    </xf>
    <xf numFmtId="0" fontId="125" fillId="9" borderId="32" xfId="0" applyFont="1" applyFill="1" applyBorder="1" applyAlignment="1" applyProtection="1">
      <alignment horizontal="center" vertical="center"/>
      <protection hidden="1"/>
    </xf>
    <xf numFmtId="0" fontId="125" fillId="9" borderId="33" xfId="0" applyFont="1" applyFill="1" applyBorder="1" applyAlignment="1" applyProtection="1">
      <alignment horizontal="center" vertical="center"/>
      <protection hidden="1"/>
    </xf>
    <xf numFmtId="0" fontId="126" fillId="9" borderId="32" xfId="0" applyFont="1" applyFill="1" applyBorder="1" applyAlignment="1" applyProtection="1">
      <alignment horizontal="center" vertical="center"/>
      <protection hidden="1"/>
    </xf>
    <xf numFmtId="0" fontId="126" fillId="9" borderId="33" xfId="0" applyFont="1" applyFill="1" applyBorder="1" applyAlignment="1" applyProtection="1">
      <alignment horizontal="center" vertical="center"/>
      <protection hidden="1"/>
    </xf>
    <xf numFmtId="0" fontId="127" fillId="9" borderId="32" xfId="0" applyFont="1" applyFill="1" applyBorder="1" applyAlignment="1" applyProtection="1">
      <alignment horizontal="center" vertical="center"/>
      <protection hidden="1"/>
    </xf>
    <xf numFmtId="0" fontId="127" fillId="9" borderId="33" xfId="0" applyFont="1" applyFill="1" applyBorder="1" applyAlignment="1" applyProtection="1">
      <alignment horizontal="center" vertical="center"/>
      <protection hidden="1"/>
    </xf>
    <xf numFmtId="0" fontId="131" fillId="9" borderId="32" xfId="22" applyFont="1" applyFill="1" applyBorder="1" applyAlignment="1" applyProtection="1">
      <alignment horizontal="center" vertical="center"/>
      <protection hidden="1"/>
    </xf>
    <xf numFmtId="0" fontId="131" fillId="9" borderId="33" xfId="22" applyFont="1" applyFill="1" applyBorder="1" applyAlignment="1" applyProtection="1">
      <alignment horizontal="center" vertical="center"/>
      <protection hidden="1"/>
    </xf>
    <xf numFmtId="0" fontId="4" fillId="11" borderId="94" xfId="0" applyFont="1" applyFill="1" applyBorder="1" applyAlignment="1" applyProtection="1">
      <alignment horizontal="left" vertical="center"/>
      <protection hidden="1"/>
    </xf>
    <xf numFmtId="0" fontId="4" fillId="9" borderId="94" xfId="0" applyFont="1" applyFill="1" applyBorder="1" applyAlignment="1" applyProtection="1">
      <alignment horizontal="left" vertical="center"/>
      <protection locked="0"/>
    </xf>
    <xf numFmtId="0" fontId="4" fillId="9" borderId="95"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59" xfId="0" applyFont="1" applyFill="1" applyBorder="1" applyAlignment="1" applyProtection="1">
      <alignment horizontal="center" vertical="center"/>
      <protection hidden="1"/>
    </xf>
    <xf numFmtId="0" fontId="159"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123" fillId="9" borderId="32" xfId="0" applyFont="1" applyFill="1" applyBorder="1" applyAlignment="1" applyProtection="1">
      <alignment horizontal="center" vertical="center"/>
      <protection hidden="1"/>
    </xf>
    <xf numFmtId="0" fontId="123" fillId="9" borderId="33"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94"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94" xfId="0" applyFont="1" applyFill="1" applyBorder="1" applyAlignment="1" applyProtection="1">
      <alignment horizontal="left" vertical="center"/>
      <protection locked="0"/>
    </xf>
    <xf numFmtId="14" fontId="14" fillId="9" borderId="94" xfId="0" applyNumberFormat="1" applyFont="1" applyFill="1" applyBorder="1" applyAlignment="1" applyProtection="1">
      <alignment horizontal="left" vertical="center"/>
      <protection locked="0"/>
    </xf>
    <xf numFmtId="0" fontId="9" fillId="9" borderId="94" xfId="0" applyFont="1" applyFill="1" applyBorder="1" applyAlignment="1" applyProtection="1">
      <alignment horizontal="left" vertical="center"/>
      <protection locked="0"/>
    </xf>
    <xf numFmtId="14" fontId="4" fillId="9" borderId="94" xfId="0" applyNumberFormat="1" applyFont="1" applyFill="1" applyBorder="1" applyAlignment="1" applyProtection="1">
      <alignment horizontal="left" vertical="center"/>
      <protection locked="0"/>
    </xf>
    <xf numFmtId="0" fontId="3" fillId="17" borderId="61"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61"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20" xfId="0" applyFont="1" applyFill="1" applyBorder="1" applyAlignment="1" applyProtection="1">
      <alignment horizontal="left" vertical="center"/>
      <protection locked="0"/>
    </xf>
    <xf numFmtId="0" fontId="3" fillId="16" borderId="61"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6" fillId="10" borderId="52"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0" fontId="24" fillId="10" borderId="0" xfId="0" applyFont="1" applyFill="1" applyAlignment="1" applyProtection="1">
      <alignment horizontal="center" vertical="center"/>
      <protection hidden="1"/>
    </xf>
    <xf numFmtId="0" fontId="28" fillId="10" borderId="51" xfId="0" applyFont="1" applyFill="1" applyBorder="1" applyAlignment="1" applyProtection="1">
      <alignment horizontal="center" vertical="center" wrapText="1"/>
      <protection hidden="1"/>
    </xf>
    <xf numFmtId="0" fontId="28" fillId="10" borderId="54" xfId="0" applyFont="1" applyFill="1" applyBorder="1" applyAlignment="1" applyProtection="1">
      <alignment horizontal="center" vertical="center" wrapText="1"/>
      <protection hidden="1"/>
    </xf>
    <xf numFmtId="0" fontId="17" fillId="10" borderId="0" xfId="0" applyFont="1" applyFill="1" applyAlignment="1" applyProtection="1">
      <alignment horizontal="center" vertical="center" wrapText="1"/>
      <protection hidden="1"/>
    </xf>
    <xf numFmtId="165" fontId="167" fillId="9" borderId="1" xfId="0" applyNumberFormat="1" applyFont="1" applyFill="1" applyBorder="1" applyAlignment="1" applyProtection="1">
      <alignment horizontal="center" vertical="center"/>
      <protection locked="0"/>
    </xf>
    <xf numFmtId="0" fontId="84"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0" fontId="83" fillId="9" borderId="1" xfId="0" applyFont="1" applyFill="1" applyBorder="1" applyAlignment="1" applyProtection="1">
      <alignment horizontal="center" vertical="center"/>
      <protection locked="0"/>
    </xf>
    <xf numFmtId="0" fontId="218" fillId="10" borderId="0" xfId="0" applyFont="1" applyFill="1" applyAlignment="1" applyProtection="1">
      <alignment horizontal="center" vertical="center"/>
      <protection hidden="1"/>
    </xf>
    <xf numFmtId="0" fontId="17" fillId="10" borderId="18" xfId="0" applyFont="1" applyFill="1" applyBorder="1" applyAlignment="1" applyProtection="1">
      <alignment horizontal="center" vertical="center" wrapText="1"/>
      <protection hidden="1"/>
    </xf>
    <xf numFmtId="0" fontId="17" fillId="10" borderId="0" xfId="0" applyFont="1" applyFill="1" applyBorder="1" applyAlignment="1" applyProtection="1">
      <alignment horizontal="center" vertical="center" wrapText="1"/>
      <protection hidden="1"/>
    </xf>
    <xf numFmtId="0" fontId="201" fillId="9" borderId="0" xfId="0" applyFont="1" applyFill="1" applyAlignment="1" applyProtection="1">
      <alignment horizontal="center" vertical="center"/>
      <protection locked="0"/>
    </xf>
    <xf numFmtId="0" fontId="168" fillId="10" borderId="0" xfId="0" applyFont="1" applyFill="1" applyAlignment="1" applyProtection="1">
      <alignment horizontal="left" vertical="center" wrapText="1"/>
      <protection hidden="1"/>
    </xf>
    <xf numFmtId="0" fontId="0" fillId="0" borderId="15" xfId="0" applyBorder="1" applyAlignment="1" applyProtection="1">
      <alignment horizontal="center"/>
      <protection hidden="1"/>
    </xf>
    <xf numFmtId="0" fontId="0" fillId="18" borderId="28" xfId="0" applyFill="1" applyBorder="1" applyAlignment="1" applyProtection="1">
      <alignment horizontal="center"/>
      <protection hidden="1"/>
    </xf>
    <xf numFmtId="0" fontId="0" fillId="19" borderId="28" xfId="0" applyFill="1" applyBorder="1" applyAlignment="1" applyProtection="1">
      <alignment horizontal="center"/>
      <protection hidden="1"/>
    </xf>
    <xf numFmtId="0" fontId="0" fillId="7" borderId="28" xfId="0" applyFill="1" applyBorder="1" applyAlignment="1" applyProtection="1">
      <alignment horizontal="center"/>
      <protection hidden="1"/>
    </xf>
    <xf numFmtId="0" fontId="26" fillId="10" borderId="53" xfId="0" applyFont="1" applyFill="1" applyBorder="1" applyAlignment="1" applyProtection="1">
      <alignment horizontal="center" vertical="center" wrapText="1"/>
      <protection hidden="1"/>
    </xf>
    <xf numFmtId="0" fontId="26" fillId="10" borderId="55" xfId="0" applyFont="1" applyFill="1" applyBorder="1" applyAlignment="1" applyProtection="1">
      <alignment horizontal="center" vertical="center" wrapText="1"/>
      <protection hidden="1"/>
    </xf>
    <xf numFmtId="0" fontId="117" fillId="12" borderId="4" xfId="0" applyFont="1" applyFill="1" applyBorder="1" applyAlignment="1" applyProtection="1">
      <alignment horizontal="left" vertical="center"/>
      <protection hidden="1"/>
    </xf>
    <xf numFmtId="0" fontId="117" fillId="12" borderId="5" xfId="0" applyFont="1" applyFill="1" applyBorder="1" applyAlignment="1" applyProtection="1">
      <alignment horizontal="left" vertical="center"/>
      <protection hidden="1"/>
    </xf>
    <xf numFmtId="0" fontId="117" fillId="12" borderId="25"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104"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9"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9"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9" xfId="9" applyNumberFormat="1" applyFont="1" applyFill="1" applyBorder="1" applyAlignment="1" applyProtection="1">
      <alignment horizontal="left" vertical="center"/>
      <protection hidden="1"/>
    </xf>
    <xf numFmtId="2" fontId="65" fillId="15" borderId="18" xfId="11" applyNumberFormat="1" applyFont="1" applyFill="1" applyBorder="1" applyAlignment="1" applyProtection="1">
      <alignment horizontal="left" vertical="center"/>
      <protection hidden="1"/>
    </xf>
    <xf numFmtId="2" fontId="65" fillId="15" borderId="19" xfId="11" applyNumberFormat="1" applyFont="1" applyFill="1" applyBorder="1" applyAlignment="1" applyProtection="1">
      <alignment horizontal="left" vertical="center"/>
      <protection hidden="1"/>
    </xf>
    <xf numFmtId="2" fontId="65" fillId="14" borderId="18" xfId="11" applyNumberFormat="1" applyFont="1" applyFill="1" applyBorder="1" applyAlignment="1" applyProtection="1">
      <alignment horizontal="left" vertical="center"/>
      <protection hidden="1"/>
    </xf>
    <xf numFmtId="2" fontId="65" fillId="14" borderId="19" xfId="11" applyNumberFormat="1" applyFont="1" applyFill="1" applyBorder="1" applyAlignment="1" applyProtection="1">
      <alignment horizontal="left" vertical="center"/>
      <protection hidden="1"/>
    </xf>
    <xf numFmtId="2" fontId="65" fillId="14" borderId="18" xfId="11" applyNumberFormat="1" applyFont="1" applyFill="1" applyBorder="1" applyAlignment="1" applyProtection="1">
      <alignment horizontal="left" vertical="center" wrapText="1"/>
      <protection hidden="1"/>
    </xf>
    <xf numFmtId="2" fontId="65" fillId="14" borderId="19" xfId="11" applyNumberFormat="1" applyFont="1" applyFill="1" applyBorder="1" applyAlignment="1" applyProtection="1">
      <alignment horizontal="left" vertical="center" wrapText="1"/>
      <protection hidden="1"/>
    </xf>
    <xf numFmtId="0" fontId="99" fillId="12" borderId="0" xfId="0" applyFont="1" applyFill="1" applyBorder="1" applyAlignment="1" applyProtection="1">
      <alignment horizontal="right"/>
      <protection hidden="1"/>
    </xf>
    <xf numFmtId="0" fontId="100" fillId="12" borderId="0" xfId="0" applyFont="1" applyFill="1" applyBorder="1" applyAlignment="1" applyProtection="1">
      <alignment horizontal="right"/>
      <protection hidden="1"/>
    </xf>
    <xf numFmtId="0" fontId="145" fillId="12" borderId="12" xfId="0" applyFont="1" applyFill="1" applyBorder="1" applyAlignment="1" applyProtection="1">
      <alignment vertical="center" wrapText="1"/>
      <protection hidden="1"/>
    </xf>
    <xf numFmtId="0" fontId="216" fillId="12" borderId="12" xfId="0" applyFont="1" applyFill="1" applyBorder="1" applyAlignment="1" applyProtection="1">
      <alignment horizontal="left" wrapText="1"/>
      <protection hidden="1"/>
    </xf>
    <xf numFmtId="0" fontId="152" fillId="12" borderId="12" xfId="0" applyFont="1" applyFill="1" applyBorder="1" applyAlignment="1" applyProtection="1">
      <alignment horizontal="left" wrapText="1"/>
      <protection hidden="1"/>
    </xf>
    <xf numFmtId="0" fontId="96"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98" fillId="12" borderId="0" xfId="0" applyFont="1" applyFill="1" applyBorder="1" applyAlignment="1" applyProtection="1">
      <alignment horizontal="right" vertical="center"/>
      <protection hidden="1"/>
    </xf>
    <xf numFmtId="2" fontId="184" fillId="29" borderId="18" xfId="11" applyNumberFormat="1" applyFont="1" applyFill="1" applyBorder="1" applyAlignment="1" applyProtection="1">
      <alignment horizontal="left" vertical="center" wrapText="1"/>
      <protection hidden="1"/>
    </xf>
    <xf numFmtId="2" fontId="184" fillId="29" borderId="19" xfId="11" applyNumberFormat="1" applyFont="1" applyFill="1" applyBorder="1" applyAlignment="1" applyProtection="1">
      <alignment horizontal="left" vertical="center" wrapText="1"/>
      <protection hidden="1"/>
    </xf>
    <xf numFmtId="0" fontId="6" fillId="0" borderId="27" xfId="0" applyFont="1" applyBorder="1" applyAlignment="1" applyProtection="1">
      <alignment horizontal="right" vertical="center" wrapText="1"/>
      <protection hidden="1"/>
    </xf>
    <xf numFmtId="0" fontId="6" fillId="0" borderId="20"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6"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20" xfId="0" applyNumberFormat="1" applyFont="1" applyBorder="1" applyAlignment="1" applyProtection="1">
      <alignment horizontal="left" vertical="center" wrapText="1"/>
      <protection hidden="1"/>
    </xf>
    <xf numFmtId="0" fontId="6" fillId="0" borderId="20" xfId="0" applyFont="1" applyBorder="1" applyAlignment="1" applyProtection="1">
      <alignment horizontal="center" vertical="center" wrapText="1"/>
      <protection hidden="1"/>
    </xf>
    <xf numFmtId="0" fontId="5" fillId="0" borderId="23"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5" xfId="0" applyFont="1" applyBorder="1" applyAlignment="1" applyProtection="1">
      <alignment horizontal="left" vertical="center" wrapText="1"/>
      <protection hidden="1"/>
    </xf>
    <xf numFmtId="1" fontId="9" fillId="0" borderId="20" xfId="0" applyNumberFormat="1" applyFont="1" applyBorder="1" applyAlignment="1" applyProtection="1">
      <alignment horizontal="left" vertical="center" wrapText="1"/>
      <protection hidden="1"/>
    </xf>
    <xf numFmtId="1" fontId="9" fillId="0" borderId="22" xfId="0" applyNumberFormat="1" applyFont="1" applyBorder="1" applyAlignment="1" applyProtection="1">
      <alignment horizontal="left" vertical="center" wrapText="1"/>
      <protection hidden="1"/>
    </xf>
    <xf numFmtId="0" fontId="4" fillId="0" borderId="20"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77"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5"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2" fillId="0" borderId="69" xfId="2" applyFont="1" applyBorder="1" applyAlignment="1">
      <alignment horizontal="center"/>
    </xf>
    <xf numFmtId="2" fontId="192" fillId="0" borderId="69" xfId="0" applyNumberFormat="1" applyFont="1" applyBorder="1" applyAlignment="1">
      <alignment horizontal="left"/>
    </xf>
    <xf numFmtId="0" fontId="55" fillId="0" borderId="69" xfId="2" applyFont="1" applyBorder="1" applyAlignment="1">
      <alignment horizontal="left"/>
    </xf>
    <xf numFmtId="0" fontId="55" fillId="0" borderId="69" xfId="2" applyFont="1" applyFill="1" applyBorder="1" applyAlignment="1">
      <alignment horizontal="left"/>
    </xf>
    <xf numFmtId="2" fontId="192" fillId="0" borderId="69" xfId="0" applyNumberFormat="1" applyFont="1" applyBorder="1" applyAlignment="1">
      <alignment horizontal="center" vertical="center"/>
    </xf>
    <xf numFmtId="2" fontId="192" fillId="0" borderId="3" xfId="0" applyNumberFormat="1" applyFont="1" applyBorder="1" applyAlignment="1">
      <alignment horizontal="center" vertical="center"/>
    </xf>
    <xf numFmtId="2" fontId="55" fillId="0" borderId="76" xfId="0" applyNumberFormat="1" applyFont="1" applyBorder="1" applyAlignment="1" applyProtection="1">
      <alignment horizontal="left"/>
      <protection hidden="1"/>
    </xf>
    <xf numFmtId="2" fontId="55" fillId="0" borderId="77" xfId="0" applyNumberFormat="1" applyFont="1" applyBorder="1" applyAlignment="1" applyProtection="1">
      <alignment horizontal="left"/>
      <protection hidden="1"/>
    </xf>
    <xf numFmtId="0" fontId="192" fillId="0" borderId="69" xfId="2" applyFont="1" applyBorder="1" applyAlignment="1">
      <alignment horizontal="left"/>
    </xf>
    <xf numFmtId="2" fontId="55" fillId="0" borderId="69" xfId="0" applyNumberFormat="1" applyFont="1" applyBorder="1" applyAlignment="1">
      <alignment horizontal="left"/>
    </xf>
    <xf numFmtId="2" fontId="192" fillId="0" borderId="78" xfId="0" applyNumberFormat="1" applyFont="1" applyBorder="1" applyAlignment="1">
      <alignment horizontal="left"/>
    </xf>
    <xf numFmtId="0" fontId="55" fillId="0" borderId="86" xfId="2" applyFont="1" applyBorder="1" applyAlignment="1">
      <alignment horizontal="center" vertical="top"/>
    </xf>
    <xf numFmtId="0" fontId="55" fillId="0" borderId="87" xfId="2" applyFont="1" applyBorder="1" applyAlignment="1">
      <alignment horizontal="center" vertical="top"/>
    </xf>
    <xf numFmtId="0" fontId="55" fillId="0" borderId="88" xfId="2" applyFont="1" applyBorder="1" applyAlignment="1">
      <alignment horizontal="center" vertical="top"/>
    </xf>
    <xf numFmtId="0" fontId="192" fillId="0" borderId="69" xfId="2" applyFont="1" applyBorder="1" applyAlignment="1">
      <alignment horizontal="left" vertical="center"/>
    </xf>
    <xf numFmtId="0" fontId="192" fillId="0" borderId="85" xfId="2" applyFont="1" applyBorder="1" applyAlignment="1">
      <alignment horizontal="left" vertical="center"/>
    </xf>
    <xf numFmtId="0" fontId="55" fillId="0" borderId="69" xfId="2" applyFont="1" applyBorder="1" applyAlignment="1">
      <alignment horizontal="right" vertical="center"/>
    </xf>
    <xf numFmtId="0" fontId="187" fillId="0" borderId="69" xfId="2" applyFont="1" applyBorder="1" applyAlignment="1">
      <alignment horizontal="left" vertical="center"/>
    </xf>
    <xf numFmtId="0" fontId="187" fillId="0" borderId="85" xfId="2" applyFont="1" applyBorder="1" applyAlignment="1">
      <alignment horizontal="left" vertical="center"/>
    </xf>
    <xf numFmtId="0" fontId="15" fillId="0" borderId="69" xfId="2" applyFont="1" applyBorder="1" applyAlignment="1">
      <alignment horizontal="left"/>
    </xf>
    <xf numFmtId="0" fontId="15" fillId="0" borderId="85" xfId="2" applyFont="1" applyBorder="1" applyAlignment="1">
      <alignment horizontal="left"/>
    </xf>
    <xf numFmtId="0" fontId="54" fillId="0" borderId="69" xfId="2" applyFont="1" applyFill="1" applyBorder="1" applyAlignment="1">
      <alignment horizontal="left" wrapText="1"/>
    </xf>
    <xf numFmtId="0" fontId="51" fillId="0" borderId="69" xfId="2" applyFont="1" applyBorder="1" applyAlignment="1">
      <alignment horizontal="center"/>
    </xf>
    <xf numFmtId="0" fontId="51" fillId="0" borderId="85" xfId="2" applyFont="1" applyBorder="1" applyAlignment="1">
      <alignment horizontal="center"/>
    </xf>
    <xf numFmtId="0" fontId="55" fillId="0" borderId="69" xfId="2" applyFont="1" applyFill="1" applyBorder="1" applyAlignment="1"/>
    <xf numFmtId="0" fontId="55" fillId="0" borderId="84" xfId="2" applyFont="1" applyBorder="1" applyAlignment="1">
      <alignment horizontal="center" vertical="top"/>
    </xf>
    <xf numFmtId="0" fontId="55" fillId="0" borderId="69" xfId="2" applyFont="1" applyBorder="1" applyAlignment="1">
      <alignment horizontal="left" vertical="center"/>
    </xf>
    <xf numFmtId="0" fontId="55" fillId="0" borderId="69" xfId="2" applyFont="1" applyBorder="1" applyAlignment="1">
      <alignment horizontal="center" vertical="center"/>
    </xf>
    <xf numFmtId="2" fontId="33" fillId="0" borderId="69" xfId="2" applyNumberFormat="1" applyFont="1" applyBorder="1" applyAlignment="1">
      <alignment horizontal="center" vertical="center"/>
    </xf>
    <xf numFmtId="1" fontId="52" fillId="0" borderId="69" xfId="2" applyNumberFormat="1" applyFont="1" applyBorder="1" applyAlignment="1">
      <alignment horizontal="center" vertical="center"/>
    </xf>
    <xf numFmtId="1" fontId="52" fillId="0" borderId="85" xfId="2" applyNumberFormat="1" applyFont="1" applyBorder="1" applyAlignment="1">
      <alignment horizontal="center" vertical="center"/>
    </xf>
    <xf numFmtId="0" fontId="55" fillId="0" borderId="69" xfId="2" applyFont="1" applyBorder="1" applyAlignment="1">
      <alignment horizontal="left" vertical="center" wrapText="1"/>
    </xf>
    <xf numFmtId="0" fontId="55" fillId="0" borderId="69" xfId="2" applyFont="1" applyBorder="1" applyAlignment="1">
      <alignment horizontal="center"/>
    </xf>
    <xf numFmtId="0" fontId="210" fillId="0" borderId="0" xfId="6" applyFont="1" applyAlignment="1" applyProtection="1">
      <alignment horizontal="center" vertical="center"/>
      <protection hidden="1"/>
    </xf>
    <xf numFmtId="0" fontId="208" fillId="0" borderId="93" xfId="6" applyFont="1" applyBorder="1" applyAlignment="1" applyProtection="1">
      <alignment horizontal="right" vertical="center"/>
      <protection hidden="1"/>
    </xf>
    <xf numFmtId="0" fontId="194" fillId="0" borderId="81" xfId="4" applyFont="1" applyFill="1" applyBorder="1" applyAlignment="1" applyProtection="1">
      <alignment horizontal="left" vertical="center"/>
    </xf>
    <xf numFmtId="0" fontId="194" fillId="0" borderId="81" xfId="2" applyFont="1" applyFill="1" applyBorder="1" applyAlignment="1">
      <alignment horizontal="left" vertical="center"/>
    </xf>
    <xf numFmtId="0" fontId="194" fillId="0" borderId="82" xfId="2" applyFont="1" applyFill="1" applyBorder="1" applyAlignment="1">
      <alignment horizontal="center" vertical="center"/>
    </xf>
    <xf numFmtId="0" fontId="194" fillId="0" borderId="83" xfId="2" applyFont="1" applyFill="1" applyBorder="1" applyAlignment="1">
      <alignment horizontal="center" vertical="center"/>
    </xf>
    <xf numFmtId="0" fontId="55" fillId="0" borderId="3" xfId="2" applyFont="1" applyBorder="1" applyAlignment="1">
      <alignment horizontal="left"/>
    </xf>
    <xf numFmtId="1" fontId="51" fillId="0" borderId="69" xfId="2" applyNumberFormat="1" applyFont="1" applyBorder="1" applyAlignment="1">
      <alignment horizontal="center" vertical="center"/>
    </xf>
    <xf numFmtId="1" fontId="51" fillId="0" borderId="85" xfId="2" applyNumberFormat="1" applyFont="1" applyBorder="1" applyAlignment="1">
      <alignment horizontal="center" vertical="center"/>
    </xf>
    <xf numFmtId="2" fontId="33" fillId="26" borderId="69" xfId="2" applyNumberFormat="1" applyFont="1" applyFill="1" applyBorder="1" applyAlignment="1" applyProtection="1">
      <alignment horizontal="center" vertical="center"/>
      <protection locked="0"/>
    </xf>
    <xf numFmtId="0" fontId="166" fillId="0" borderId="69" xfId="0" applyFont="1" applyBorder="1" applyAlignment="1" applyProtection="1">
      <alignment horizontal="left" vertical="center" wrapText="1"/>
      <protection hidden="1"/>
    </xf>
    <xf numFmtId="0" fontId="166" fillId="0" borderId="69" xfId="0" applyFont="1" applyBorder="1" applyAlignment="1" applyProtection="1">
      <alignment horizontal="left" vertical="top" wrapText="1"/>
      <protection hidden="1"/>
    </xf>
    <xf numFmtId="0" fontId="55" fillId="0" borderId="80" xfId="2" applyFont="1" applyBorder="1" applyAlignment="1">
      <alignment horizontal="left" vertical="center"/>
    </xf>
    <xf numFmtId="0" fontId="55" fillId="0" borderId="81" xfId="2" applyFont="1" applyBorder="1" applyAlignment="1">
      <alignment horizontal="left" vertical="center"/>
    </xf>
    <xf numFmtId="0" fontId="209" fillId="0" borderId="0" xfId="6" applyFont="1" applyBorder="1" applyAlignment="1" applyProtection="1">
      <alignment horizontal="center" vertical="center"/>
      <protection hidden="1"/>
    </xf>
    <xf numFmtId="0" fontId="193" fillId="0" borderId="69" xfId="2" applyFont="1" applyBorder="1" applyAlignment="1">
      <alignment horizontal="left"/>
    </xf>
    <xf numFmtId="0" fontId="50" fillId="0" borderId="69" xfId="2" applyFont="1" applyBorder="1" applyAlignment="1">
      <alignment horizontal="right"/>
    </xf>
    <xf numFmtId="0" fontId="186" fillId="0" borderId="69" xfId="2" applyFont="1" applyBorder="1" applyAlignment="1">
      <alignment horizontal="left" vertical="top" wrapText="1"/>
    </xf>
    <xf numFmtId="0" fontId="186" fillId="0" borderId="69" xfId="2" applyFont="1" applyBorder="1" applyAlignment="1">
      <alignment horizontal="left" vertical="center" wrapText="1"/>
    </xf>
    <xf numFmtId="0" fontId="195" fillId="0" borderId="69" xfId="2" applyFont="1" applyBorder="1" applyAlignment="1">
      <alignment horizontal="right" vertical="center"/>
    </xf>
    <xf numFmtId="0" fontId="42" fillId="0" borderId="75" xfId="2" applyFont="1" applyBorder="1" applyAlignment="1">
      <alignment horizontal="right" vertical="center"/>
    </xf>
    <xf numFmtId="0" fontId="42" fillId="0" borderId="76" xfId="2" applyFont="1" applyBorder="1" applyAlignment="1">
      <alignment horizontal="right" vertical="center"/>
    </xf>
    <xf numFmtId="0" fontId="42" fillId="0" borderId="77" xfId="2" applyFont="1" applyBorder="1" applyAlignment="1">
      <alignment horizontal="right" vertical="center"/>
    </xf>
    <xf numFmtId="0" fontId="55" fillId="0" borderId="75" xfId="2" applyFont="1" applyBorder="1" applyAlignment="1">
      <alignment horizontal="right" vertical="center"/>
    </xf>
    <xf numFmtId="0" fontId="55" fillId="0" borderId="76" xfId="2" applyFont="1" applyBorder="1" applyAlignment="1">
      <alignment horizontal="right" vertical="center"/>
    </xf>
    <xf numFmtId="0" fontId="55" fillId="0" borderId="77" xfId="2" applyFont="1" applyBorder="1" applyAlignment="1">
      <alignment horizontal="right" vertical="center"/>
    </xf>
    <xf numFmtId="0" fontId="194" fillId="0" borderId="69" xfId="2" applyFont="1" applyBorder="1" applyAlignment="1">
      <alignment horizontal="center" vertical="center"/>
    </xf>
    <xf numFmtId="0" fontId="195" fillId="0" borderId="69" xfId="2" applyFont="1" applyBorder="1" applyAlignment="1">
      <alignment horizontal="left" vertical="center"/>
    </xf>
    <xf numFmtId="0" fontId="170" fillId="0" borderId="0" xfId="6" applyFont="1" applyBorder="1" applyAlignment="1" applyProtection="1">
      <alignment horizontal="center" vertical="center"/>
      <protection hidden="1"/>
    </xf>
    <xf numFmtId="0" fontId="206" fillId="0" borderId="75" xfId="2" applyFont="1" applyBorder="1" applyAlignment="1">
      <alignment horizontal="center" vertical="center" wrapText="1"/>
    </xf>
    <xf numFmtId="0" fontId="206" fillId="0" borderId="77" xfId="2" applyFont="1" applyBorder="1" applyAlignment="1">
      <alignment horizontal="center" vertical="center" wrapText="1"/>
    </xf>
    <xf numFmtId="1" fontId="189" fillId="0" borderId="75" xfId="2" applyNumberFormat="1" applyFont="1" applyBorder="1" applyAlignment="1">
      <alignment horizontal="center"/>
    </xf>
    <xf numFmtId="1" fontId="189" fillId="0" borderId="77" xfId="2" applyNumberFormat="1" applyFont="1" applyBorder="1" applyAlignment="1">
      <alignment horizontal="center"/>
    </xf>
    <xf numFmtId="0" fontId="188" fillId="0" borderId="90" xfId="2" applyFont="1" applyBorder="1" applyAlignment="1">
      <alignment horizontal="right" vertical="center"/>
    </xf>
    <xf numFmtId="0" fontId="188" fillId="0" borderId="91" xfId="2" applyFont="1" applyBorder="1" applyAlignment="1">
      <alignment horizontal="right" vertical="center"/>
    </xf>
    <xf numFmtId="0" fontId="192" fillId="0" borderId="69" xfId="2" applyFont="1" applyBorder="1" applyAlignment="1">
      <alignment horizontal="center" vertical="center" wrapText="1"/>
    </xf>
    <xf numFmtId="0" fontId="197" fillId="0" borderId="69" xfId="2" applyFont="1" applyBorder="1" applyAlignment="1">
      <alignment horizontal="center" vertical="center" wrapText="1"/>
    </xf>
    <xf numFmtId="0" fontId="206" fillId="0" borderId="69" xfId="2" applyFont="1" applyBorder="1" applyAlignment="1">
      <alignment horizontal="center" vertical="center" wrapText="1"/>
    </xf>
    <xf numFmtId="1" fontId="189" fillId="0" borderId="76" xfId="2" applyNumberFormat="1" applyFont="1" applyBorder="1" applyAlignment="1">
      <alignment horizontal="center"/>
    </xf>
    <xf numFmtId="0" fontId="55" fillId="0" borderId="75" xfId="2" applyFont="1" applyBorder="1" applyAlignment="1">
      <alignment horizontal="left"/>
    </xf>
    <xf numFmtId="0" fontId="55" fillId="0" borderId="76" xfId="2" applyFont="1" applyBorder="1" applyAlignment="1">
      <alignment horizontal="left"/>
    </xf>
    <xf numFmtId="0" fontId="55" fillId="0" borderId="89" xfId="2" applyFont="1" applyBorder="1" applyAlignment="1">
      <alignment horizontal="left"/>
    </xf>
    <xf numFmtId="0" fontId="197" fillId="0" borderId="69" xfId="2" applyFont="1" applyBorder="1" applyAlignment="1">
      <alignment horizontal="center" vertical="center"/>
    </xf>
    <xf numFmtId="0" fontId="15" fillId="0" borderId="69" xfId="2" applyFont="1" applyBorder="1" applyAlignment="1">
      <alignment horizontal="center"/>
    </xf>
    <xf numFmtId="0" fontId="0" fillId="0" borderId="69" xfId="2" applyFont="1" applyBorder="1" applyAlignment="1">
      <alignment horizontal="center"/>
    </xf>
    <xf numFmtId="0" fontId="6" fillId="15" borderId="69" xfId="0" applyFont="1" applyFill="1" applyBorder="1" applyAlignment="1" applyProtection="1">
      <alignment horizontal="right" vertical="center"/>
      <protection hidden="1"/>
    </xf>
    <xf numFmtId="0" fontId="6" fillId="15" borderId="69" xfId="0" applyFont="1" applyFill="1" applyBorder="1" applyAlignment="1" applyProtection="1">
      <alignment horizontal="left" vertical="center"/>
      <protection hidden="1"/>
    </xf>
    <xf numFmtId="0" fontId="6" fillId="15" borderId="69" xfId="0" applyFont="1" applyFill="1" applyBorder="1" applyAlignment="1" applyProtection="1">
      <alignment horizontal="center"/>
      <protection hidden="1"/>
    </xf>
    <xf numFmtId="0" fontId="6" fillId="0" borderId="69"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68" xfId="0" applyFont="1" applyFill="1" applyBorder="1" applyAlignment="1" applyProtection="1">
      <alignment horizontal="center" vertical="center"/>
      <protection hidden="1"/>
    </xf>
    <xf numFmtId="0" fontId="9" fillId="32" borderId="73" xfId="0" applyFont="1" applyFill="1" applyBorder="1" applyAlignment="1" applyProtection="1">
      <alignment horizontal="left" vertical="top"/>
      <protection hidden="1"/>
    </xf>
    <xf numFmtId="0" fontId="9" fillId="32" borderId="68" xfId="0" applyFont="1" applyFill="1" applyBorder="1" applyAlignment="1" applyProtection="1">
      <alignment horizontal="left" vertical="top"/>
      <protection hidden="1"/>
    </xf>
    <xf numFmtId="0" fontId="9" fillId="32" borderId="74" xfId="0" applyFont="1" applyFill="1" applyBorder="1" applyAlignment="1" applyProtection="1">
      <alignment horizontal="left" vertical="top"/>
      <protection hidden="1"/>
    </xf>
    <xf numFmtId="1" fontId="6" fillId="0" borderId="69" xfId="0" applyNumberFormat="1" applyFont="1" applyBorder="1" applyAlignment="1" applyProtection="1">
      <alignment horizontal="center"/>
      <protection locked="0"/>
    </xf>
    <xf numFmtId="0" fontId="6" fillId="0" borderId="69" xfId="0" applyFont="1" applyBorder="1" applyAlignment="1" applyProtection="1">
      <alignment horizontal="center"/>
      <protection locked="0"/>
    </xf>
    <xf numFmtId="0" fontId="4" fillId="31" borderId="0" xfId="0" applyFont="1" applyFill="1" applyAlignment="1" applyProtection="1">
      <alignment horizontal="center"/>
      <protection hidden="1"/>
    </xf>
    <xf numFmtId="0" fontId="9" fillId="32" borderId="70" xfId="0" applyFont="1" applyFill="1" applyBorder="1" applyAlignment="1" applyProtection="1">
      <alignment horizontal="left" vertical="top"/>
      <protection hidden="1"/>
    </xf>
    <xf numFmtId="0" fontId="9" fillId="32" borderId="71" xfId="0" applyFont="1" applyFill="1" applyBorder="1" applyAlignment="1" applyProtection="1">
      <alignment horizontal="left" vertical="top"/>
      <protection hidden="1"/>
    </xf>
    <xf numFmtId="0" fontId="9" fillId="32" borderId="72" xfId="0" applyFont="1" applyFill="1" applyBorder="1" applyAlignment="1" applyProtection="1">
      <alignment horizontal="left" vertical="top"/>
      <protection hidden="1"/>
    </xf>
    <xf numFmtId="0" fontId="9" fillId="32" borderId="75" xfId="0" applyFont="1" applyFill="1" applyBorder="1" applyAlignment="1" applyProtection="1">
      <alignment horizontal="left" vertical="top" wrapText="1"/>
      <protection hidden="1"/>
    </xf>
    <xf numFmtId="0" fontId="9" fillId="32" borderId="76" xfId="0" applyFont="1" applyFill="1" applyBorder="1" applyAlignment="1" applyProtection="1">
      <alignment horizontal="left" vertical="top" wrapText="1"/>
      <protection hidden="1"/>
    </xf>
    <xf numFmtId="0" fontId="9" fillId="32" borderId="77" xfId="0" applyFont="1" applyFill="1" applyBorder="1" applyAlignment="1" applyProtection="1">
      <alignment horizontal="left" vertical="top" wrapText="1"/>
      <protection hidden="1"/>
    </xf>
    <xf numFmtId="1" fontId="4" fillId="0" borderId="75" xfId="0" applyNumberFormat="1" applyFont="1" applyBorder="1" applyAlignment="1" applyProtection="1">
      <alignment horizontal="center" vertical="center"/>
      <protection locked="0"/>
    </xf>
    <xf numFmtId="0" fontId="4" fillId="0" borderId="76" xfId="0" applyFont="1" applyBorder="1" applyAlignment="1" applyProtection="1">
      <alignment horizontal="center" vertical="center"/>
      <protection locked="0"/>
    </xf>
    <xf numFmtId="0" fontId="4" fillId="0" borderId="77" xfId="0" applyFont="1" applyBorder="1" applyAlignment="1" applyProtection="1">
      <alignment horizontal="center" vertical="center"/>
      <protection locked="0"/>
    </xf>
    <xf numFmtId="0" fontId="12" fillId="2" borderId="96" xfId="0" applyFont="1" applyFill="1" applyBorder="1" applyAlignment="1" applyProtection="1">
      <alignment horizontal="center"/>
      <protection hidden="1"/>
    </xf>
    <xf numFmtId="0" fontId="12" fillId="2" borderId="97" xfId="0" applyFont="1" applyFill="1" applyBorder="1" applyAlignment="1" applyProtection="1">
      <alignment horizontal="center"/>
      <protection hidden="1"/>
    </xf>
    <xf numFmtId="0" fontId="12" fillId="2" borderId="98" xfId="0" applyFont="1" applyFill="1" applyBorder="1" applyAlignment="1" applyProtection="1">
      <alignment horizontal="center"/>
      <protection hidden="1"/>
    </xf>
    <xf numFmtId="0" fontId="11" fillId="0" borderId="69" xfId="0" applyFont="1" applyBorder="1" applyAlignment="1">
      <alignment horizontal="left" vertical="top" wrapText="1"/>
    </xf>
    <xf numFmtId="1" fontId="178" fillId="0" borderId="75" xfId="0" applyNumberFormat="1" applyFont="1" applyBorder="1" applyAlignment="1">
      <alignment horizontal="center" vertical="center"/>
    </xf>
    <xf numFmtId="0" fontId="178" fillId="0" borderId="76" xfId="0" applyFont="1" applyBorder="1" applyAlignment="1">
      <alignment horizontal="center" vertical="center"/>
    </xf>
    <xf numFmtId="0" fontId="178" fillId="0" borderId="77"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9" xfId="0" applyBorder="1" applyAlignment="1">
      <alignment horizontal="right" vertical="center"/>
    </xf>
    <xf numFmtId="0" fontId="9" fillId="0" borderId="69" xfId="0" applyFont="1" applyBorder="1" applyAlignment="1">
      <alignment horizontal="left" vertical="center"/>
    </xf>
    <xf numFmtId="0" fontId="0" fillId="0" borderId="69" xfId="0" applyBorder="1" applyAlignment="1">
      <alignment horizontal="center"/>
    </xf>
    <xf numFmtId="0" fontId="22" fillId="0" borderId="69" xfId="0" applyFont="1" applyBorder="1" applyAlignment="1">
      <alignment horizontal="left" vertical="top" wrapText="1"/>
    </xf>
    <xf numFmtId="0" fontId="0" fillId="0" borderId="0" xfId="0" applyAlignment="1">
      <alignment horizontal="left" vertical="top"/>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183" fillId="0" borderId="0" xfId="0" applyFont="1" applyAlignment="1">
      <alignment horizontal="center" vertical="center"/>
    </xf>
    <xf numFmtId="0" fontId="3" fillId="0" borderId="0" xfId="0" applyFont="1" applyAlignment="1">
      <alignment horizontal="center" vertical="top"/>
    </xf>
    <xf numFmtId="0" fontId="19" fillId="0" borderId="69" xfId="0" applyFont="1" applyBorder="1" applyAlignment="1">
      <alignment horizontal="left" vertical="top" wrapText="1"/>
    </xf>
    <xf numFmtId="1" fontId="9" fillId="0" borderId="69" xfId="0" applyNumberFormat="1" applyFont="1" applyBorder="1" applyAlignment="1">
      <alignment horizontal="center" vertical="center"/>
    </xf>
    <xf numFmtId="0" fontId="9" fillId="0" borderId="69"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77" fillId="0" borderId="0" xfId="0" applyFont="1" applyBorder="1" applyAlignment="1">
      <alignment horizontal="center" vertical="center"/>
    </xf>
    <xf numFmtId="0" fontId="3" fillId="0" borderId="0" xfId="0" applyFont="1" applyBorder="1" applyAlignment="1">
      <alignment horizontal="center" vertical="center"/>
    </xf>
    <xf numFmtId="0" fontId="19" fillId="0" borderId="69" xfId="0" applyFont="1" applyBorder="1" applyAlignment="1">
      <alignment horizontal="left" vertical="top"/>
    </xf>
    <xf numFmtId="1" fontId="178" fillId="0" borderId="69" xfId="0" applyNumberFormat="1" applyFont="1" applyBorder="1" applyAlignment="1">
      <alignment horizontal="center" vertical="center"/>
    </xf>
    <xf numFmtId="0" fontId="180" fillId="0" borderId="69" xfId="0" applyFont="1" applyBorder="1" applyAlignment="1">
      <alignment horizontal="center" vertical="center"/>
    </xf>
    <xf numFmtId="0" fontId="160" fillId="0" borderId="69" xfId="0" applyFont="1" applyBorder="1" applyAlignment="1">
      <alignment horizontal="center" vertical="center"/>
    </xf>
    <xf numFmtId="0" fontId="3" fillId="0" borderId="69" xfId="0" applyFont="1" applyBorder="1" applyAlignment="1">
      <alignment horizontal="center" vertical="center"/>
    </xf>
    <xf numFmtId="0" fontId="179" fillId="0" borderId="69" xfId="0" applyFont="1" applyBorder="1" applyAlignment="1">
      <alignment horizontal="center" vertical="center"/>
    </xf>
    <xf numFmtId="0" fontId="11" fillId="0" borderId="69" xfId="0" applyFont="1" applyBorder="1" applyAlignment="1">
      <alignment horizontal="center" vertical="center" wrapText="1"/>
    </xf>
    <xf numFmtId="0" fontId="0" fillId="0" borderId="69" xfId="0" applyBorder="1" applyAlignment="1">
      <alignment horizontal="center" vertical="center"/>
    </xf>
    <xf numFmtId="1" fontId="3" fillId="0" borderId="69" xfId="0" applyNumberFormat="1" applyFont="1" applyBorder="1" applyAlignment="1">
      <alignment horizontal="center" vertical="center"/>
    </xf>
    <xf numFmtId="0" fontId="3" fillId="0" borderId="69" xfId="0" applyFont="1" applyBorder="1" applyAlignment="1" applyProtection="1">
      <alignment horizontal="center" vertical="center"/>
      <protection locked="0" hidden="1"/>
    </xf>
    <xf numFmtId="0" fontId="9" fillId="0" borderId="75" xfId="0" applyFont="1" applyBorder="1" applyAlignment="1">
      <alignment horizontal="center" vertical="center"/>
    </xf>
    <xf numFmtId="0" fontId="9" fillId="0" borderId="77" xfId="0" applyFont="1" applyBorder="1" applyAlignment="1">
      <alignment horizontal="center" vertical="center"/>
    </xf>
    <xf numFmtId="1" fontId="4" fillId="0" borderId="69" xfId="0" applyNumberFormat="1" applyFont="1" applyBorder="1" applyAlignment="1">
      <alignment horizontal="center" vertical="center"/>
    </xf>
    <xf numFmtId="0" fontId="4" fillId="0" borderId="69" xfId="0" applyFont="1" applyBorder="1" applyAlignment="1">
      <alignment horizontal="center" vertical="center"/>
    </xf>
    <xf numFmtId="0" fontId="148" fillId="0" borderId="75" xfId="0" applyFont="1" applyBorder="1" applyAlignment="1">
      <alignment horizontal="center" vertical="center"/>
    </xf>
    <xf numFmtId="0" fontId="148" fillId="0" borderId="77" xfId="0" applyFont="1" applyBorder="1" applyAlignment="1">
      <alignment horizontal="center" vertical="center"/>
    </xf>
    <xf numFmtId="0" fontId="31" fillId="0" borderId="32" xfId="0" applyFont="1" applyBorder="1" applyAlignment="1" applyProtection="1">
      <alignment horizontal="right" vertical="center"/>
      <protection hidden="1"/>
    </xf>
    <xf numFmtId="0" fontId="54" fillId="0" borderId="32" xfId="0" applyFont="1" applyBorder="1" applyAlignment="1" applyProtection="1">
      <alignment horizontal="left" vertical="center"/>
      <protection hidden="1"/>
    </xf>
    <xf numFmtId="0" fontId="35" fillId="0" borderId="33" xfId="0" applyFont="1" applyBorder="1" applyAlignment="1" applyProtection="1">
      <alignment horizontal="center" vertical="center" wrapText="1"/>
      <protection hidden="1"/>
    </xf>
    <xf numFmtId="0" fontId="35" fillId="0" borderId="34" xfId="0" applyFont="1" applyBorder="1" applyAlignment="1" applyProtection="1">
      <alignment horizontal="center" vertical="center" wrapText="1"/>
      <protection hidden="1"/>
    </xf>
    <xf numFmtId="0" fontId="35" fillId="0" borderId="35"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locked="0"/>
    </xf>
    <xf numFmtId="0" fontId="34" fillId="0" borderId="37" xfId="0" applyFont="1" applyBorder="1" applyAlignment="1" applyProtection="1">
      <alignment horizontal="center" vertical="center" wrapText="1"/>
      <protection locked="0"/>
    </xf>
    <xf numFmtId="0" fontId="34" fillId="0" borderId="38" xfId="0" applyFont="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0" fontId="34" fillId="0" borderId="40" xfId="0"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0" fillId="0" borderId="33" xfId="0" applyFont="1" applyBorder="1" applyAlignment="1" applyProtection="1">
      <alignment horizontal="right" vertical="center" wrapText="1"/>
      <protection hidden="1"/>
    </xf>
    <xf numFmtId="0" fontId="30" fillId="0" borderId="34" xfId="0" applyFont="1" applyBorder="1" applyAlignment="1" applyProtection="1">
      <alignment horizontal="right" vertical="center" wrapText="1"/>
      <protection hidden="1"/>
    </xf>
    <xf numFmtId="0" fontId="30" fillId="0" borderId="35" xfId="0" applyFont="1" applyBorder="1" applyAlignment="1" applyProtection="1">
      <alignment horizontal="right" vertical="center" wrapText="1"/>
      <protection hidden="1"/>
    </xf>
    <xf numFmtId="0" fontId="30" fillId="0" borderId="33" xfId="0" applyFont="1" applyBorder="1" applyAlignment="1" applyProtection="1">
      <alignment horizontal="left" vertical="center"/>
      <protection hidden="1"/>
    </xf>
    <xf numFmtId="0" fontId="30" fillId="0" borderId="34" xfId="0" applyFont="1" applyBorder="1" applyAlignment="1" applyProtection="1">
      <alignment horizontal="left" vertical="center"/>
      <protection hidden="1"/>
    </xf>
    <xf numFmtId="0" fontId="30" fillId="0" borderId="35" xfId="0" applyFont="1" applyBorder="1" applyAlignment="1" applyProtection="1">
      <alignment horizontal="left" vertical="center"/>
      <protection hidden="1"/>
    </xf>
    <xf numFmtId="0" fontId="34" fillId="0" borderId="36" xfId="0" applyFont="1" applyBorder="1" applyAlignment="1" applyProtection="1">
      <alignment horizontal="center" vertical="center"/>
      <protection hidden="1"/>
    </xf>
    <xf numFmtId="0" fontId="34" fillId="0" borderId="37" xfId="0" applyFont="1" applyBorder="1" applyAlignment="1" applyProtection="1">
      <alignment horizontal="center" vertical="center"/>
      <protection hidden="1"/>
    </xf>
    <xf numFmtId="0" fontId="34" fillId="0" borderId="38" xfId="0" applyFont="1" applyBorder="1" applyAlignment="1" applyProtection="1">
      <alignment horizontal="center" vertical="center"/>
      <protection hidden="1"/>
    </xf>
    <xf numFmtId="0" fontId="34" fillId="0" borderId="42"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43" xfId="0" applyFont="1" applyBorder="1" applyAlignment="1" applyProtection="1">
      <alignment horizontal="center" vertical="center"/>
      <protection hidden="1"/>
    </xf>
    <xf numFmtId="0" fontId="34" fillId="0" borderId="39" xfId="0" applyFont="1" applyBorder="1" applyAlignment="1" applyProtection="1">
      <alignment horizontal="center" vertical="center"/>
      <protection hidden="1"/>
    </xf>
    <xf numFmtId="0" fontId="34" fillId="0" borderId="40" xfId="0" applyFont="1" applyBorder="1" applyAlignment="1" applyProtection="1">
      <alignment horizontal="center" vertical="center"/>
      <protection hidden="1"/>
    </xf>
    <xf numFmtId="0" fontId="34" fillId="0" borderId="41" xfId="0" applyFont="1" applyBorder="1" applyAlignment="1" applyProtection="1">
      <alignment horizontal="center" vertical="center"/>
      <protection hidden="1"/>
    </xf>
    <xf numFmtId="1" fontId="30" fillId="0" borderId="32" xfId="0" applyNumberFormat="1" applyFont="1" applyBorder="1" applyAlignment="1" applyProtection="1">
      <alignment horizontal="center" vertical="center"/>
      <protection locked="0" hidden="1"/>
    </xf>
    <xf numFmtId="0" fontId="30" fillId="0" borderId="32" xfId="0" applyFont="1" applyBorder="1" applyAlignment="1" applyProtection="1">
      <alignment horizontal="center" vertical="center"/>
      <protection locked="0" hidden="1"/>
    </xf>
    <xf numFmtId="0" fontId="31" fillId="0" borderId="32" xfId="0" applyFont="1" applyBorder="1" applyAlignment="1" applyProtection="1">
      <alignment horizontal="center" vertical="center"/>
      <protection hidden="1"/>
    </xf>
    <xf numFmtId="0" fontId="33" fillId="0" borderId="32" xfId="0" applyNumberFormat="1" applyFont="1" applyBorder="1" applyAlignment="1" applyProtection="1">
      <alignment horizontal="center" vertical="center"/>
      <protection hidden="1"/>
    </xf>
    <xf numFmtId="0" fontId="36" fillId="0" borderId="32" xfId="0" applyFont="1" applyBorder="1" applyAlignment="1" applyProtection="1">
      <alignment horizontal="center" vertical="center"/>
      <protection hidden="1"/>
    </xf>
    <xf numFmtId="0" fontId="30" fillId="0" borderId="32" xfId="0" applyFont="1" applyBorder="1" applyAlignment="1" applyProtection="1">
      <alignment horizontal="center" vertical="center"/>
      <protection hidden="1"/>
    </xf>
    <xf numFmtId="14" fontId="30" fillId="0" borderId="32" xfId="0" applyNumberFormat="1" applyFont="1" applyBorder="1" applyAlignment="1" applyProtection="1">
      <alignment horizontal="center" vertical="center"/>
      <protection hidden="1"/>
    </xf>
    <xf numFmtId="0" fontId="36" fillId="0" borderId="32" xfId="0" applyFont="1" applyBorder="1" applyAlignment="1" applyProtection="1">
      <alignment horizontal="left" vertical="center"/>
      <protection hidden="1"/>
    </xf>
    <xf numFmtId="0" fontId="34" fillId="0" borderId="32" xfId="0" applyFont="1" applyBorder="1" applyAlignment="1" applyProtection="1">
      <alignment horizontal="left" vertical="center"/>
      <protection hidden="1"/>
    </xf>
    <xf numFmtId="0" fontId="30" fillId="0" borderId="32" xfId="0" applyFont="1" applyBorder="1" applyAlignment="1" applyProtection="1">
      <alignment horizontal="left" vertical="center"/>
      <protection hidden="1"/>
    </xf>
    <xf numFmtId="0" fontId="35" fillId="0" borderId="32" xfId="0" applyFont="1" applyBorder="1" applyAlignment="1" applyProtection="1">
      <alignment horizontal="left" vertical="center"/>
      <protection hidden="1"/>
    </xf>
    <xf numFmtId="0" fontId="34" fillId="0" borderId="32"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32" xfId="0" applyNumberFormat="1" applyFont="1" applyBorder="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34" fillId="0" borderId="32"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32" xfId="0" applyFont="1" applyBorder="1" applyAlignment="1" applyProtection="1">
      <alignment horizontal="center" vertical="center" wrapText="1"/>
      <protection hidden="1"/>
    </xf>
    <xf numFmtId="0" fontId="86" fillId="0" borderId="0" xfId="0" applyFont="1" applyBorder="1" applyAlignment="1" applyProtection="1">
      <alignment horizontal="center" vertical="center" wrapText="1"/>
      <protection hidden="1"/>
    </xf>
    <xf numFmtId="0" fontId="40" fillId="0" borderId="32" xfId="0" applyFont="1" applyBorder="1" applyAlignment="1" applyProtection="1">
      <alignment horizontal="left" vertical="center" wrapText="1"/>
      <protection hidden="1"/>
    </xf>
    <xf numFmtId="0" fontId="35" fillId="0" borderId="32" xfId="0" applyFont="1" applyBorder="1" applyAlignment="1" applyProtection="1">
      <alignment horizontal="center" wrapText="1"/>
      <protection hidden="1"/>
    </xf>
    <xf numFmtId="0" fontId="40" fillId="0" borderId="32"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32" xfId="0" applyFont="1" applyBorder="1" applyAlignment="1" applyProtection="1">
      <alignment horizontal="center"/>
      <protection hidden="1"/>
    </xf>
    <xf numFmtId="1" fontId="40" fillId="0" borderId="32" xfId="0" applyNumberFormat="1" applyFont="1" applyBorder="1" applyAlignment="1" applyProtection="1">
      <alignment horizontal="center" vertical="center"/>
      <protection hidden="1"/>
    </xf>
    <xf numFmtId="0" fontId="30" fillId="0" borderId="32" xfId="0" applyFont="1" applyBorder="1" applyAlignment="1" applyProtection="1">
      <alignment horizontal="right" vertical="center"/>
      <protection hidden="1"/>
    </xf>
    <xf numFmtId="0" fontId="36" fillId="0" borderId="33" xfId="0" applyFont="1" applyBorder="1" applyAlignment="1" applyProtection="1">
      <alignment horizontal="center" vertical="center"/>
      <protection hidden="1"/>
    </xf>
    <xf numFmtId="0" fontId="36" fillId="0" borderId="34" xfId="0" applyFont="1" applyBorder="1" applyAlignment="1" applyProtection="1">
      <alignment horizontal="center" vertical="center"/>
      <protection hidden="1"/>
    </xf>
    <xf numFmtId="0" fontId="36" fillId="0" borderId="35"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14" fontId="23" fillId="0" borderId="32"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32" xfId="0" applyFont="1" applyBorder="1" applyAlignment="1" applyProtection="1">
      <alignment horizontal="center" vertical="center"/>
      <protection locked="0" hidden="1"/>
    </xf>
    <xf numFmtId="0" fontId="30" fillId="0" borderId="32" xfId="0" applyFont="1" applyBorder="1" applyAlignment="1" applyProtection="1">
      <alignment horizontal="center" vertical="center" wrapText="1"/>
      <protection hidden="1"/>
    </xf>
    <xf numFmtId="14" fontId="30" fillId="0" borderId="32" xfId="0" applyNumberFormat="1" applyFont="1" applyBorder="1" applyAlignment="1" applyProtection="1">
      <alignment horizontal="center" vertical="center" wrapText="1"/>
      <protection hidden="1"/>
    </xf>
    <xf numFmtId="0" fontId="34" fillId="0" borderId="32" xfId="0" applyFont="1" applyBorder="1" applyAlignment="1" applyProtection="1">
      <alignment horizontal="center" vertical="center" wrapText="1"/>
      <protection locked="0" hidden="1"/>
    </xf>
    <xf numFmtId="1" fontId="30" fillId="0" borderId="32" xfId="1" applyNumberFormat="1" applyFont="1" applyBorder="1" applyAlignment="1" applyProtection="1">
      <alignment horizontal="center" vertical="center"/>
      <protection locked="0" hidden="1"/>
    </xf>
    <xf numFmtId="0" fontId="35" fillId="0" borderId="32" xfId="0" applyFont="1" applyBorder="1" applyAlignment="1" applyProtection="1">
      <alignment horizontal="center" vertical="center" wrapText="1"/>
      <protection hidden="1"/>
    </xf>
    <xf numFmtId="0" fontId="37" fillId="0" borderId="32" xfId="0" applyFont="1" applyBorder="1" applyAlignment="1" applyProtection="1">
      <alignment horizontal="center" vertical="center"/>
      <protection hidden="1"/>
    </xf>
    <xf numFmtId="0" fontId="34" fillId="0" borderId="32" xfId="0" applyFont="1" applyBorder="1" applyAlignment="1" applyProtection="1">
      <alignment horizontal="center" vertical="center" wrapText="1"/>
      <protection locked="0"/>
    </xf>
    <xf numFmtId="0" fontId="35" fillId="0" borderId="32"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32" xfId="0" applyFont="1" applyBorder="1" applyAlignment="1" applyProtection="1">
      <alignment horizontal="left" vertical="center"/>
      <protection hidden="1"/>
    </xf>
    <xf numFmtId="0" fontId="14" fillId="0" borderId="32" xfId="0" applyFont="1" applyBorder="1" applyAlignment="1" applyProtection="1">
      <alignment horizontal="center" vertical="center"/>
      <protection hidden="1"/>
    </xf>
    <xf numFmtId="0" fontId="40" fillId="0" borderId="32" xfId="0" applyFont="1" applyBorder="1" applyAlignment="1" applyProtection="1">
      <alignment horizontal="center" vertical="center"/>
      <protection hidden="1"/>
    </xf>
    <xf numFmtId="1" fontId="30" fillId="0" borderId="32" xfId="1" applyNumberFormat="1" applyFont="1" applyBorder="1" applyAlignment="1" applyProtection="1">
      <alignment horizontal="center" vertical="center"/>
      <protection hidden="1"/>
    </xf>
    <xf numFmtId="1" fontId="30" fillId="0" borderId="32" xfId="0" applyNumberFormat="1" applyFont="1" applyBorder="1" applyAlignment="1" applyProtection="1">
      <alignment horizontal="center" vertical="center"/>
      <protection hidden="1"/>
    </xf>
    <xf numFmtId="0" fontId="32" fillId="0" borderId="32" xfId="0" applyFont="1" applyBorder="1" applyAlignment="1" applyProtection="1">
      <alignment horizontal="center" vertical="center" wrapText="1"/>
      <protection hidden="1"/>
    </xf>
    <xf numFmtId="14" fontId="32" fillId="0" borderId="32" xfId="0" applyNumberFormat="1" applyFont="1" applyBorder="1" applyAlignment="1" applyProtection="1">
      <alignment horizontal="center" vertical="center" wrapText="1"/>
      <protection hidden="1"/>
    </xf>
    <xf numFmtId="0" fontId="31" fillId="0" borderId="32"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63" fillId="0" borderId="0" xfId="0" applyFont="1" applyBorder="1" applyAlignment="1" applyProtection="1">
      <alignment horizontal="center" vertical="center" wrapText="1"/>
      <protection hidden="1"/>
    </xf>
    <xf numFmtId="0" fontId="14" fillId="0" borderId="32" xfId="0" applyFont="1" applyBorder="1" applyAlignment="1" applyProtection="1">
      <alignment horizontal="center" vertical="center" wrapText="1"/>
      <protection hidden="1"/>
    </xf>
    <xf numFmtId="0" fontId="23" fillId="0" borderId="32" xfId="0" applyFont="1" applyBorder="1" applyAlignment="1" applyProtection="1">
      <alignment horizontal="center" vertical="center"/>
      <protection hidden="1"/>
    </xf>
    <xf numFmtId="0" fontId="43" fillId="0" borderId="32" xfId="0" applyFont="1" applyBorder="1" applyAlignment="1" applyProtection="1">
      <alignment horizontal="center" vertical="center" wrapText="1"/>
      <protection hidden="1"/>
    </xf>
    <xf numFmtId="0" fontId="33" fillId="0" borderId="32" xfId="0" applyFont="1" applyBorder="1" applyAlignment="1" applyProtection="1">
      <alignment horizontal="left" vertical="center" wrapText="1"/>
      <protection hidden="1"/>
    </xf>
    <xf numFmtId="14" fontId="40" fillId="0" borderId="33" xfId="0" applyNumberFormat="1" applyFont="1" applyBorder="1" applyAlignment="1" applyProtection="1">
      <alignment horizontal="left" vertical="center" wrapText="1"/>
      <protection locked="0" hidden="1"/>
    </xf>
    <xf numFmtId="0" fontId="40" fillId="0" borderId="34" xfId="0" applyFont="1" applyBorder="1" applyAlignment="1" applyProtection="1">
      <alignment horizontal="left" vertical="center" wrapText="1"/>
      <protection locked="0" hidden="1"/>
    </xf>
    <xf numFmtId="0" fontId="40" fillId="0" borderId="35"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33" xfId="0" applyNumberFormat="1" applyFont="1" applyBorder="1" applyAlignment="1" applyProtection="1">
      <alignment horizontal="left" vertical="center"/>
      <protection hidden="1"/>
    </xf>
    <xf numFmtId="1" fontId="40" fillId="0" borderId="34" xfId="0" applyNumberFormat="1" applyFont="1" applyBorder="1" applyAlignment="1" applyProtection="1">
      <alignment horizontal="left" vertical="center"/>
      <protection hidden="1"/>
    </xf>
    <xf numFmtId="1" fontId="40" fillId="0" borderId="35" xfId="0" applyNumberFormat="1" applyFont="1" applyBorder="1" applyAlignment="1" applyProtection="1">
      <alignment horizontal="left" vertical="center"/>
      <protection hidden="1"/>
    </xf>
    <xf numFmtId="0" fontId="40" fillId="0" borderId="33" xfId="0" applyFont="1" applyBorder="1" applyAlignment="1" applyProtection="1">
      <alignment horizontal="center"/>
      <protection hidden="1"/>
    </xf>
    <xf numFmtId="0" fontId="40" fillId="0" borderId="35" xfId="0" applyFont="1" applyBorder="1" applyAlignment="1" applyProtection="1">
      <alignment horizontal="center"/>
      <protection hidden="1"/>
    </xf>
    <xf numFmtId="0" fontId="35" fillId="0" borderId="34" xfId="0" applyFont="1" applyBorder="1" applyAlignment="1" applyProtection="1">
      <alignment horizontal="left" vertical="center"/>
      <protection hidden="1"/>
    </xf>
    <xf numFmtId="0" fontId="22" fillId="0" borderId="32" xfId="0" applyFont="1" applyBorder="1" applyAlignment="1" applyProtection="1">
      <alignment horizontal="center"/>
      <protection hidden="1"/>
    </xf>
    <xf numFmtId="0" fontId="35" fillId="0" borderId="33" xfId="0" applyFont="1" applyBorder="1" applyAlignment="1" applyProtection="1">
      <alignment horizontal="left" vertical="center"/>
      <protection hidden="1"/>
    </xf>
    <xf numFmtId="0" fontId="35" fillId="0" borderId="35" xfId="0" applyFont="1" applyBorder="1" applyAlignment="1" applyProtection="1">
      <alignment horizontal="left" vertical="center"/>
      <protection hidden="1"/>
    </xf>
    <xf numFmtId="0" fontId="34" fillId="0" borderId="33" xfId="0" applyFont="1" applyBorder="1" applyAlignment="1" applyProtection="1">
      <alignment horizontal="left" vertical="center"/>
      <protection hidden="1"/>
    </xf>
    <xf numFmtId="0" fontId="34" fillId="0" borderId="34" xfId="0" applyFont="1" applyBorder="1" applyAlignment="1" applyProtection="1">
      <alignment horizontal="left" vertical="center"/>
      <protection hidden="1"/>
    </xf>
    <xf numFmtId="0" fontId="34" fillId="0" borderId="35" xfId="0" applyFont="1" applyBorder="1" applyAlignment="1" applyProtection="1">
      <alignment horizontal="left" vertical="center"/>
      <protection hidden="1"/>
    </xf>
    <xf numFmtId="0" fontId="36" fillId="0" borderId="33" xfId="0" applyFont="1" applyBorder="1" applyAlignment="1" applyProtection="1">
      <alignment horizontal="left" vertical="center"/>
      <protection hidden="1"/>
    </xf>
    <xf numFmtId="0" fontId="36" fillId="0" borderId="34" xfId="0" applyFont="1" applyBorder="1" applyAlignment="1" applyProtection="1">
      <alignment horizontal="left" vertical="center"/>
      <protection hidden="1"/>
    </xf>
    <xf numFmtId="0" fontId="36" fillId="0" borderId="35" xfId="0" applyFont="1" applyBorder="1" applyAlignment="1" applyProtection="1">
      <alignment horizontal="left" vertical="center"/>
      <protection hidden="1"/>
    </xf>
    <xf numFmtId="0" fontId="8" fillId="0" borderId="32"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32" xfId="0" applyFont="1" applyBorder="1" applyAlignment="1" applyProtection="1">
      <alignment horizontal="left" vertical="center"/>
      <protection hidden="1"/>
    </xf>
    <xf numFmtId="0" fontId="122" fillId="0" borderId="32" xfId="0" applyFont="1" applyBorder="1" applyAlignment="1" applyProtection="1">
      <alignment horizontal="left" vertical="center"/>
      <protection hidden="1"/>
    </xf>
    <xf numFmtId="0" fontId="0" fillId="0" borderId="32" xfId="0" applyFont="1" applyBorder="1" applyAlignment="1" applyProtection="1">
      <alignment horizontal="left" vertical="center"/>
      <protection hidden="1"/>
    </xf>
    <xf numFmtId="0" fontId="31" fillId="0" borderId="32" xfId="0" applyFont="1" applyBorder="1" applyAlignment="1" applyProtection="1">
      <alignment horizontal="left" vertical="center"/>
      <protection hidden="1"/>
    </xf>
    <xf numFmtId="0" fontId="32" fillId="0" borderId="32" xfId="0" applyFont="1" applyBorder="1" applyAlignment="1" applyProtection="1">
      <alignment horizontal="left" vertical="center"/>
      <protection hidden="1"/>
    </xf>
    <xf numFmtId="0" fontId="9" fillId="0" borderId="32"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32" xfId="0" applyFont="1" applyBorder="1" applyAlignment="1" applyProtection="1">
      <alignment horizontal="left" vertical="center"/>
      <protection hidden="1"/>
    </xf>
    <xf numFmtId="0" fontId="54" fillId="0" borderId="33" xfId="0" applyFont="1" applyBorder="1" applyAlignment="1" applyProtection="1">
      <alignment horizontal="left"/>
      <protection hidden="1"/>
    </xf>
    <xf numFmtId="0" fontId="54" fillId="0" borderId="34" xfId="0" applyFont="1" applyBorder="1" applyAlignment="1" applyProtection="1">
      <alignment horizontal="left"/>
      <protection hidden="1"/>
    </xf>
    <xf numFmtId="0" fontId="54" fillId="0" borderId="35" xfId="0" applyFont="1" applyBorder="1" applyAlignment="1" applyProtection="1">
      <alignment horizontal="left"/>
      <protection hidden="1"/>
    </xf>
    <xf numFmtId="0" fontId="31" fillId="0" borderId="0" xfId="0" applyFont="1" applyBorder="1" applyAlignment="1" applyProtection="1">
      <alignment horizontal="left" vertical="center" wrapText="1"/>
      <protection hidden="1"/>
    </xf>
    <xf numFmtId="0" fontId="11" fillId="0" borderId="32"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525E16"/>
      <color rgb="FF166D07"/>
      <color rgb="FF5A285B"/>
      <color rgb="FF2A4A32"/>
      <color rgb="FFC0C03E"/>
      <color rgb="FF2C512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549341" y="6648450"/>
          <a:ext cx="5876925" cy="1238154"/>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editAs="oneCell">
    <xdr:from>
      <xdr:col>11</xdr:col>
      <xdr:colOff>1828800</xdr:colOff>
      <xdr:row>0</xdr:row>
      <xdr:rowOff>0</xdr:rowOff>
    </xdr:from>
    <xdr:to>
      <xdr:col>13</xdr:col>
      <xdr:colOff>552449</xdr:colOff>
      <xdr:row>10</xdr:row>
      <xdr:rowOff>32808</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1517650</xdr:colOff>
      <xdr:row>21</xdr:row>
      <xdr:rowOff>7407</xdr:rowOff>
    </xdr:from>
    <xdr:to>
      <xdr:col>13</xdr:col>
      <xdr:colOff>565150</xdr:colOff>
      <xdr:row>28</xdr:row>
      <xdr:rowOff>10583</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900900" y="6484407"/>
          <a:ext cx="1428750" cy="2257426"/>
        </a:xfrm>
        <a:prstGeom prst="rect">
          <a:avLst/>
        </a:prstGeom>
        <a:noFill/>
      </xdr:spPr>
    </xdr:pic>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592666</xdr:colOff>
      <xdr:row>3</xdr:row>
      <xdr:rowOff>95250</xdr:rowOff>
    </xdr:from>
    <xdr:to>
      <xdr:col>3</xdr:col>
      <xdr:colOff>1143000</xdr:colOff>
      <xdr:row>3</xdr:row>
      <xdr:rowOff>263523</xdr:rowOff>
    </xdr:to>
    <xdr:sp macro="" textlink="">
      <xdr:nvSpPr>
        <xdr:cNvPr id="79" name="rightArrow"/>
        <xdr:cNvSpPr/>
      </xdr:nvSpPr>
      <xdr:spPr>
        <a:xfrm>
          <a:off x="4307416" y="1068917"/>
          <a:ext cx="550334" cy="16827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1968500</xdr:colOff>
      <xdr:row>0</xdr:row>
      <xdr:rowOff>74083</xdr:rowOff>
    </xdr:from>
    <xdr:to>
      <xdr:col>34</xdr:col>
      <xdr:colOff>1799167</xdr:colOff>
      <xdr:row>6</xdr:row>
      <xdr:rowOff>0</xdr:rowOff>
    </xdr:to>
    <xdr:sp macro="" textlink="">
      <xdr:nvSpPr>
        <xdr:cNvPr id="4" name="Oval Callout 3"/>
        <xdr:cNvSpPr/>
      </xdr:nvSpPr>
      <xdr:spPr>
        <a:xfrm>
          <a:off x="19483917" y="74083"/>
          <a:ext cx="5080000" cy="2360084"/>
        </a:xfrm>
        <a:prstGeom prst="wedgeEllipseCallout">
          <a:avLst>
            <a:gd name="adj1" fmla="val -89446"/>
            <a:gd name="adj2" fmla="val 24954"/>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600" b="1" i="1" u="sng" baseline="0">
              <a:solidFill>
                <a:srgbClr val="166D07"/>
              </a:solidFill>
              <a:latin typeface="Kruti Dev 010" pitchFamily="2" charset="0"/>
              <a:ea typeface="+mn-ea"/>
              <a:cs typeface="+mn-cs"/>
            </a:rPr>
            <a:t>funsZ'k</a:t>
          </a:r>
        </a:p>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 o t:jr ds vuqlkj </a:t>
          </a:r>
          <a:r>
            <a:rPr lang="en-US" sz="1400" b="1" baseline="0">
              <a:solidFill>
                <a:schemeClr val="accent2">
                  <a:lumMod val="75000"/>
                </a:schemeClr>
              </a:solidFill>
              <a:latin typeface="Kruti Dev 010" pitchFamily="2" charset="0"/>
              <a:ea typeface="+mn-ea"/>
              <a:cs typeface="+mn-cs"/>
            </a:rPr>
            <a:t>dsoy ihys dyj dh lSy</a:t>
          </a:r>
          <a:r>
            <a:rPr lang="en-US" sz="1400" b="1" baseline="0">
              <a:solidFill>
                <a:srgbClr val="7030A0"/>
              </a:solidFill>
              <a:latin typeface="Kruti Dev 010" pitchFamily="2" charset="0"/>
              <a:ea typeface="+mn-ea"/>
              <a:cs typeface="+mn-cs"/>
            </a:rPr>
            <a:t> esa MkVk ,fMV djds fy[ksaA</a:t>
          </a:r>
          <a:r>
            <a:rPr lang="en-US" sz="1400" b="1" baseline="0">
              <a:solidFill>
                <a:srgbClr val="7030A0"/>
              </a:solidFill>
              <a:latin typeface="+mn-lt"/>
              <a:ea typeface="+mn-ea"/>
              <a:cs typeface="+mn-cs"/>
            </a:rPr>
            <a:t> </a:t>
          </a:r>
          <a:r>
            <a:rPr lang="en-US" sz="1400" b="1" baseline="0">
              <a:solidFill>
                <a:srgbClr val="7030A0"/>
              </a:solidFill>
              <a:latin typeface="Kruti Dev 010" pitchFamily="2" charset="0"/>
              <a:ea typeface="+mn-ea"/>
              <a:cs typeface="+mn-cs"/>
            </a:rPr>
            <a:t>T;knk ,fMV djusa dh t:jr ugh gSaA vxj fdlh dkfeZd ds MkVk ,UV~zh T;knk ,fMV djus iM+s rks vU; dkfeZdks ds fy, u;h Qzsl ,Dly izksxzke QkbZy MkmuyksM djds mlesa dk;Z djsaxs rks fdlh izdkj dh leL;k ugh vk;sxhA tks Hkh ,fMfVax djuh gS] og blh fcy 'khV ij gh gksxhA</a:t>
          </a:r>
        </a:p>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525E16"/>
              </a:solidFill>
              <a:latin typeface="Kruti Dev 010" pitchFamily="2" charset="0"/>
              <a:ea typeface="+mn-ea"/>
              <a:cs typeface="+mn-cs"/>
            </a:rPr>
            <a:t>AA /kU;okn AA</a:t>
          </a:r>
          <a:endParaRPr lang="en-US" sz="1400" b="1">
            <a:solidFill>
              <a:srgbClr val="525E16"/>
            </a:solidFill>
            <a:latin typeface="Kruti Dev 010" pitchFamily="2" charset="0"/>
            <a:ea typeface="+mn-ea"/>
            <a:cs typeface="+mn-cs"/>
          </a:endParaRPr>
        </a:p>
        <a:p>
          <a:pPr algn="ctr"/>
          <a:endParaRPr lang="en-US" sz="1100"/>
        </a:p>
      </xdr:txBody>
    </xdr:sp>
    <xdr:clientData/>
  </xdr:twoCellAnchor>
  <xdr:twoCellAnchor>
    <xdr:from>
      <xdr:col>14</xdr:col>
      <xdr:colOff>349249</xdr:colOff>
      <xdr:row>0</xdr:row>
      <xdr:rowOff>0</xdr:rowOff>
    </xdr:from>
    <xdr:to>
      <xdr:col>21</xdr:col>
      <xdr:colOff>455083</xdr:colOff>
      <xdr:row>1</xdr:row>
      <xdr:rowOff>306919</xdr:rowOff>
    </xdr:to>
    <xdr:sp macro="" textlink="">
      <xdr:nvSpPr>
        <xdr:cNvPr id="5" name="Oval Callout 4"/>
        <xdr:cNvSpPr/>
      </xdr:nvSpPr>
      <xdr:spPr>
        <a:xfrm>
          <a:off x="7715249" y="0"/>
          <a:ext cx="4074584" cy="740836"/>
        </a:xfrm>
        <a:prstGeom prst="wedgeEllipseCallout">
          <a:avLst>
            <a:gd name="adj1" fmla="val -160852"/>
            <a:gd name="adj2" fmla="val 200288"/>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IF You have received 7th Pay on 01 March and Before, Write Here 7 pay basic</a:t>
          </a:r>
          <a:endParaRPr lang="en-US" sz="1200" b="1">
            <a:solidFill>
              <a:srgbClr val="7030A0"/>
            </a:solidFill>
            <a:latin typeface="+mn-lt"/>
            <a:ea typeface="+mn-ea"/>
            <a:cs typeface="+mn-cs"/>
          </a:endParaRPr>
        </a:p>
        <a:p>
          <a:pPr algn="ctr"/>
          <a:endParaRPr lang="en-US" sz="1100"/>
        </a:p>
      </xdr:txBody>
    </xdr:sp>
    <xdr:clientData/>
  </xdr:twoCellAnchor>
  <xdr:twoCellAnchor>
    <xdr:from>
      <xdr:col>1</xdr:col>
      <xdr:colOff>21166</xdr:colOff>
      <xdr:row>29</xdr:row>
      <xdr:rowOff>126999</xdr:rowOff>
    </xdr:from>
    <xdr:to>
      <xdr:col>7</xdr:col>
      <xdr:colOff>306917</xdr:colOff>
      <xdr:row>34</xdr:row>
      <xdr:rowOff>137582</xdr:rowOff>
    </xdr:to>
    <xdr:sp macro="" textlink="">
      <xdr:nvSpPr>
        <xdr:cNvPr id="6" name="Oval Callout 5"/>
        <xdr:cNvSpPr/>
      </xdr:nvSpPr>
      <xdr:spPr>
        <a:xfrm>
          <a:off x="21166" y="7387166"/>
          <a:ext cx="4074584" cy="963083"/>
        </a:xfrm>
        <a:prstGeom prst="wedgeEllipseCallout">
          <a:avLst>
            <a:gd name="adj1" fmla="val 14473"/>
            <a:gd name="adj2" fmla="val -10113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30,30&amp;40% Arrear and other Arrear must write menualy type. these entry are not come autometically in this columns.</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20</xdr:row>
      <xdr:rowOff>171450</xdr:rowOff>
    </xdr:from>
    <xdr:to>
      <xdr:col>24</xdr:col>
      <xdr:colOff>200025</xdr:colOff>
      <xdr:row>23</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11</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15</xdr:row>
      <xdr:rowOff>47625</xdr:rowOff>
    </xdr:from>
    <xdr:to>
      <xdr:col>23</xdr:col>
      <xdr:colOff>419099</xdr:colOff>
      <xdr:row>18</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12</xdr:row>
      <xdr:rowOff>228607</xdr:rowOff>
    </xdr:from>
    <xdr:to>
      <xdr:col>17</xdr:col>
      <xdr:colOff>530081</xdr:colOff>
      <xdr:row>13</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542926</xdr:colOff>
      <xdr:row>21</xdr:row>
      <xdr:rowOff>0</xdr:rowOff>
    </xdr:from>
    <xdr:to>
      <xdr:col>20</xdr:col>
      <xdr:colOff>161925</xdr:colOff>
      <xdr:row>24</xdr:row>
      <xdr:rowOff>66675</xdr:rowOff>
    </xdr:to>
    <xdr:sp macro="" textlink="">
      <xdr:nvSpPr>
        <xdr:cNvPr id="2" name="Oval Callout 1"/>
        <xdr:cNvSpPr/>
      </xdr:nvSpPr>
      <xdr:spPr>
        <a:xfrm>
          <a:off x="7381876" y="4000500"/>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15</xdr:col>
      <xdr:colOff>571501</xdr:colOff>
      <xdr:row>24</xdr:row>
      <xdr:rowOff>180975</xdr:rowOff>
    </xdr:from>
    <xdr:to>
      <xdr:col>20</xdr:col>
      <xdr:colOff>190500</xdr:colOff>
      <xdr:row>28</xdr:row>
      <xdr:rowOff>47625</xdr:rowOff>
    </xdr:to>
    <xdr:sp macro="" textlink="">
      <xdr:nvSpPr>
        <xdr:cNvPr id="3" name="Oval Callout 2"/>
        <xdr:cNvSpPr/>
      </xdr:nvSpPr>
      <xdr:spPr>
        <a:xfrm>
          <a:off x="7410451" y="4752975"/>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abSelected="1" workbookViewId="0">
      <selection activeCell="C2" sqref="C2"/>
    </sheetView>
  </sheetViews>
  <sheetFormatPr defaultRowHeight="15"/>
  <cols>
    <col min="2" max="2" width="134.140625" customWidth="1"/>
  </cols>
  <sheetData>
    <row r="1" spans="1:2" ht="39" customHeight="1" thickTop="1">
      <c r="A1" s="481" t="s">
        <v>374</v>
      </c>
      <c r="B1" s="482"/>
    </row>
    <row r="2" spans="1:2" ht="138.75" customHeight="1" thickBot="1">
      <c r="A2" s="213"/>
      <c r="B2" s="322" t="s">
        <v>535</v>
      </c>
    </row>
    <row r="3" spans="1:2" ht="24.75" customHeight="1" thickTop="1" thickBot="1">
      <c r="A3" s="494" t="s">
        <v>345</v>
      </c>
      <c r="B3" s="494"/>
    </row>
    <row r="4" spans="1:2" ht="21.75" customHeight="1" thickTop="1" thickBot="1">
      <c r="A4" s="495" t="s">
        <v>373</v>
      </c>
      <c r="B4" s="495"/>
    </row>
    <row r="5" spans="1:2" ht="62.25" customHeight="1" thickTop="1" thickBot="1">
      <c r="A5" s="167">
        <v>1</v>
      </c>
      <c r="B5" s="165" t="s">
        <v>544</v>
      </c>
    </row>
    <row r="6" spans="1:2" s="155" customFormat="1" ht="42" customHeight="1" thickTop="1" thickBot="1">
      <c r="A6" s="167">
        <v>2</v>
      </c>
      <c r="B6" s="467" t="s">
        <v>344</v>
      </c>
    </row>
    <row r="7" spans="1:2" ht="39" thickTop="1" thickBot="1">
      <c r="A7" s="167">
        <v>3</v>
      </c>
      <c r="B7" s="166" t="s">
        <v>346</v>
      </c>
    </row>
    <row r="8" spans="1:2" ht="39" thickTop="1" thickBot="1">
      <c r="A8" s="167">
        <v>4</v>
      </c>
      <c r="B8" s="166" t="s">
        <v>347</v>
      </c>
    </row>
    <row r="9" spans="1:2" ht="114" thickTop="1" thickBot="1">
      <c r="A9" s="167">
        <v>5</v>
      </c>
      <c r="B9" s="454" t="s">
        <v>536</v>
      </c>
    </row>
    <row r="10" spans="1:2" ht="56.25" customHeight="1" thickTop="1" thickBot="1">
      <c r="A10" s="167">
        <v>6</v>
      </c>
      <c r="B10" s="165" t="s">
        <v>537</v>
      </c>
    </row>
    <row r="11" spans="1:2" s="156" customFormat="1" ht="44.25" customHeight="1" thickTop="1" thickBot="1">
      <c r="A11" s="167">
        <v>7</v>
      </c>
      <c r="B11" s="454" t="s">
        <v>538</v>
      </c>
    </row>
    <row r="12" spans="1:2" ht="24" customHeight="1" thickTop="1" thickBot="1">
      <c r="A12" s="164">
        <v>8</v>
      </c>
      <c r="B12" s="468" t="s">
        <v>371</v>
      </c>
    </row>
    <row r="13" spans="1:2" ht="20.25" thickTop="1" thickBot="1">
      <c r="A13" s="169">
        <v>9</v>
      </c>
      <c r="B13" s="168" t="s">
        <v>348</v>
      </c>
    </row>
    <row r="14" spans="1:2" ht="20.25" thickTop="1" thickBot="1">
      <c r="A14" s="170" t="s">
        <v>341</v>
      </c>
      <c r="B14" s="170"/>
    </row>
    <row r="15" spans="1:2" ht="39" thickTop="1" thickBot="1">
      <c r="A15" s="167">
        <v>10</v>
      </c>
      <c r="B15" s="166" t="s">
        <v>539</v>
      </c>
    </row>
    <row r="16" spans="1:2" ht="20.25" thickTop="1" thickBot="1">
      <c r="A16" s="170" t="s">
        <v>342</v>
      </c>
      <c r="B16" s="170"/>
    </row>
    <row r="17" spans="1:2" ht="37.5" customHeight="1" thickTop="1" thickBot="1">
      <c r="A17" s="167">
        <v>11</v>
      </c>
      <c r="B17" s="166" t="s">
        <v>349</v>
      </c>
    </row>
    <row r="18" spans="1:2" s="158" customFormat="1" ht="19.5" customHeight="1" thickTop="1" thickBot="1">
      <c r="A18" s="496" t="s">
        <v>397</v>
      </c>
      <c r="B18" s="497"/>
    </row>
    <row r="19" spans="1:2" s="158" customFormat="1" ht="37.5" customHeight="1" thickTop="1" thickBot="1">
      <c r="A19" s="167">
        <v>12</v>
      </c>
      <c r="B19" s="166" t="s">
        <v>350</v>
      </c>
    </row>
    <row r="20" spans="1:2" ht="20.25" thickTop="1" thickBot="1">
      <c r="A20" s="493" t="s">
        <v>343</v>
      </c>
      <c r="B20" s="493"/>
    </row>
    <row r="21" spans="1:2" ht="39.75" customHeight="1" thickTop="1" thickBot="1">
      <c r="A21" s="498" t="s">
        <v>372</v>
      </c>
      <c r="B21" s="498"/>
    </row>
    <row r="22" spans="1:2" ht="38.25" customHeight="1" thickTop="1" thickBot="1">
      <c r="A22" s="492" t="s">
        <v>364</v>
      </c>
      <c r="B22" s="492"/>
    </row>
    <row r="23" spans="1:2" ht="64.5" customHeight="1" thickTop="1">
      <c r="A23" s="202"/>
      <c r="B23" s="205" t="s">
        <v>540</v>
      </c>
    </row>
    <row r="24" spans="1:2" ht="11.25" customHeight="1">
      <c r="A24" s="203"/>
      <c r="B24" s="204"/>
    </row>
    <row r="25" spans="1:2" ht="23.25">
      <c r="A25" s="483" t="s">
        <v>370</v>
      </c>
      <c r="B25" s="484"/>
    </row>
    <row r="26" spans="1:2" ht="23.25">
      <c r="A26" s="485" t="s">
        <v>541</v>
      </c>
      <c r="B26" s="486"/>
    </row>
    <row r="27" spans="1:2" ht="23.25">
      <c r="A27" s="487" t="s">
        <v>543</v>
      </c>
      <c r="B27" s="488"/>
    </row>
    <row r="28" spans="1:2" ht="23.25">
      <c r="A28" s="489" t="s">
        <v>368</v>
      </c>
      <c r="B28" s="490"/>
    </row>
    <row r="29" spans="1:2" ht="23.25">
      <c r="A29" s="491" t="s">
        <v>542</v>
      </c>
      <c r="B29" s="480"/>
    </row>
    <row r="30" spans="1:2" s="161" customFormat="1" ht="23.25">
      <c r="A30" s="479" t="s">
        <v>367</v>
      </c>
      <c r="B30" s="480"/>
    </row>
    <row r="31" spans="1:2" ht="29.25">
      <c r="A31" s="477" t="s">
        <v>369</v>
      </c>
      <c r="B31" s="478"/>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topLeftCell="A101" zoomScaleSheetLayoutView="100" workbookViewId="0">
      <selection activeCell="C127" sqref="C127:H127"/>
    </sheetView>
  </sheetViews>
  <sheetFormatPr defaultRowHeight="15"/>
  <cols>
    <col min="1" max="1" width="3.140625" style="37" customWidth="1"/>
    <col min="2" max="2" width="5.5703125" style="37" customWidth="1"/>
    <col min="3" max="3" width="6.85546875" style="37" customWidth="1"/>
    <col min="4" max="4" width="7.28515625" style="37" customWidth="1"/>
    <col min="5" max="5" width="6.5703125" style="37" customWidth="1"/>
    <col min="6" max="6" width="5.85546875" style="37" customWidth="1"/>
    <col min="7" max="7" width="6" style="37" customWidth="1"/>
    <col min="8" max="8" width="4.42578125" style="37" customWidth="1"/>
    <col min="9" max="9" width="10.42578125" style="37" customWidth="1"/>
    <col min="10" max="10" width="4" style="37" customWidth="1"/>
    <col min="11" max="11" width="7.28515625" style="37" customWidth="1"/>
    <col min="12" max="12" width="7.85546875" style="37" customWidth="1"/>
    <col min="13" max="13" width="3.5703125" style="37" customWidth="1"/>
    <col min="14" max="14" width="13.5703125" style="37" customWidth="1"/>
    <col min="15" max="26" width="9.140625" style="37"/>
    <col min="27" max="27" width="0" style="37" hidden="1" customWidth="1"/>
    <col min="28" max="36" width="9.140625" style="37" hidden="1" customWidth="1"/>
    <col min="37" max="56" width="9.140625" style="37" customWidth="1"/>
    <col min="57" max="16384" width="9.140625" style="37"/>
  </cols>
  <sheetData>
    <row r="1" spans="1:17" ht="17.25" customHeight="1">
      <c r="A1" s="830" t="s">
        <v>75</v>
      </c>
      <c r="B1" s="830"/>
      <c r="C1" s="830"/>
      <c r="D1" s="830"/>
      <c r="E1" s="830"/>
      <c r="F1" s="830"/>
      <c r="G1" s="830"/>
      <c r="H1" s="830"/>
      <c r="I1" s="830"/>
      <c r="J1" s="830"/>
      <c r="K1" s="830"/>
      <c r="L1" s="830"/>
      <c r="M1" s="830"/>
      <c r="N1" s="830"/>
      <c r="O1" s="126"/>
    </row>
    <row r="2" spans="1:17" ht="21.75" customHeight="1">
      <c r="A2" s="830" t="s">
        <v>74</v>
      </c>
      <c r="B2" s="830"/>
      <c r="C2" s="830"/>
      <c r="D2" s="830"/>
      <c r="E2" s="830"/>
      <c r="F2" s="830"/>
      <c r="G2" s="830"/>
      <c r="H2" s="830"/>
      <c r="I2" s="830"/>
      <c r="J2" s="830"/>
      <c r="K2" s="830"/>
      <c r="L2" s="830"/>
      <c r="M2" s="830"/>
      <c r="N2" s="830"/>
      <c r="O2" s="126"/>
    </row>
    <row r="3" spans="1:17" ht="15" customHeight="1">
      <c r="A3" s="831" t="s">
        <v>20</v>
      </c>
      <c r="B3" s="831"/>
      <c r="C3" s="831"/>
      <c r="D3" s="831"/>
      <c r="E3" s="831"/>
      <c r="F3" s="831"/>
      <c r="G3" s="831"/>
      <c r="H3" s="831"/>
      <c r="I3" s="831"/>
      <c r="J3" s="831"/>
      <c r="K3" s="831"/>
      <c r="L3" s="831"/>
      <c r="M3" s="831"/>
      <c r="N3" s="831"/>
      <c r="O3" s="126"/>
    </row>
    <row r="4" spans="1:17" ht="15.75" customHeight="1" thickBot="1">
      <c r="A4" s="831" t="s">
        <v>120</v>
      </c>
      <c r="B4" s="831"/>
      <c r="C4" s="831"/>
      <c r="D4" s="831"/>
      <c r="E4" s="831"/>
      <c r="F4" s="831"/>
      <c r="G4" s="831"/>
      <c r="H4" s="831"/>
      <c r="I4" s="831"/>
      <c r="J4" s="831"/>
      <c r="K4" s="831"/>
      <c r="L4" s="831"/>
      <c r="M4" s="831"/>
      <c r="N4" s="831"/>
      <c r="O4" s="126"/>
    </row>
    <row r="5" spans="1:17" ht="18.75" customHeight="1" thickTop="1" thickBot="1">
      <c r="A5" s="832" t="s">
        <v>68</v>
      </c>
      <c r="B5" s="832"/>
      <c r="C5" s="832"/>
      <c r="D5" s="832"/>
      <c r="E5" s="832"/>
      <c r="F5" s="832"/>
      <c r="G5" s="832"/>
      <c r="H5" s="832" t="s">
        <v>121</v>
      </c>
      <c r="I5" s="832"/>
      <c r="J5" s="832"/>
      <c r="K5" s="832"/>
      <c r="L5" s="832"/>
      <c r="M5" s="832"/>
      <c r="N5" s="832"/>
    </row>
    <row r="6" spans="1:17" ht="18" customHeight="1" thickTop="1" thickBot="1">
      <c r="A6" s="818" t="s">
        <v>122</v>
      </c>
      <c r="B6" s="818"/>
      <c r="C6" s="818"/>
      <c r="D6" s="818"/>
      <c r="E6" s="818"/>
      <c r="F6" s="818"/>
      <c r="G6" s="818"/>
      <c r="H6" s="818" t="s">
        <v>21</v>
      </c>
      <c r="I6" s="818"/>
      <c r="J6" s="818"/>
      <c r="K6" s="818"/>
      <c r="L6" s="818"/>
      <c r="M6" s="818"/>
      <c r="N6" s="818"/>
    </row>
    <row r="7" spans="1:17" ht="18.75" customHeight="1" thickTop="1" thickBot="1">
      <c r="A7" s="833" t="str">
        <f>IF(AND(Master!H16=""),"",UPPER(Master!H16))</f>
        <v>DEEO PALI</v>
      </c>
      <c r="B7" s="833"/>
      <c r="C7" s="833"/>
      <c r="D7" s="833"/>
      <c r="E7" s="833"/>
      <c r="F7" s="833"/>
      <c r="G7" s="833"/>
      <c r="H7" s="833" t="str">
        <f>IF(AND(Master!D9=""),"",UPPER(Master!D9))</f>
        <v>ANITA CHOUDHARY</v>
      </c>
      <c r="I7" s="833"/>
      <c r="J7" s="833"/>
      <c r="K7" s="833"/>
      <c r="L7" s="833"/>
      <c r="M7" s="833"/>
      <c r="N7" s="833"/>
    </row>
    <row r="8" spans="1:17" ht="19.5" customHeight="1" thickTop="1" thickBot="1">
      <c r="A8" s="833"/>
      <c r="B8" s="833"/>
      <c r="C8" s="833"/>
      <c r="D8" s="833"/>
      <c r="E8" s="833"/>
      <c r="F8" s="833"/>
      <c r="G8" s="833"/>
      <c r="H8" s="833" t="str">
        <f>IF(AND(Master!H9=""),"",UPPER(Master!H9))</f>
        <v>TEACHER</v>
      </c>
      <c r="I8" s="833"/>
      <c r="J8" s="833"/>
      <c r="K8" s="833"/>
      <c r="L8" s="833"/>
      <c r="M8" s="833"/>
      <c r="N8" s="833"/>
    </row>
    <row r="9" spans="1:17" ht="18.75" customHeight="1" thickTop="1" thickBot="1">
      <c r="A9" s="833"/>
      <c r="B9" s="833"/>
      <c r="C9" s="833"/>
      <c r="D9" s="833"/>
      <c r="E9" s="833"/>
      <c r="F9" s="833"/>
      <c r="G9" s="833"/>
      <c r="H9" s="834" t="str">
        <f>IF(AND(Master!D10=""),"",UPPER(Master!D10))</f>
        <v>G.U.P.S. BHILO KI DHANI, BARA KHURD</v>
      </c>
      <c r="I9" s="834"/>
      <c r="J9" s="834"/>
      <c r="K9" s="834"/>
      <c r="L9" s="834"/>
      <c r="M9" s="834"/>
      <c r="N9" s="834"/>
    </row>
    <row r="10" spans="1:17" ht="30" customHeight="1" thickTop="1" thickBot="1">
      <c r="A10" s="792" t="s">
        <v>117</v>
      </c>
      <c r="B10" s="792"/>
      <c r="C10" s="792"/>
      <c r="D10" s="792"/>
      <c r="E10" s="792" t="s">
        <v>116</v>
      </c>
      <c r="F10" s="792"/>
      <c r="G10" s="792"/>
      <c r="H10" s="792" t="s">
        <v>118</v>
      </c>
      <c r="I10" s="792"/>
      <c r="J10" s="792"/>
      <c r="K10" s="792"/>
      <c r="L10" s="826" t="s">
        <v>119</v>
      </c>
      <c r="M10" s="826"/>
      <c r="N10" s="826"/>
    </row>
    <row r="11" spans="1:17" ht="23.25" customHeight="1" thickTop="1" thickBot="1">
      <c r="A11" s="821"/>
      <c r="B11" s="821"/>
      <c r="C11" s="821"/>
      <c r="D11" s="821"/>
      <c r="E11" s="829" t="str">
        <f>IF(AND(Master!H12=""),"",UPPER(Master!H12))</f>
        <v>JDHH02430B</v>
      </c>
      <c r="F11" s="829"/>
      <c r="G11" s="829"/>
      <c r="H11" s="792" t="str">
        <f>IF(AND(Master!D12=""),"",UPPER(Master!D12))</f>
        <v>BNUPC2108M</v>
      </c>
      <c r="I11" s="792"/>
      <c r="J11" s="792"/>
      <c r="K11" s="792"/>
      <c r="L11" s="829" t="str">
        <f>IF(AND(Master!D11=""),"",UPPER(Master!D11))</f>
        <v>RJJO201725007610</v>
      </c>
      <c r="M11" s="829"/>
      <c r="N11" s="829"/>
    </row>
    <row r="12" spans="1:17" ht="18" customHeight="1" thickTop="1" thickBot="1">
      <c r="A12" s="763" t="s">
        <v>70</v>
      </c>
      <c r="B12" s="764"/>
      <c r="C12" s="764"/>
      <c r="D12" s="764"/>
      <c r="E12" s="764"/>
      <c r="F12" s="764"/>
      <c r="G12" s="765"/>
      <c r="H12" s="792" t="s">
        <v>123</v>
      </c>
      <c r="I12" s="792"/>
      <c r="J12" s="792"/>
      <c r="K12" s="792"/>
      <c r="L12" s="827" t="s">
        <v>23</v>
      </c>
      <c r="M12" s="827"/>
      <c r="N12" s="827"/>
    </row>
    <row r="13" spans="1:17" ht="21.75" customHeight="1" thickTop="1" thickBot="1">
      <c r="A13" s="791" t="s">
        <v>71</v>
      </c>
      <c r="B13" s="791"/>
      <c r="C13" s="766"/>
      <c r="D13" s="767"/>
      <c r="E13" s="767"/>
      <c r="F13" s="767"/>
      <c r="G13" s="768"/>
      <c r="H13" s="791" t="s">
        <v>22</v>
      </c>
      <c r="I13" s="791"/>
      <c r="J13" s="791"/>
      <c r="K13" s="791"/>
      <c r="L13" s="827"/>
      <c r="M13" s="827"/>
      <c r="N13" s="827"/>
    </row>
    <row r="14" spans="1:17" ht="18" customHeight="1" thickTop="1" thickBot="1">
      <c r="A14" s="791"/>
      <c r="B14" s="791"/>
      <c r="C14" s="769"/>
      <c r="D14" s="770"/>
      <c r="E14" s="770"/>
      <c r="F14" s="770"/>
      <c r="G14" s="771"/>
      <c r="H14" s="791" t="s">
        <v>24</v>
      </c>
      <c r="I14" s="791"/>
      <c r="J14" s="791" t="s">
        <v>25</v>
      </c>
      <c r="K14" s="791"/>
      <c r="L14" s="827"/>
      <c r="M14" s="827"/>
      <c r="N14" s="827"/>
    </row>
    <row r="15" spans="1:17" ht="21.75" customHeight="1" thickTop="1" thickBot="1">
      <c r="A15" s="791" t="s">
        <v>72</v>
      </c>
      <c r="B15" s="791"/>
      <c r="C15" s="828"/>
      <c r="D15" s="828"/>
      <c r="E15" s="175" t="s">
        <v>73</v>
      </c>
      <c r="F15" s="828"/>
      <c r="G15" s="828"/>
      <c r="H15" s="793">
        <f>IF(AND(Master!D18=""),"",Master!D18)</f>
        <v>43191</v>
      </c>
      <c r="I15" s="793"/>
      <c r="J15" s="793">
        <f>IF(AND(Master!H18=""),"",Master!H18)</f>
        <v>43555</v>
      </c>
      <c r="K15" s="793"/>
      <c r="L15" s="792" t="str">
        <f>IF(AND(Master!H19=""),"",Master!H19)</f>
        <v>2019-20</v>
      </c>
      <c r="M15" s="792"/>
      <c r="N15" s="792"/>
      <c r="Q15" s="124"/>
    </row>
    <row r="16" spans="1:17" ht="21" customHeight="1" thickTop="1" thickBot="1">
      <c r="A16" s="789" t="s">
        <v>124</v>
      </c>
      <c r="B16" s="789"/>
      <c r="C16" s="789"/>
      <c r="D16" s="789"/>
      <c r="E16" s="789"/>
      <c r="F16" s="789"/>
      <c r="G16" s="789"/>
      <c r="H16" s="789"/>
      <c r="I16" s="789"/>
      <c r="J16" s="789"/>
      <c r="K16" s="789"/>
      <c r="L16" s="789"/>
      <c r="M16" s="789"/>
      <c r="N16" s="789"/>
    </row>
    <row r="17" spans="1:35" ht="48" customHeight="1" thickTop="1" thickBot="1">
      <c r="A17" s="792" t="s">
        <v>76</v>
      </c>
      <c r="B17" s="792"/>
      <c r="C17" s="792"/>
      <c r="D17" s="826" t="s">
        <v>81</v>
      </c>
      <c r="E17" s="826"/>
      <c r="F17" s="826"/>
      <c r="G17" s="826"/>
      <c r="H17" s="826"/>
      <c r="I17" s="823" t="s">
        <v>82</v>
      </c>
      <c r="J17" s="823"/>
      <c r="K17" s="823" t="s">
        <v>83</v>
      </c>
      <c r="L17" s="823"/>
      <c r="M17" s="822" t="s">
        <v>84</v>
      </c>
      <c r="N17" s="822"/>
    </row>
    <row r="18" spans="1:35" ht="15.95" customHeight="1" thickTop="1" thickBot="1">
      <c r="A18" s="789" t="s">
        <v>77</v>
      </c>
      <c r="B18" s="789"/>
      <c r="C18" s="789"/>
      <c r="D18" s="824"/>
      <c r="E18" s="824"/>
      <c r="F18" s="824"/>
      <c r="G18" s="824"/>
      <c r="H18" s="824"/>
      <c r="I18" s="825">
        <f>SUM('GA55 Summry'!U6:U8)</f>
        <v>0</v>
      </c>
      <c r="J18" s="825"/>
      <c r="K18" s="787">
        <f>I18</f>
        <v>0</v>
      </c>
      <c r="L18" s="787"/>
      <c r="M18" s="787">
        <f>K18</f>
        <v>0</v>
      </c>
      <c r="N18" s="788"/>
    </row>
    <row r="19" spans="1:35" ht="15.95" customHeight="1" thickTop="1" thickBot="1">
      <c r="A19" s="789" t="s">
        <v>78</v>
      </c>
      <c r="B19" s="789"/>
      <c r="C19" s="789"/>
      <c r="D19" s="824"/>
      <c r="E19" s="824"/>
      <c r="F19" s="824"/>
      <c r="G19" s="824"/>
      <c r="H19" s="824"/>
      <c r="I19" s="825">
        <f>SUM('GA55 Summry'!U9:U11)</f>
        <v>0</v>
      </c>
      <c r="J19" s="825"/>
      <c r="K19" s="787">
        <f t="shared" ref="K19:K21" si="0">I19</f>
        <v>0</v>
      </c>
      <c r="L19" s="787"/>
      <c r="M19" s="787">
        <f t="shared" ref="M19:M21" si="1">K19</f>
        <v>0</v>
      </c>
      <c r="N19" s="788"/>
    </row>
    <row r="20" spans="1:35" ht="15.95" customHeight="1" thickTop="1" thickBot="1">
      <c r="A20" s="789" t="s">
        <v>79</v>
      </c>
      <c r="B20" s="789"/>
      <c r="C20" s="789"/>
      <c r="D20" s="824"/>
      <c r="E20" s="824"/>
      <c r="F20" s="824"/>
      <c r="G20" s="824"/>
      <c r="H20" s="824"/>
      <c r="I20" s="825">
        <f>SUM('GA55 Summry'!U12:U14)</f>
        <v>0</v>
      </c>
      <c r="J20" s="825"/>
      <c r="K20" s="787">
        <f t="shared" si="0"/>
        <v>0</v>
      </c>
      <c r="L20" s="787"/>
      <c r="M20" s="787">
        <f t="shared" si="1"/>
        <v>0</v>
      </c>
      <c r="N20" s="788"/>
    </row>
    <row r="21" spans="1:35" ht="15.95" customHeight="1" thickTop="1" thickBot="1">
      <c r="A21" s="789" t="s">
        <v>80</v>
      </c>
      <c r="B21" s="789"/>
      <c r="C21" s="789"/>
      <c r="D21" s="824"/>
      <c r="E21" s="824"/>
      <c r="F21" s="824"/>
      <c r="G21" s="824"/>
      <c r="H21" s="824"/>
      <c r="I21" s="825">
        <f>SUM('GA55 Summry'!U15:U26)</f>
        <v>0</v>
      </c>
      <c r="J21" s="825"/>
      <c r="K21" s="787">
        <f t="shared" si="0"/>
        <v>0</v>
      </c>
      <c r="L21" s="787"/>
      <c r="M21" s="787">
        <f t="shared" si="1"/>
        <v>0</v>
      </c>
      <c r="N21" s="788"/>
    </row>
    <row r="22" spans="1:35" ht="15.95" customHeight="1" thickTop="1" thickBot="1">
      <c r="A22" s="772" t="s">
        <v>85</v>
      </c>
      <c r="B22" s="773"/>
      <c r="C22" s="773"/>
      <c r="D22" s="773"/>
      <c r="E22" s="773"/>
      <c r="F22" s="773"/>
      <c r="G22" s="773"/>
      <c r="H22" s="774"/>
      <c r="I22" s="835">
        <f>SUM(I18:J21)</f>
        <v>0</v>
      </c>
      <c r="J22" s="835"/>
      <c r="K22" s="836">
        <f>I22</f>
        <v>0</v>
      </c>
      <c r="L22" s="836"/>
      <c r="M22" s="836">
        <f>K22</f>
        <v>0</v>
      </c>
      <c r="N22" s="792"/>
    </row>
    <row r="23" spans="1:35" ht="37.5" customHeight="1" thickTop="1" thickBot="1">
      <c r="A23" s="802"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802"/>
      <c r="C23" s="802"/>
      <c r="D23" s="802"/>
      <c r="E23" s="802"/>
      <c r="F23" s="802"/>
      <c r="G23" s="802"/>
      <c r="H23" s="802"/>
      <c r="I23" s="802"/>
      <c r="J23" s="802"/>
      <c r="K23" s="802"/>
      <c r="L23" s="802"/>
      <c r="M23" s="802"/>
      <c r="N23" s="802"/>
    </row>
    <row r="24" spans="1:35" ht="20.25" customHeight="1" thickTop="1" thickBot="1">
      <c r="A24" s="804" t="s">
        <v>86</v>
      </c>
      <c r="B24" s="804"/>
      <c r="C24" s="804" t="str">
        <f>IF(AND(Master!E22=""),"",IF(AND(Master!E22=Master!C23),Master!B23,IF(AND(Master!E22=Master!C43),Master!B43,"")))</f>
        <v>Tax deposited in respect of the deductee (Rs.)</v>
      </c>
      <c r="D24" s="804"/>
      <c r="E24" s="804"/>
      <c r="F24" s="808" t="str">
        <f>IF(AND(Master!E22=""),"",IF(AND(Master!E22=Master!C23),Master!C23,IF(AND(Master!E22=Master!C43),Master!C43,"")))</f>
        <v>Book Identification Number (BIN)</v>
      </c>
      <c r="G24" s="808"/>
      <c r="H24" s="808"/>
      <c r="I24" s="808"/>
      <c r="J24" s="808"/>
      <c r="K24" s="808"/>
      <c r="L24" s="808"/>
      <c r="M24" s="808"/>
      <c r="N24" s="808"/>
    </row>
    <row r="25" spans="1:35" ht="44.25" customHeight="1" thickTop="1" thickBot="1">
      <c r="A25" s="804"/>
      <c r="B25" s="804"/>
      <c r="C25" s="804"/>
      <c r="D25" s="804"/>
      <c r="E25" s="804"/>
      <c r="F25" s="839" t="str">
        <f>IF(AND(Master!E22=""),"",IF(AND(Master!E22=Master!C23),Master!C24,IF(AND(Master!E22=Master!C43),Master!C44,"")))</f>
        <v>Receipt Numbers Of Form no. 24G</v>
      </c>
      <c r="G25" s="839"/>
      <c r="H25" s="839"/>
      <c r="I25" s="838" t="str">
        <f>IF(AND(Master!E22=""),"",IF(AND(Master!E22=Master!C23),Master!D24,IF(AND(Master!E22=Master!C43),Master!D44,"")))</f>
        <v>DDO Serial Number in Form No. 24G</v>
      </c>
      <c r="J25" s="838"/>
      <c r="K25" s="838" t="str">
        <f>IF(AND(Master!E22=""),"",IF(AND(Master!E22=Master!C23),Master!E24,IF(AND(Master!E22=Master!C43),Master!E44,"")))</f>
        <v>Date Of transfer Voucher    (dd/mm/yyyy)</v>
      </c>
      <c r="L25" s="838"/>
      <c r="M25" s="837" t="str">
        <f>IF(AND(Master!E22=""),"",IF(AND(Master!E22=Master!C23),Master!F24,IF(AND(Master!E22=Master!C43),Master!F44,"")))</f>
        <v>Status of matching with form no. 24G</v>
      </c>
      <c r="N25" s="837"/>
      <c r="AI25" s="37" t="s">
        <v>288</v>
      </c>
    </row>
    <row r="26" spans="1:35" ht="18" customHeight="1" thickTop="1" thickBot="1">
      <c r="A26" s="798">
        <v>1</v>
      </c>
      <c r="B26" s="798"/>
      <c r="C26" s="804" t="str">
        <f>IF(AND(AA26=""),"",AA26)</f>
        <v/>
      </c>
      <c r="D26" s="804"/>
      <c r="E26" s="804"/>
      <c r="F26" s="804">
        <f t="shared" ref="F26:F41" si="2">IF(AND(AB26=0),"",AB26)</f>
        <v>45</v>
      </c>
      <c r="G26" s="804"/>
      <c r="H26" s="804"/>
      <c r="I26" s="790">
        <f t="shared" ref="I26:I41" si="3">IF(AND(AC26=0),"",AC26)</f>
        <v>45</v>
      </c>
      <c r="J26" s="790"/>
      <c r="K26" s="800">
        <f t="shared" ref="K26:K41" si="4">IF(AND(AD26=0),"",AD26)</f>
        <v>42877</v>
      </c>
      <c r="L26" s="800"/>
      <c r="M26" s="792" t="str">
        <f>IF(AND(Master!$E$22=""),"",IF(AND(Master!$E$22=Master!$C$23),Master!F25,IF(AND(Master!$E$22=Master!$C$43),Master!F45,"")))</f>
        <v>Yes</v>
      </c>
      <c r="N26" s="792"/>
      <c r="AA26" s="37" t="str">
        <f>IF(AND(Master!$E$22=""),"",IF(AND(Master!$E$22=Master!$C$23),Master!B25,IF(AND(Master!$E$22=Master!$C$43),Master!B45,"")))</f>
        <v/>
      </c>
      <c r="AB26" s="37">
        <f>IF(AND(Master!$E$22=""),"",IF(AND(Master!$E$22=Master!$C$23),Master!C25,IF(AND(Master!$E$22=Master!$C$43),Master!C45,"")))</f>
        <v>45</v>
      </c>
      <c r="AC26" s="37">
        <f>IF(AND(Master!$E$22=""),"",IF(AND(Master!$E$22=Master!$C$23),Master!D25,IF(AND(Master!$E$22=Master!$C$43),Master!D45,"")))</f>
        <v>45</v>
      </c>
      <c r="AD26" s="380">
        <f>IF(AND(Master!$E$22=""),"",IF(AND(Master!$E$22=Master!$C$23),Master!E25,IF(AND(Master!$E$22=Master!$C$43),Master!E45,"")))</f>
        <v>42877</v>
      </c>
      <c r="AI26" s="37" t="s">
        <v>289</v>
      </c>
    </row>
    <row r="27" spans="1:35" ht="18" customHeight="1" thickTop="1" thickBot="1">
      <c r="A27" s="798">
        <v>2</v>
      </c>
      <c r="B27" s="798"/>
      <c r="C27" s="804" t="str">
        <f>IF(AND(Master!$E$22=""),"",IF(AND(AA27=""),"",AA27))</f>
        <v/>
      </c>
      <c r="D27" s="804"/>
      <c r="E27" s="804"/>
      <c r="F27" s="804">
        <f t="shared" si="2"/>
        <v>25</v>
      </c>
      <c r="G27" s="804"/>
      <c r="H27" s="804"/>
      <c r="I27" s="790" t="str">
        <f t="shared" si="3"/>
        <v/>
      </c>
      <c r="J27" s="790"/>
      <c r="K27" s="800" t="str">
        <f t="shared" si="4"/>
        <v/>
      </c>
      <c r="L27" s="800"/>
      <c r="M27" s="792" t="str">
        <f>IF(AND(Master!$E$22=""),"",IF(AND(Master!$E$22=Master!$C$23),Master!F26,IF(AND(Master!$E$22=Master!$C$43),Master!F46,"")))</f>
        <v>Yes</v>
      </c>
      <c r="N27" s="792"/>
      <c r="AA27" s="37" t="str">
        <f>IF(AND(Master!$E$22=""),"",IF(AND(Master!$E$22=Master!$C$23),Master!B26,IF(AND(Master!$E$22=Master!$C$43),Master!B46,"")))</f>
        <v/>
      </c>
      <c r="AB27" s="37">
        <f>IF(AND(Master!$E$22=""),"",IF(AND(Master!$E$22=Master!$C$23),Master!C26,IF(AND(Master!$E$22=Master!$C$43),Master!C46,"")))</f>
        <v>25</v>
      </c>
      <c r="AC27" s="37">
        <f>IF(AND(Master!$E$22=""),"",IF(AND(Master!$E$22=Master!$C$23),Master!D26,IF(AND(Master!$E$22=Master!$C$43),Master!D46,"")))</f>
        <v>0</v>
      </c>
      <c r="AD27" s="380">
        <f>IF(AND(Master!$E$22=""),"",IF(AND(Master!$E$22=Master!$C$23),Master!E26,IF(AND(Master!$E$22=Master!$C$43),Master!E46,"")))</f>
        <v>0</v>
      </c>
    </row>
    <row r="28" spans="1:35" ht="18" customHeight="1" thickTop="1" thickBot="1">
      <c r="A28" s="798">
        <v>3</v>
      </c>
      <c r="B28" s="798"/>
      <c r="C28" s="804" t="str">
        <f>IF(AND(Master!$E$22=""),"",IF(AND(AA28=""),"",AA28))</f>
        <v/>
      </c>
      <c r="D28" s="804"/>
      <c r="E28" s="804"/>
      <c r="F28" s="804" t="str">
        <f t="shared" si="2"/>
        <v/>
      </c>
      <c r="G28" s="804"/>
      <c r="H28" s="804"/>
      <c r="I28" s="790" t="str">
        <f t="shared" si="3"/>
        <v/>
      </c>
      <c r="J28" s="790"/>
      <c r="K28" s="800" t="str">
        <f t="shared" si="4"/>
        <v/>
      </c>
      <c r="L28" s="800"/>
      <c r="M28" s="792" t="str">
        <f>IF(AND(Master!$E$22=""),"",IF(AND(Master!$E$22=Master!$C$23),Master!F27,IF(AND(Master!$E$22=Master!$C$43),Master!F47,"")))</f>
        <v>-</v>
      </c>
      <c r="N28" s="792"/>
      <c r="AA28" s="37" t="str">
        <f>IF(AND(Master!$E$22=""),"",IF(AND(Master!$E$22=Master!$C$23),Master!B27,IF(AND(Master!$E$22=Master!$C$43),Master!B47,"")))</f>
        <v/>
      </c>
      <c r="AB28" s="37">
        <f>IF(AND(Master!$E$22=""),"",IF(AND(Master!$E$22=Master!$C$23),Master!C27,IF(AND(Master!$E$22=Master!$C$43),Master!C47,"")))</f>
        <v>0</v>
      </c>
      <c r="AC28" s="37">
        <f>IF(AND(Master!$E$22=""),"",IF(AND(Master!$E$22=Master!$C$23),Master!D27,IF(AND(Master!$E$22=Master!$C$43),Master!D47,"")))</f>
        <v>0</v>
      </c>
      <c r="AD28" s="380">
        <f>IF(AND(Master!$E$22=""),"",IF(AND(Master!$E$22=Master!$C$23),Master!E27,IF(AND(Master!$E$22=Master!$C$43),Master!E47,"")))</f>
        <v>0</v>
      </c>
    </row>
    <row r="29" spans="1:35" ht="18" customHeight="1" thickTop="1" thickBot="1">
      <c r="A29" s="798">
        <v>4</v>
      </c>
      <c r="B29" s="798"/>
      <c r="C29" s="804" t="str">
        <f>IF(AND(Master!$E$22=""),"",IF(AND(AA29=""),"",AA29))</f>
        <v/>
      </c>
      <c r="D29" s="804"/>
      <c r="E29" s="804"/>
      <c r="F29" s="804" t="str">
        <f t="shared" si="2"/>
        <v/>
      </c>
      <c r="G29" s="804"/>
      <c r="H29" s="804"/>
      <c r="I29" s="790" t="str">
        <f t="shared" si="3"/>
        <v/>
      </c>
      <c r="J29" s="790"/>
      <c r="K29" s="800" t="str">
        <f t="shared" si="4"/>
        <v/>
      </c>
      <c r="L29" s="800"/>
      <c r="M29" s="792" t="str">
        <f>IF(AND(Master!$E$22=""),"",IF(AND(Master!$E$22=Master!$C$23),Master!F28,IF(AND(Master!$E$22=Master!$C$43),Master!F48,"")))</f>
        <v>-</v>
      </c>
      <c r="N29" s="792"/>
      <c r="AA29" s="37" t="str">
        <f>IF(AND(Master!$E$22=""),"",IF(AND(Master!$E$22=Master!$C$23),Master!B28,IF(AND(Master!$E$22=Master!$C$43),Master!B48,"")))</f>
        <v/>
      </c>
      <c r="AB29" s="37">
        <f>IF(AND(Master!$E$22=""),"",IF(AND(Master!$E$22=Master!$C$23),Master!C28,IF(AND(Master!$E$22=Master!$C$43),Master!C48,"")))</f>
        <v>0</v>
      </c>
      <c r="AC29" s="37">
        <f>IF(AND(Master!$E$22=""),"",IF(AND(Master!$E$22=Master!$C$23),Master!D28,IF(AND(Master!$E$22=Master!$C$43),Master!D48,"")))</f>
        <v>0</v>
      </c>
      <c r="AD29" s="380">
        <f>IF(AND(Master!$E$22=""),"",IF(AND(Master!$E$22=Master!$C$23),Master!E28,IF(AND(Master!$E$22=Master!$C$43),Master!E48,"")))</f>
        <v>0</v>
      </c>
    </row>
    <row r="30" spans="1:35" ht="18" customHeight="1" thickTop="1" thickBot="1">
      <c r="A30" s="798">
        <v>5</v>
      </c>
      <c r="B30" s="798"/>
      <c r="C30" s="804" t="str">
        <f>IF(AND(Master!$E$22=""),"",IF(AND(AA30=""),"",AA30))</f>
        <v/>
      </c>
      <c r="D30" s="804"/>
      <c r="E30" s="804"/>
      <c r="F30" s="804" t="str">
        <f t="shared" si="2"/>
        <v/>
      </c>
      <c r="G30" s="804"/>
      <c r="H30" s="804"/>
      <c r="I30" s="790" t="str">
        <f t="shared" si="3"/>
        <v/>
      </c>
      <c r="J30" s="790"/>
      <c r="K30" s="800" t="str">
        <f t="shared" si="4"/>
        <v/>
      </c>
      <c r="L30" s="800"/>
      <c r="M30" s="792" t="str">
        <f>IF(AND(Master!$E$22=""),"",IF(AND(Master!$E$22=Master!$C$23),Master!F29,IF(AND(Master!$E$22=Master!$C$43),Master!F49,"")))</f>
        <v>-</v>
      </c>
      <c r="N30" s="792"/>
      <c r="AA30" s="37" t="str">
        <f>IF(AND(Master!$E$22=""),"",IF(AND(Master!$E$22=Master!$C$23),Master!B29,IF(AND(Master!$E$22=Master!$C$43),Master!B49,"")))</f>
        <v/>
      </c>
      <c r="AB30" s="37">
        <f>IF(AND(Master!$E$22=""),"",IF(AND(Master!$E$22=Master!$C$23),Master!C29,IF(AND(Master!$E$22=Master!$C$43),Master!C49,"")))</f>
        <v>0</v>
      </c>
      <c r="AC30" s="37">
        <f>IF(AND(Master!$E$22=""),"",IF(AND(Master!$E$22=Master!$C$23),Master!D29,IF(AND(Master!$E$22=Master!$C$43),Master!D49,"")))</f>
        <v>0</v>
      </c>
      <c r="AD30" s="380">
        <f>IF(AND(Master!$E$22=""),"",IF(AND(Master!$E$22=Master!$C$23),Master!E29,IF(AND(Master!$E$22=Master!$C$43),Master!E49,"")))</f>
        <v>0</v>
      </c>
    </row>
    <row r="31" spans="1:35" ht="18" customHeight="1" thickTop="1" thickBot="1">
      <c r="A31" s="798">
        <v>6</v>
      </c>
      <c r="B31" s="798"/>
      <c r="C31" s="804" t="str">
        <f>IF(AND(Master!$E$22=""),"",IF(AND(AA31=""),"",AA31))</f>
        <v/>
      </c>
      <c r="D31" s="804"/>
      <c r="E31" s="804"/>
      <c r="F31" s="804" t="str">
        <f t="shared" si="2"/>
        <v/>
      </c>
      <c r="G31" s="804"/>
      <c r="H31" s="804"/>
      <c r="I31" s="790" t="str">
        <f t="shared" si="3"/>
        <v/>
      </c>
      <c r="J31" s="790"/>
      <c r="K31" s="800" t="str">
        <f t="shared" si="4"/>
        <v/>
      </c>
      <c r="L31" s="800"/>
      <c r="M31" s="792" t="str">
        <f>IF(AND(Master!$E$22=""),"",IF(AND(Master!$E$22=Master!$C$23),Master!F30,IF(AND(Master!$E$22=Master!$C$43),Master!F50,"")))</f>
        <v>-</v>
      </c>
      <c r="N31" s="792"/>
      <c r="AA31" s="37" t="str">
        <f>IF(AND(Master!$E$22=""),"",IF(AND(Master!$E$22=Master!$C$23),Master!B30,IF(AND(Master!$E$22=Master!$C$43),Master!B50,"")))</f>
        <v/>
      </c>
      <c r="AB31" s="37">
        <f>IF(AND(Master!$E$22=""),"",IF(AND(Master!$E$22=Master!$C$23),Master!C30,IF(AND(Master!$E$22=Master!$C$43),Master!C50,"")))</f>
        <v>0</v>
      </c>
      <c r="AC31" s="37">
        <f>IF(AND(Master!$E$22=""),"",IF(AND(Master!$E$22=Master!$C$23),Master!D30,IF(AND(Master!$E$22=Master!$C$43),Master!D50,"")))</f>
        <v>0</v>
      </c>
      <c r="AD31" s="380">
        <f>IF(AND(Master!$E$22=""),"",IF(AND(Master!$E$22=Master!$C$23),Master!E30,IF(AND(Master!$E$22=Master!$C$43),Master!E50,"")))</f>
        <v>0</v>
      </c>
    </row>
    <row r="32" spans="1:35" ht="18" customHeight="1" thickTop="1" thickBot="1">
      <c r="A32" s="798">
        <v>7</v>
      </c>
      <c r="B32" s="798"/>
      <c r="C32" s="804" t="str">
        <f>IF(AND(Master!$E$22=""),"",IF(AND(AA32=""),"",AA32))</f>
        <v/>
      </c>
      <c r="D32" s="804"/>
      <c r="E32" s="804"/>
      <c r="F32" s="804">
        <f t="shared" si="2"/>
        <v>8</v>
      </c>
      <c r="G32" s="804"/>
      <c r="H32" s="804"/>
      <c r="I32" s="790" t="str">
        <f t="shared" si="3"/>
        <v/>
      </c>
      <c r="J32" s="790"/>
      <c r="K32" s="800" t="str">
        <f t="shared" si="4"/>
        <v/>
      </c>
      <c r="L32" s="800"/>
      <c r="M32" s="792" t="str">
        <f>IF(AND(Master!$E$22=""),"",IF(AND(Master!$E$22=Master!$C$23),Master!F31,IF(AND(Master!$E$22=Master!$C$43),Master!F51,"")))</f>
        <v>Yes</v>
      </c>
      <c r="N32" s="792"/>
      <c r="AA32" s="37" t="str">
        <f>IF(AND(Master!$E$22=""),"",IF(AND(Master!$E$22=Master!$C$23),Master!B31,IF(AND(Master!$E$22=Master!$C$43),Master!B51,"")))</f>
        <v/>
      </c>
      <c r="AB32" s="37">
        <f>IF(AND(Master!$E$22=""),"",IF(AND(Master!$E$22=Master!$C$23),Master!C31,IF(AND(Master!$E$22=Master!$C$43),Master!C51,"")))</f>
        <v>8</v>
      </c>
      <c r="AC32" s="37">
        <f>IF(AND(Master!$E$22=""),"",IF(AND(Master!$E$22=Master!$C$23),Master!D31,IF(AND(Master!$E$22=Master!$C$43),Master!D51,"")))</f>
        <v>0</v>
      </c>
      <c r="AD32" s="380">
        <f>IF(AND(Master!$E$22=""),"",IF(AND(Master!$E$22=Master!$C$23),Master!E31,IF(AND(Master!$E$22=Master!$C$43),Master!E51,"")))</f>
        <v>0</v>
      </c>
    </row>
    <row r="33" spans="1:30" ht="18" customHeight="1" thickTop="1" thickBot="1">
      <c r="A33" s="798">
        <v>8</v>
      </c>
      <c r="B33" s="798"/>
      <c r="C33" s="804" t="str">
        <f>IF(AND(Master!$E$22=""),"",IF(AND(AA33=""),"",AA33))</f>
        <v/>
      </c>
      <c r="D33" s="804"/>
      <c r="E33" s="804"/>
      <c r="F33" s="804">
        <f t="shared" si="2"/>
        <v>9</v>
      </c>
      <c r="G33" s="804"/>
      <c r="H33" s="804"/>
      <c r="I33" s="790" t="str">
        <f t="shared" si="3"/>
        <v/>
      </c>
      <c r="J33" s="790"/>
      <c r="K33" s="800" t="str">
        <f t="shared" si="4"/>
        <v/>
      </c>
      <c r="L33" s="800"/>
      <c r="M33" s="792" t="str">
        <f>IF(AND(Master!$E$22=""),"",IF(AND(Master!$E$22=Master!$C$23),Master!F32,IF(AND(Master!$E$22=Master!$C$43),Master!F52,"")))</f>
        <v>Yes</v>
      </c>
      <c r="N33" s="792"/>
      <c r="AA33" s="37" t="str">
        <f>IF(AND(Master!$E$22=""),"",IF(AND(Master!$E$22=Master!$C$23),Master!B32,IF(AND(Master!$E$22=Master!$C$43),Master!B52,"")))</f>
        <v/>
      </c>
      <c r="AB33" s="37">
        <f>IF(AND(Master!$E$22=""),"",IF(AND(Master!$E$22=Master!$C$23),Master!C32,IF(AND(Master!$E$22=Master!$C$43),Master!C52,"")))</f>
        <v>9</v>
      </c>
      <c r="AC33" s="37">
        <f>IF(AND(Master!$E$22=""),"",IF(AND(Master!$E$22=Master!$C$23),Master!D32,IF(AND(Master!$E$22=Master!$C$43),Master!D52,"")))</f>
        <v>0</v>
      </c>
      <c r="AD33" s="380">
        <f>IF(AND(Master!$E$22=""),"",IF(AND(Master!$E$22=Master!$C$23),Master!E32,IF(AND(Master!$E$22=Master!$C$43),Master!E52,"")))</f>
        <v>0</v>
      </c>
    </row>
    <row r="34" spans="1:30" ht="18" customHeight="1" thickTop="1" thickBot="1">
      <c r="A34" s="798">
        <v>9</v>
      </c>
      <c r="B34" s="798"/>
      <c r="C34" s="804" t="str">
        <f>IF(AND(Master!$E$22=""),"",IF(AND(AA34=""),"",AA34))</f>
        <v/>
      </c>
      <c r="D34" s="804"/>
      <c r="E34" s="804"/>
      <c r="F34" s="804">
        <f t="shared" si="2"/>
        <v>10</v>
      </c>
      <c r="G34" s="804"/>
      <c r="H34" s="804"/>
      <c r="I34" s="790" t="str">
        <f t="shared" si="3"/>
        <v/>
      </c>
      <c r="J34" s="790"/>
      <c r="K34" s="800" t="str">
        <f t="shared" si="4"/>
        <v/>
      </c>
      <c r="L34" s="800"/>
      <c r="M34" s="792" t="str">
        <f>IF(AND(Master!$E$22=""),"",IF(AND(Master!$E$22=Master!$C$23),Master!F33,IF(AND(Master!$E$22=Master!$C$43),Master!F53,"")))</f>
        <v>Yes</v>
      </c>
      <c r="N34" s="792"/>
      <c r="AA34" s="37" t="str">
        <f>IF(AND(Master!$E$22=""),"",IF(AND(Master!$E$22=Master!$C$23),Master!B33,IF(AND(Master!$E$22=Master!$C$43),Master!B53,"")))</f>
        <v/>
      </c>
      <c r="AB34" s="37">
        <f>IF(AND(Master!$E$22=""),"",IF(AND(Master!$E$22=Master!$C$23),Master!C33,IF(AND(Master!$E$22=Master!$C$43),Master!C53,"")))</f>
        <v>10</v>
      </c>
      <c r="AC34" s="37">
        <f>IF(AND(Master!$E$22=""),"",IF(AND(Master!$E$22=Master!$C$23),Master!D33,IF(AND(Master!$E$22=Master!$C$43),Master!D53,"")))</f>
        <v>0</v>
      </c>
      <c r="AD34" s="37">
        <f>IF(AND(Master!$E$22=""),"",IF(AND(Master!$E$22=Master!$C$23),Master!E33,IF(AND(Master!$E$22=Master!$C$43),Master!E53,"")))</f>
        <v>0</v>
      </c>
    </row>
    <row r="35" spans="1:30" ht="18" customHeight="1" thickTop="1" thickBot="1">
      <c r="A35" s="798">
        <v>10</v>
      </c>
      <c r="B35" s="798"/>
      <c r="C35" s="804" t="str">
        <f>IF(AND(Master!$E$22=""),"",IF(AND(AA35=""),"",AA35))</f>
        <v/>
      </c>
      <c r="D35" s="804"/>
      <c r="E35" s="804"/>
      <c r="F35" s="804">
        <f t="shared" si="2"/>
        <v>15</v>
      </c>
      <c r="G35" s="804"/>
      <c r="H35" s="804"/>
      <c r="I35" s="790" t="str">
        <f t="shared" si="3"/>
        <v/>
      </c>
      <c r="J35" s="790"/>
      <c r="K35" s="800" t="str">
        <f t="shared" si="4"/>
        <v/>
      </c>
      <c r="L35" s="800"/>
      <c r="M35" s="792" t="str">
        <f>IF(AND(Master!$E$22=""),"",IF(AND(Master!$E$22=Master!$C$23),Master!F34,IF(AND(Master!$E$22=Master!$C$43),Master!F54,"")))</f>
        <v>Yes</v>
      </c>
      <c r="N35" s="792"/>
      <c r="AA35" s="37" t="str">
        <f>IF(AND(Master!$E$22=""),"",IF(AND(Master!$E$22=Master!$C$23),Master!B34,IF(AND(Master!$E$22=Master!$C$43),Master!B54,"")))</f>
        <v/>
      </c>
      <c r="AB35" s="37">
        <f>IF(AND(Master!$E$22=""),"",IF(AND(Master!$E$22=Master!$C$23),Master!C34,IF(AND(Master!$E$22=Master!$C$43),Master!C54,"")))</f>
        <v>15</v>
      </c>
      <c r="AC35" s="37">
        <f>IF(AND(Master!$E$22=""),"",IF(AND(Master!$E$22=Master!$C$23),Master!D34,IF(AND(Master!$E$22=Master!$C$43),Master!D54,"")))</f>
        <v>0</v>
      </c>
      <c r="AD35" s="37">
        <f>IF(AND(Master!$E$22=""),"",IF(AND(Master!$E$22=Master!$C$23),Master!E34,IF(AND(Master!$E$22=Master!$C$43),Master!E54,"")))</f>
        <v>0</v>
      </c>
    </row>
    <row r="36" spans="1:30" ht="18" customHeight="1" thickTop="1" thickBot="1">
      <c r="A36" s="798">
        <v>11</v>
      </c>
      <c r="B36" s="798"/>
      <c r="C36" s="804" t="str">
        <f>IF(AND(Master!$E$22=""),"",IF(AND(AA36=""),"",AA36))</f>
        <v/>
      </c>
      <c r="D36" s="804"/>
      <c r="E36" s="804"/>
      <c r="F36" s="804" t="str">
        <f t="shared" si="2"/>
        <v/>
      </c>
      <c r="G36" s="804"/>
      <c r="H36" s="804"/>
      <c r="I36" s="790" t="str">
        <f t="shared" si="3"/>
        <v/>
      </c>
      <c r="J36" s="790"/>
      <c r="K36" s="800" t="str">
        <f t="shared" si="4"/>
        <v/>
      </c>
      <c r="L36" s="800"/>
      <c r="M36" s="792" t="str">
        <f>IF(AND(Master!$E$22=""),"",IF(AND(Master!$E$22=Master!$C$23),Master!F35,IF(AND(Master!$E$22=Master!$C$43),Master!F55,"")))</f>
        <v>-</v>
      </c>
      <c r="N36" s="792"/>
      <c r="AA36" s="37" t="str">
        <f>IF(AND(Master!$E$22=""),"",IF(AND(Master!$E$22=Master!$C$23),Master!B35,IF(AND(Master!$E$22=Master!$C$43),Master!B55,"")))</f>
        <v/>
      </c>
      <c r="AB36" s="37">
        <f>IF(AND(Master!$E$22=""),"",IF(AND(Master!$E$22=Master!$C$23),Master!C35,IF(AND(Master!$E$22=Master!$C$43),Master!C55,"")))</f>
        <v>0</v>
      </c>
      <c r="AC36" s="37">
        <f>IF(AND(Master!$E$22=""),"",IF(AND(Master!$E$22=Master!$C$23),Master!D35,IF(AND(Master!$E$22=Master!$C$43),Master!D55,"")))</f>
        <v>0</v>
      </c>
      <c r="AD36" s="37">
        <f>IF(AND(Master!$E$22=""),"",IF(AND(Master!$E$22=Master!$C$23),Master!E35,IF(AND(Master!$E$22=Master!$C$43),Master!E55,"")))</f>
        <v>0</v>
      </c>
    </row>
    <row r="37" spans="1:30" ht="18" customHeight="1" thickTop="1" thickBot="1">
      <c r="A37" s="798">
        <v>12</v>
      </c>
      <c r="B37" s="798"/>
      <c r="C37" s="804" t="str">
        <f>IF(AND(Master!$E$22=""),"",IF(AND(AA37=""),"",AA37))</f>
        <v/>
      </c>
      <c r="D37" s="804"/>
      <c r="E37" s="804"/>
      <c r="F37" s="804" t="str">
        <f t="shared" si="2"/>
        <v/>
      </c>
      <c r="G37" s="804"/>
      <c r="H37" s="804"/>
      <c r="I37" s="790" t="str">
        <f t="shared" si="3"/>
        <v/>
      </c>
      <c r="J37" s="790"/>
      <c r="K37" s="800" t="str">
        <f t="shared" si="4"/>
        <v/>
      </c>
      <c r="L37" s="800"/>
      <c r="M37" s="792" t="str">
        <f>IF(AND(Master!$E$22=""),"",IF(AND(Master!$E$22=Master!$C$23),Master!F36,IF(AND(Master!$E$22=Master!$C$43),Master!F56,"")))</f>
        <v>-</v>
      </c>
      <c r="N37" s="792"/>
      <c r="AA37" s="37" t="str">
        <f>IF(AND(Master!$E$22=""),"",IF(AND(Master!$E$22=Master!$C$23),Master!B36,IF(AND(Master!$E$22=Master!$C$43),Master!B56,"")))</f>
        <v/>
      </c>
      <c r="AB37" s="37">
        <f>IF(AND(Master!$E$22=""),"",IF(AND(Master!$E$22=Master!$C$23),Master!C36,IF(AND(Master!$E$22=Master!$C$43),Master!C56,"")))</f>
        <v>0</v>
      </c>
      <c r="AC37" s="37">
        <f>IF(AND(Master!$E$22=""),"",IF(AND(Master!$E$22=Master!$C$23),Master!D36,IF(AND(Master!$E$22=Master!$C$43),Master!D56,"")))</f>
        <v>0</v>
      </c>
      <c r="AD37" s="37">
        <f>IF(AND(Master!$E$22=""),"",IF(AND(Master!$E$22=Master!$C$23),Master!E36,IF(AND(Master!$E$22=Master!$C$43),Master!E56,"")))</f>
        <v>0</v>
      </c>
    </row>
    <row r="38" spans="1:30" ht="18" customHeight="1" thickTop="1" thickBot="1">
      <c r="A38" s="798">
        <v>13</v>
      </c>
      <c r="B38" s="798"/>
      <c r="C38" s="804" t="str">
        <f>IF(AND(Master!$E$22=""),"",IF(AND(AA38=""),"",AA38))</f>
        <v/>
      </c>
      <c r="D38" s="804"/>
      <c r="E38" s="804"/>
      <c r="F38" s="804" t="str">
        <f t="shared" si="2"/>
        <v/>
      </c>
      <c r="G38" s="804"/>
      <c r="H38" s="804"/>
      <c r="I38" s="790" t="str">
        <f t="shared" si="3"/>
        <v/>
      </c>
      <c r="J38" s="790"/>
      <c r="K38" s="800" t="str">
        <f t="shared" si="4"/>
        <v/>
      </c>
      <c r="L38" s="800"/>
      <c r="M38" s="792" t="str">
        <f>IF(AND(Master!$E$22=""),"",IF(AND(Master!$E$22=Master!$C$23),Master!F37,IF(AND(Master!$E$22=Master!$C$43),Master!F57,"")))</f>
        <v>-</v>
      </c>
      <c r="N38" s="792"/>
      <c r="AA38" s="37" t="str">
        <f>IF(AND(Master!$E$22=""),"",IF(AND(Master!$E$22=Master!$C$23),Master!B37,IF(AND(Master!$E$22=Master!$C$43),Master!B57,"")))</f>
        <v/>
      </c>
      <c r="AB38" s="37">
        <f>IF(AND(Master!$E$22=""),"",IF(AND(Master!$E$22=Master!$C$23),Master!C37,IF(AND(Master!$E$22=Master!$C$43),Master!C57,"")))</f>
        <v>0</v>
      </c>
      <c r="AC38" s="37">
        <f>IF(AND(Master!$E$22=""),"",IF(AND(Master!$E$22=Master!$C$23),Master!D37,IF(AND(Master!$E$22=Master!$C$43),Master!D57,"")))</f>
        <v>0</v>
      </c>
      <c r="AD38" s="37">
        <f>IF(AND(Master!$E$22=""),"",IF(AND(Master!$E$22=Master!$C$23),Master!E37,IF(AND(Master!$E$22=Master!$C$43),Master!E57,"")))</f>
        <v>0</v>
      </c>
    </row>
    <row r="39" spans="1:30" ht="18" customHeight="1" thickTop="1" thickBot="1">
      <c r="A39" s="798">
        <v>14</v>
      </c>
      <c r="B39" s="798"/>
      <c r="C39" s="804" t="str">
        <f>IF(AND(Master!$E$22=""),"",IF(AND(AA39=""),"",AA39))</f>
        <v/>
      </c>
      <c r="D39" s="804"/>
      <c r="E39" s="804"/>
      <c r="F39" s="804" t="str">
        <f t="shared" si="2"/>
        <v/>
      </c>
      <c r="G39" s="804"/>
      <c r="H39" s="804"/>
      <c r="I39" s="790" t="str">
        <f t="shared" si="3"/>
        <v/>
      </c>
      <c r="J39" s="790"/>
      <c r="K39" s="800" t="str">
        <f t="shared" si="4"/>
        <v/>
      </c>
      <c r="L39" s="800"/>
      <c r="M39" s="792" t="str">
        <f>IF(AND(Master!$E$22=""),"",IF(AND(Master!$E$22=Master!$C$23),Master!F38,IF(AND(Master!$E$22=Master!$C$43),Master!F60,"")))</f>
        <v>-</v>
      </c>
      <c r="N39" s="792"/>
      <c r="AA39" s="37" t="str">
        <f>IF(AND(Master!$E$22=""),"",IF(AND(Master!$E$22=Master!$C$23),Master!B38,IF(AND(Master!$E$22=Master!$C$43),Master!B58,"")))</f>
        <v/>
      </c>
      <c r="AB39" s="37">
        <f>IF(AND(Master!$E$22=""),"",IF(AND(Master!$E$22=Master!$C$23),Master!C38,IF(AND(Master!$E$22=Master!$C$43),Master!C58,"")))</f>
        <v>0</v>
      </c>
      <c r="AC39" s="37">
        <f>IF(AND(Master!$E$22=""),"",IF(AND(Master!$E$22=Master!$C$23),Master!D38,IF(AND(Master!$E$22=Master!$C$43),Master!D58,"")))</f>
        <v>0</v>
      </c>
      <c r="AD39" s="37">
        <f>IF(AND(Master!$E$22=""),"",IF(AND(Master!$E$22=Master!$C$23),Master!E38,IF(AND(Master!$E$22=Master!$C$43),Master!E58,"")))</f>
        <v>0</v>
      </c>
    </row>
    <row r="40" spans="1:30" ht="18" customHeight="1" thickTop="1" thickBot="1">
      <c r="A40" s="798">
        <v>15</v>
      </c>
      <c r="B40" s="798"/>
      <c r="C40" s="804" t="str">
        <f>IF(AND(Master!$E$22=""),"",IF(AND(AA40=""),"",AA40))</f>
        <v/>
      </c>
      <c r="D40" s="804"/>
      <c r="E40" s="804"/>
      <c r="F40" s="804" t="str">
        <f t="shared" si="2"/>
        <v/>
      </c>
      <c r="G40" s="804"/>
      <c r="H40" s="804"/>
      <c r="I40" s="790" t="str">
        <f t="shared" si="3"/>
        <v/>
      </c>
      <c r="J40" s="790"/>
      <c r="K40" s="800" t="str">
        <f t="shared" si="4"/>
        <v/>
      </c>
      <c r="L40" s="800"/>
      <c r="M40" s="792" t="str">
        <f>IF(AND(Master!$E$22=""),"",IF(AND(Master!$E$22=Master!$C$23),Master!F39,IF(AND(Master!$E$22=Master!$C$43),Master!F61,"")))</f>
        <v>-</v>
      </c>
      <c r="N40" s="792"/>
      <c r="AA40" s="37" t="str">
        <f>IF(AND(Master!$E$22=""),"",IF(AND(Master!$E$22=Master!$C$23),Master!B39,IF(AND(Master!$E$22=Master!$C$43),Master!B59,"")))</f>
        <v/>
      </c>
      <c r="AB40" s="37">
        <f>IF(AND(Master!$E$22=""),"",IF(AND(Master!$E$22=Master!$C$23),Master!C39,IF(AND(Master!$E$22=Master!$C$43),Master!C59,"")))</f>
        <v>0</v>
      </c>
      <c r="AC40" s="37">
        <f>IF(AND(Master!$E$22=""),"",IF(AND(Master!$E$22=Master!$C$23),Master!D39,IF(AND(Master!$E$22=Master!$C$43),Master!D59,"")))</f>
        <v>0</v>
      </c>
      <c r="AD40" s="37">
        <f>IF(AND(Master!$E$22=""),"",IF(AND(Master!$E$22=Master!$C$23),Master!E39,IF(AND(Master!$E$22=Master!$C$43),Master!E59,"")))</f>
        <v>0</v>
      </c>
    </row>
    <row r="41" spans="1:30" ht="18" customHeight="1" thickTop="1" thickBot="1">
      <c r="A41" s="798">
        <v>16</v>
      </c>
      <c r="B41" s="798"/>
      <c r="C41" s="804" t="str">
        <f>IF(AND(Master!$E$22=""),"",IF(AND(AA41=""),"",AA41))</f>
        <v/>
      </c>
      <c r="D41" s="804"/>
      <c r="E41" s="804"/>
      <c r="F41" s="804">
        <f t="shared" si="2"/>
        <v>1</v>
      </c>
      <c r="G41" s="804"/>
      <c r="H41" s="804"/>
      <c r="I41" s="790" t="str">
        <f t="shared" si="3"/>
        <v/>
      </c>
      <c r="J41" s="790"/>
      <c r="K41" s="800" t="str">
        <f t="shared" si="4"/>
        <v/>
      </c>
      <c r="L41" s="800"/>
      <c r="M41" s="792" t="str">
        <f>IF(AND(Master!$E$22=""),"",IF(AND(Master!$E$22=Master!$C$23),Master!F40,IF(AND(Master!$E$22=Master!$C$43),Master!F62,"")))</f>
        <v>Yes</v>
      </c>
      <c r="N41" s="792"/>
      <c r="AA41" s="37" t="str">
        <f>IF(AND(Master!$E$22=""),"",IF(AND(Master!$E$22=Master!$C$23),Master!B40,IF(AND(Master!$E$22=Master!$C$43),Master!B60,"")))</f>
        <v/>
      </c>
      <c r="AB41" s="37">
        <f>IF(AND(Master!$E$22=""),"",IF(AND(Master!$E$22=Master!$C$23),Master!C40,IF(AND(Master!$E$22=Master!$C$43),Master!C60,"")))</f>
        <v>1</v>
      </c>
      <c r="AC41" s="37">
        <f>IF(AND(Master!$E$22=""),"",IF(AND(Master!$E$22=Master!$C$23),Master!D40,IF(AND(Master!$E$22=Master!$C$43),Master!D60,"")))</f>
        <v>0</v>
      </c>
      <c r="AD41" s="37">
        <f>IF(AND(Master!$E$22=""),"",IF(AND(Master!$E$22=Master!$C$23),Master!E40,IF(AND(Master!$E$22=Master!$C$43),Master!E60,"")))</f>
        <v>0</v>
      </c>
    </row>
    <row r="42" spans="1:30" ht="24" customHeight="1" thickTop="1" thickBot="1">
      <c r="A42" s="829" t="s">
        <v>5</v>
      </c>
      <c r="B42" s="829"/>
      <c r="C42" s="842">
        <f>IF(AND(Master!$E$22=""),"",IF(AND(Master!$E$22=Master!$C$23),Master!B41,IF(AND(Master!$E$22=Master!$C$43),Master!B61,"")))</f>
        <v>0</v>
      </c>
      <c r="D42" s="842"/>
      <c r="E42" s="842"/>
      <c r="F42" s="844" t="s">
        <v>146</v>
      </c>
      <c r="G42" s="844"/>
      <c r="H42" s="844"/>
      <c r="I42" s="819" t="s">
        <v>146</v>
      </c>
      <c r="J42" s="819"/>
      <c r="K42" s="819" t="s">
        <v>146</v>
      </c>
      <c r="L42" s="819"/>
      <c r="M42" s="843" t="s">
        <v>146</v>
      </c>
      <c r="N42" s="843"/>
    </row>
    <row r="43" spans="1:30" ht="23.25" customHeight="1" thickTop="1">
      <c r="A43" s="159"/>
      <c r="B43" s="159"/>
      <c r="C43" s="159"/>
      <c r="D43" s="159"/>
      <c r="E43" s="159"/>
      <c r="F43" s="805" t="s">
        <v>93</v>
      </c>
      <c r="G43" s="805"/>
      <c r="H43" s="805"/>
      <c r="I43" s="805"/>
      <c r="J43" s="805"/>
      <c r="K43" s="159"/>
      <c r="L43" s="159"/>
      <c r="M43" s="159"/>
      <c r="N43" s="159"/>
      <c r="O43" s="126"/>
    </row>
    <row r="44" spans="1:30" ht="20.100000000000001" customHeight="1">
      <c r="A44" s="162" t="s">
        <v>66</v>
      </c>
      <c r="B44" s="803" t="str">
        <f>UPPER(IF(Master!D17="","",(Master!D17)))</f>
        <v>GIRDHARI RAM VISHNOI</v>
      </c>
      <c r="C44" s="803"/>
      <c r="D44" s="803"/>
      <c r="E44" s="803"/>
      <c r="F44" s="803"/>
      <c r="G44" s="820" t="s">
        <v>94</v>
      </c>
      <c r="H44" s="820"/>
      <c r="I44" s="820"/>
      <c r="J44" s="820"/>
      <c r="K44" s="803" t="str">
        <f>UPPER(IF(Master!H17="","",Master!H17))</f>
        <v/>
      </c>
      <c r="L44" s="803"/>
      <c r="M44" s="803"/>
      <c r="N44" s="803"/>
      <c r="O44" s="126"/>
    </row>
    <row r="45" spans="1:30" ht="20.100000000000001" customHeight="1">
      <c r="A45" s="840" t="s">
        <v>95</v>
      </c>
      <c r="B45" s="840"/>
      <c r="C45" s="840"/>
      <c r="D45" s="840"/>
      <c r="E45" s="803" t="str">
        <f>UPPER(IF(Master!D16="","",Master!D16))</f>
        <v>PEEO , GSSS, BARAKHURD (OSIYA), JODHPUR</v>
      </c>
      <c r="F45" s="803"/>
      <c r="G45" s="803"/>
      <c r="H45" s="809" t="s">
        <v>96</v>
      </c>
      <c r="I45" s="809"/>
      <c r="J45" s="809"/>
      <c r="K45" s="809"/>
      <c r="L45" s="809"/>
      <c r="M45" s="809"/>
      <c r="N45" s="171">
        <f>IF(AND(C42=""),"",ROUND(C42,0))</f>
        <v>0</v>
      </c>
      <c r="O45" s="126"/>
      <c r="P45" s="153"/>
    </row>
    <row r="46" spans="1:30" ht="20.100000000000001" customHeight="1">
      <c r="A46" s="810" t="s">
        <v>340</v>
      </c>
      <c r="B46" s="810"/>
      <c r="C46" s="841"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c r="D46" s="841"/>
      <c r="E46" s="841"/>
      <c r="F46" s="841"/>
      <c r="G46" s="841"/>
      <c r="H46" s="841"/>
      <c r="I46" s="841"/>
      <c r="J46" s="841"/>
      <c r="K46" s="810" t="s">
        <v>339</v>
      </c>
      <c r="L46" s="811"/>
      <c r="M46" s="811"/>
      <c r="N46" s="811"/>
      <c r="O46" s="126"/>
    </row>
    <row r="47" spans="1:30" ht="20.100000000000001" customHeight="1">
      <c r="A47" s="810" t="s">
        <v>97</v>
      </c>
      <c r="B47" s="810"/>
      <c r="C47" s="810"/>
      <c r="D47" s="810"/>
      <c r="E47" s="810"/>
      <c r="F47" s="810"/>
      <c r="G47" s="810"/>
      <c r="H47" s="810"/>
      <c r="I47" s="810"/>
      <c r="J47" s="810"/>
      <c r="K47" s="810"/>
      <c r="L47" s="810"/>
      <c r="M47" s="810"/>
      <c r="N47" s="810"/>
      <c r="O47" s="126"/>
    </row>
    <row r="48" spans="1:30" ht="20.100000000000001" customHeight="1" thickBot="1">
      <c r="A48" s="810" t="s">
        <v>98</v>
      </c>
      <c r="B48" s="810"/>
      <c r="C48" s="810"/>
      <c r="D48" s="810"/>
      <c r="E48" s="810"/>
      <c r="F48" s="810"/>
      <c r="G48" s="810"/>
      <c r="H48" s="810"/>
      <c r="I48" s="810"/>
      <c r="J48" s="810"/>
      <c r="K48" s="810"/>
      <c r="L48" s="810"/>
      <c r="M48" s="810"/>
      <c r="N48" s="810"/>
      <c r="O48" s="126"/>
    </row>
    <row r="49" spans="1:33" ht="30.95" customHeight="1" thickTop="1" thickBot="1">
      <c r="A49" s="845" t="s">
        <v>99</v>
      </c>
      <c r="B49" s="845"/>
      <c r="C49" s="824"/>
      <c r="D49" s="824"/>
      <c r="E49" s="824"/>
      <c r="F49" s="824"/>
      <c r="G49" s="824"/>
      <c r="H49" s="824"/>
      <c r="I49" s="807" t="s">
        <v>101</v>
      </c>
      <c r="J49" s="807"/>
      <c r="K49" s="807"/>
      <c r="L49" s="807"/>
      <c r="M49" s="807"/>
      <c r="N49" s="807"/>
      <c r="AG49" s="37"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row>
    <row r="50" spans="1:33" ht="30.95" customHeight="1" thickTop="1" thickBot="1">
      <c r="A50" s="845" t="s">
        <v>2</v>
      </c>
      <c r="B50" s="845"/>
      <c r="C50" s="846">
        <f ca="1">TODAY()</f>
        <v>43457</v>
      </c>
      <c r="D50" s="847"/>
      <c r="E50" s="847"/>
      <c r="F50" s="847"/>
      <c r="G50" s="847"/>
      <c r="H50" s="848"/>
      <c r="I50" s="807"/>
      <c r="J50" s="807"/>
      <c r="K50" s="807"/>
      <c r="L50" s="807"/>
      <c r="M50" s="807"/>
      <c r="N50" s="807"/>
    </row>
    <row r="51" spans="1:33" ht="30.95" customHeight="1" thickTop="1" thickBot="1">
      <c r="A51" s="845" t="s">
        <v>6</v>
      </c>
      <c r="B51" s="845"/>
      <c r="C51" s="845"/>
      <c r="D51" s="806" t="str">
        <f>UPPER(IF(Master!D16="","",Master!D16))</f>
        <v>PEEO , GSSS, BARAKHURD (OSIYA), JODHPUR</v>
      </c>
      <c r="E51" s="806"/>
      <c r="F51" s="806"/>
      <c r="G51" s="806"/>
      <c r="H51" s="806"/>
      <c r="I51" s="804" t="s">
        <v>100</v>
      </c>
      <c r="J51" s="804"/>
      <c r="K51" s="808" t="str">
        <f>IF(AND(Master!D17=""),"",CONCATENATE("( ",UPPER(Master!D17)," )"))</f>
        <v>( GIRDHARI RAM VISHNOI )</v>
      </c>
      <c r="L51" s="808"/>
      <c r="M51" s="808"/>
      <c r="N51" s="808"/>
    </row>
    <row r="52" spans="1:33" ht="22.5" customHeight="1" thickTop="1">
      <c r="A52" s="850" t="s">
        <v>102</v>
      </c>
      <c r="B52" s="850"/>
      <c r="C52" s="850"/>
      <c r="D52" s="159"/>
      <c r="E52" s="159"/>
      <c r="F52" s="159"/>
      <c r="G52" s="159"/>
      <c r="H52" s="159"/>
      <c r="I52" s="35"/>
      <c r="J52" s="35"/>
      <c r="K52" s="35"/>
      <c r="L52" s="35"/>
      <c r="M52" s="163"/>
      <c r="N52" s="163"/>
      <c r="O52" s="126"/>
    </row>
    <row r="53" spans="1:33" s="125" customFormat="1" ht="24.95" customHeight="1">
      <c r="A53" s="160">
        <v>1</v>
      </c>
      <c r="B53" s="849" t="s">
        <v>103</v>
      </c>
      <c r="C53" s="849"/>
      <c r="D53" s="849"/>
      <c r="E53" s="849"/>
      <c r="F53" s="849"/>
      <c r="G53" s="849"/>
      <c r="H53" s="849"/>
      <c r="I53" s="849"/>
      <c r="J53" s="849"/>
      <c r="K53" s="849"/>
      <c r="L53" s="849"/>
      <c r="M53" s="849"/>
      <c r="N53" s="849"/>
      <c r="O53" s="172"/>
    </row>
    <row r="54" spans="1:33" s="125" customFormat="1" ht="24.95" customHeight="1">
      <c r="A54" s="160">
        <v>2</v>
      </c>
      <c r="B54" s="849" t="s">
        <v>104</v>
      </c>
      <c r="C54" s="849"/>
      <c r="D54" s="849"/>
      <c r="E54" s="849"/>
      <c r="F54" s="849"/>
      <c r="G54" s="849"/>
      <c r="H54" s="849"/>
      <c r="I54" s="849"/>
      <c r="J54" s="849"/>
      <c r="K54" s="849"/>
      <c r="L54" s="849"/>
      <c r="M54" s="849"/>
      <c r="N54" s="849"/>
      <c r="O54" s="172"/>
      <c r="R54" s="799"/>
      <c r="S54" s="799"/>
      <c r="T54" s="799"/>
      <c r="U54" s="799"/>
    </row>
    <row r="55" spans="1:33" s="125" customFormat="1" ht="24.95" customHeight="1">
      <c r="A55" s="160">
        <v>3</v>
      </c>
      <c r="B55" s="849" t="s">
        <v>105</v>
      </c>
      <c r="C55" s="849"/>
      <c r="D55" s="849"/>
      <c r="E55" s="849"/>
      <c r="F55" s="849"/>
      <c r="G55" s="849"/>
      <c r="H55" s="849"/>
      <c r="I55" s="849"/>
      <c r="J55" s="849"/>
      <c r="K55" s="849"/>
      <c r="L55" s="849"/>
      <c r="M55" s="849"/>
      <c r="N55" s="849"/>
      <c r="O55" s="172"/>
    </row>
    <row r="56" spans="1:33" s="125" customFormat="1" ht="39.75" customHeight="1">
      <c r="A56" s="160">
        <v>4</v>
      </c>
      <c r="B56" s="849" t="s">
        <v>106</v>
      </c>
      <c r="C56" s="849"/>
      <c r="D56" s="849"/>
      <c r="E56" s="849"/>
      <c r="F56" s="849"/>
      <c r="G56" s="849"/>
      <c r="H56" s="849"/>
      <c r="I56" s="849"/>
      <c r="J56" s="849"/>
      <c r="K56" s="849"/>
      <c r="L56" s="849"/>
      <c r="M56" s="849"/>
      <c r="N56" s="849"/>
      <c r="O56" s="172"/>
    </row>
    <row r="57" spans="1:33" s="125" customFormat="1" ht="50.25" customHeight="1">
      <c r="A57" s="160">
        <v>5</v>
      </c>
      <c r="B57" s="849" t="s">
        <v>107</v>
      </c>
      <c r="C57" s="849"/>
      <c r="D57" s="849"/>
      <c r="E57" s="849"/>
      <c r="F57" s="849"/>
      <c r="G57" s="849"/>
      <c r="H57" s="849"/>
      <c r="I57" s="849"/>
      <c r="J57" s="849"/>
      <c r="K57" s="849"/>
      <c r="L57" s="849"/>
      <c r="M57" s="849"/>
      <c r="N57" s="849"/>
      <c r="O57" s="172"/>
    </row>
    <row r="58" spans="1:33" s="125" customFormat="1" ht="24.95" customHeight="1">
      <c r="A58" s="160">
        <v>6</v>
      </c>
      <c r="B58" s="849" t="s">
        <v>108</v>
      </c>
      <c r="C58" s="849"/>
      <c r="D58" s="849"/>
      <c r="E58" s="849"/>
      <c r="F58" s="849"/>
      <c r="G58" s="849"/>
      <c r="H58" s="849"/>
      <c r="I58" s="849"/>
      <c r="J58" s="849"/>
      <c r="K58" s="849"/>
      <c r="L58" s="849"/>
      <c r="M58" s="849"/>
      <c r="N58" s="849"/>
      <c r="O58" s="172"/>
    </row>
    <row r="59" spans="1:33" ht="18.75" customHeight="1">
      <c r="A59" s="36"/>
      <c r="B59" s="36"/>
      <c r="C59" s="159"/>
      <c r="D59" s="159"/>
      <c r="E59" s="159"/>
      <c r="F59" s="159"/>
      <c r="G59" s="803" t="s">
        <v>109</v>
      </c>
      <c r="H59" s="803"/>
      <c r="I59" s="803"/>
      <c r="J59" s="35"/>
      <c r="K59" s="35"/>
      <c r="L59" s="163"/>
      <c r="M59" s="163"/>
      <c r="N59" s="163"/>
      <c r="O59" s="126"/>
    </row>
    <row r="60" spans="1:33" ht="15" customHeight="1" thickBot="1">
      <c r="A60" s="801" t="s">
        <v>26</v>
      </c>
      <c r="B60" s="801"/>
      <c r="C60" s="801"/>
      <c r="D60" s="801"/>
      <c r="E60" s="801"/>
      <c r="F60" s="801"/>
      <c r="G60" s="801"/>
      <c r="H60" s="801"/>
      <c r="I60" s="801"/>
      <c r="J60" s="801"/>
      <c r="K60" s="801"/>
      <c r="L60" s="801"/>
      <c r="M60" s="801"/>
      <c r="N60" s="801"/>
      <c r="O60" s="126"/>
    </row>
    <row r="61" spans="1:33" ht="18" customHeight="1" thickTop="1" thickBot="1">
      <c r="A61" s="176">
        <v>1</v>
      </c>
      <c r="B61" s="775" t="s">
        <v>27</v>
      </c>
      <c r="C61" s="776"/>
      <c r="D61" s="776"/>
      <c r="E61" s="776"/>
      <c r="F61" s="776"/>
      <c r="G61" s="776"/>
      <c r="H61" s="776"/>
      <c r="I61" s="776"/>
      <c r="J61" s="776"/>
      <c r="K61" s="776"/>
      <c r="L61" s="776"/>
      <c r="M61" s="776"/>
      <c r="N61" s="777"/>
    </row>
    <row r="62" spans="1:33" ht="24" customHeight="1" thickTop="1" thickBot="1">
      <c r="A62" s="176"/>
      <c r="B62" s="174" t="s">
        <v>28</v>
      </c>
      <c r="C62" s="802" t="s">
        <v>29</v>
      </c>
      <c r="D62" s="802"/>
      <c r="E62" s="802"/>
      <c r="F62" s="802"/>
      <c r="G62" s="802"/>
      <c r="H62" s="176" t="s">
        <v>30</v>
      </c>
      <c r="I62" s="326">
        <f>IF(AND(COMPUTATION!O5=""),"",COMPUTATION!O5)</f>
        <v>0</v>
      </c>
      <c r="J62" s="778"/>
      <c r="K62" s="779"/>
      <c r="L62" s="779"/>
      <c r="M62" s="779"/>
      <c r="N62" s="780"/>
    </row>
    <row r="63" spans="1:33" ht="13.5" customHeight="1" thickTop="1" thickBot="1">
      <c r="A63" s="798"/>
      <c r="B63" s="798" t="s">
        <v>31</v>
      </c>
      <c r="C63" s="802" t="s">
        <v>110</v>
      </c>
      <c r="D63" s="802"/>
      <c r="E63" s="802"/>
      <c r="F63" s="802"/>
      <c r="G63" s="802"/>
      <c r="H63" s="798" t="s">
        <v>30</v>
      </c>
      <c r="I63" s="836">
        <f>IF(AND(COMPUTATION!O4=""),"",COMPUTATION!O4)</f>
        <v>312840</v>
      </c>
      <c r="J63" s="781"/>
      <c r="K63" s="782"/>
      <c r="L63" s="782"/>
      <c r="M63" s="782"/>
      <c r="N63" s="783"/>
    </row>
    <row r="64" spans="1:33" ht="17.25" customHeight="1" thickTop="1" thickBot="1">
      <c r="A64" s="798"/>
      <c r="B64" s="798"/>
      <c r="C64" s="802"/>
      <c r="D64" s="802"/>
      <c r="E64" s="802"/>
      <c r="F64" s="802"/>
      <c r="G64" s="802"/>
      <c r="H64" s="798"/>
      <c r="I64" s="836"/>
      <c r="J64" s="781"/>
      <c r="K64" s="782"/>
      <c r="L64" s="782"/>
      <c r="M64" s="782"/>
      <c r="N64" s="783"/>
    </row>
    <row r="65" spans="1:14" ht="36.75" customHeight="1" thickTop="1" thickBot="1">
      <c r="A65" s="176"/>
      <c r="B65" s="174" t="s">
        <v>32</v>
      </c>
      <c r="C65" s="802" t="s">
        <v>111</v>
      </c>
      <c r="D65" s="802"/>
      <c r="E65" s="802"/>
      <c r="F65" s="802"/>
      <c r="G65" s="802"/>
      <c r="H65" s="176" t="s">
        <v>30</v>
      </c>
      <c r="I65" s="325">
        <f>IF(AND(COMPUTATION!O16=""),"",COMPUTATION!E16)</f>
        <v>0</v>
      </c>
      <c r="J65" s="784"/>
      <c r="K65" s="785"/>
      <c r="L65" s="785"/>
      <c r="M65" s="785"/>
      <c r="N65" s="786"/>
    </row>
    <row r="66" spans="1:14" ht="18.75" customHeight="1" thickTop="1" thickBot="1">
      <c r="A66" s="176"/>
      <c r="B66" s="179" t="s">
        <v>33</v>
      </c>
      <c r="C66" s="815"/>
      <c r="D66" s="816"/>
      <c r="E66" s="816"/>
      <c r="F66" s="816"/>
      <c r="G66" s="816"/>
      <c r="H66" s="816"/>
      <c r="I66" s="817"/>
      <c r="J66" s="180" t="s">
        <v>30</v>
      </c>
      <c r="K66" s="851">
        <f>IF(AND(H7=""),"",I63+I65)</f>
        <v>312840</v>
      </c>
      <c r="L66" s="852"/>
      <c r="M66" s="852"/>
      <c r="N66" s="853"/>
    </row>
    <row r="67" spans="1:14" ht="20.25" customHeight="1" thickTop="1" thickBot="1">
      <c r="A67" s="176">
        <v>2</v>
      </c>
      <c r="B67" s="794" t="s">
        <v>306</v>
      </c>
      <c r="C67" s="794"/>
      <c r="D67" s="794"/>
      <c r="E67" s="794"/>
      <c r="F67" s="794"/>
      <c r="G67" s="794"/>
      <c r="H67" s="794"/>
      <c r="I67" s="794"/>
      <c r="J67" s="794"/>
      <c r="K67" s="794"/>
      <c r="L67" s="794"/>
      <c r="M67" s="794"/>
      <c r="N67" s="794"/>
    </row>
    <row r="68" spans="1:14" ht="17.25" customHeight="1" thickTop="1" thickBot="1">
      <c r="A68" s="176"/>
      <c r="B68" s="791" t="s">
        <v>126</v>
      </c>
      <c r="C68" s="791"/>
      <c r="D68" s="791"/>
      <c r="E68" s="177" t="s">
        <v>30</v>
      </c>
      <c r="F68" s="792">
        <f>IF(AND(H7=""),"",COMPUTATION!O5)</f>
        <v>0</v>
      </c>
      <c r="G68" s="792"/>
      <c r="H68" s="812"/>
      <c r="I68" s="812"/>
      <c r="J68" s="812"/>
      <c r="K68" s="812"/>
      <c r="L68" s="812"/>
      <c r="M68" s="812"/>
      <c r="N68" s="812"/>
    </row>
    <row r="69" spans="1:14" ht="17.25" customHeight="1" thickTop="1" thickBot="1">
      <c r="A69" s="176"/>
      <c r="B69" s="798"/>
      <c r="C69" s="798"/>
      <c r="D69" s="798"/>
      <c r="E69" s="798"/>
      <c r="F69" s="798"/>
      <c r="G69" s="798"/>
      <c r="H69" s="798"/>
      <c r="I69" s="798"/>
      <c r="J69" s="180" t="s">
        <v>30</v>
      </c>
      <c r="K69" s="814">
        <f>IF(AND(H7=""),"",SUM(F68))</f>
        <v>0</v>
      </c>
      <c r="L69" s="814"/>
      <c r="M69" s="854"/>
      <c r="N69" s="855"/>
    </row>
    <row r="70" spans="1:14" ht="20.25" customHeight="1" thickTop="1" thickBot="1">
      <c r="A70" s="176">
        <v>3</v>
      </c>
      <c r="B70" s="797" t="s">
        <v>34</v>
      </c>
      <c r="C70" s="797"/>
      <c r="D70" s="797"/>
      <c r="E70" s="797"/>
      <c r="F70" s="797"/>
      <c r="G70" s="797"/>
      <c r="H70" s="797"/>
      <c r="I70" s="797"/>
      <c r="J70" s="797"/>
      <c r="K70" s="797"/>
      <c r="L70" s="180" t="s">
        <v>30</v>
      </c>
      <c r="M70" s="813">
        <f>IF(AND(H7=""),"",K66-K69)</f>
        <v>312840</v>
      </c>
      <c r="N70" s="813"/>
    </row>
    <row r="71" spans="1:14" ht="17.25" customHeight="1" thickTop="1" thickBot="1">
      <c r="A71" s="176">
        <v>4</v>
      </c>
      <c r="B71" s="796" t="s">
        <v>307</v>
      </c>
      <c r="C71" s="796"/>
      <c r="D71" s="796"/>
      <c r="E71" s="796"/>
      <c r="F71" s="796"/>
      <c r="G71" s="796"/>
      <c r="H71" s="796"/>
      <c r="I71" s="796"/>
      <c r="J71" s="778"/>
      <c r="K71" s="779"/>
      <c r="L71" s="779"/>
      <c r="M71" s="779"/>
      <c r="N71" s="780"/>
    </row>
    <row r="72" spans="1:14" ht="16.5" customHeight="1" thickTop="1" thickBot="1">
      <c r="A72" s="176"/>
      <c r="B72" s="174" t="s">
        <v>28</v>
      </c>
      <c r="C72" s="795" t="s">
        <v>35</v>
      </c>
      <c r="D72" s="795"/>
      <c r="E72" s="795"/>
      <c r="F72" s="795"/>
      <c r="G72" s="177" t="s">
        <v>30</v>
      </c>
      <c r="H72" s="818">
        <f>IF(AND(H7=""),"",COMPUTATION!K7)</f>
        <v>0</v>
      </c>
      <c r="I72" s="818"/>
      <c r="J72" s="781"/>
      <c r="K72" s="782"/>
      <c r="L72" s="782"/>
      <c r="M72" s="782"/>
      <c r="N72" s="783"/>
    </row>
    <row r="73" spans="1:14" ht="16.5" customHeight="1" thickTop="1" thickBot="1">
      <c r="A73" s="176"/>
      <c r="B73" s="174" t="s">
        <v>31</v>
      </c>
      <c r="C73" s="795" t="s">
        <v>36</v>
      </c>
      <c r="D73" s="795"/>
      <c r="E73" s="795"/>
      <c r="F73" s="795"/>
      <c r="G73" s="177" t="s">
        <v>30</v>
      </c>
      <c r="H73" s="818">
        <f>IF(AND(H7=""),"",COMPUTATION!K8)</f>
        <v>0</v>
      </c>
      <c r="I73" s="818"/>
      <c r="J73" s="781"/>
      <c r="K73" s="782"/>
      <c r="L73" s="782"/>
      <c r="M73" s="782"/>
      <c r="N73" s="783"/>
    </row>
    <row r="74" spans="1:14" ht="16.5" customHeight="1" thickTop="1" thickBot="1">
      <c r="A74" s="324"/>
      <c r="B74" s="174" t="s">
        <v>32</v>
      </c>
      <c r="C74" s="795" t="s">
        <v>399</v>
      </c>
      <c r="D74" s="795"/>
      <c r="E74" s="795"/>
      <c r="F74" s="795"/>
      <c r="G74" s="177" t="s">
        <v>30</v>
      </c>
      <c r="H74" s="818">
        <f>IF(AND(H7=""),"",COMPUTATION!G13)</f>
        <v>0</v>
      </c>
      <c r="I74" s="818"/>
      <c r="J74" s="781"/>
      <c r="K74" s="782"/>
      <c r="L74" s="782"/>
      <c r="M74" s="782"/>
      <c r="N74" s="783"/>
    </row>
    <row r="75" spans="1:14" ht="16.5" customHeight="1" thickTop="1" thickBot="1">
      <c r="A75" s="471"/>
      <c r="B75" s="174" t="s">
        <v>33</v>
      </c>
      <c r="C75" s="795" t="s">
        <v>558</v>
      </c>
      <c r="D75" s="795"/>
      <c r="E75" s="795"/>
      <c r="F75" s="795"/>
      <c r="G75" s="177" t="s">
        <v>30</v>
      </c>
      <c r="H75" s="818">
        <f>IF(AND(H7=""),"",COMPUTATION!O9)</f>
        <v>40000</v>
      </c>
      <c r="I75" s="818"/>
      <c r="J75" s="781"/>
      <c r="K75" s="782"/>
      <c r="L75" s="782"/>
      <c r="M75" s="782"/>
      <c r="N75" s="783"/>
    </row>
    <row r="76" spans="1:14" ht="20.25" customHeight="1" thickTop="1" thickBot="1">
      <c r="A76" s="176">
        <v>5</v>
      </c>
      <c r="B76" s="796" t="s">
        <v>37</v>
      </c>
      <c r="C76" s="796"/>
      <c r="D76" s="796"/>
      <c r="E76" s="796"/>
      <c r="F76" s="178"/>
      <c r="G76" s="180" t="s">
        <v>30</v>
      </c>
      <c r="H76" s="834">
        <f>IF(AND(H7=""),"",H72+H73+H74+H75)</f>
        <v>40000</v>
      </c>
      <c r="I76" s="834"/>
      <c r="J76" s="784"/>
      <c r="K76" s="785"/>
      <c r="L76" s="785"/>
      <c r="M76" s="785"/>
      <c r="N76" s="786"/>
    </row>
    <row r="77" spans="1:14" ht="17.25" customHeight="1" thickTop="1" thickBot="1">
      <c r="A77" s="176">
        <v>6</v>
      </c>
      <c r="B77" s="858" t="s">
        <v>38</v>
      </c>
      <c r="C77" s="856"/>
      <c r="D77" s="856"/>
      <c r="E77" s="856"/>
      <c r="F77" s="856"/>
      <c r="G77" s="856"/>
      <c r="H77" s="856"/>
      <c r="I77" s="856"/>
      <c r="J77" s="856"/>
      <c r="K77" s="856"/>
      <c r="L77" s="859"/>
      <c r="M77" s="180" t="s">
        <v>30</v>
      </c>
      <c r="N77" s="464">
        <f>IF(AND(H7=""),"",M70-H76)</f>
        <v>272840</v>
      </c>
    </row>
    <row r="78" spans="1:14" ht="18" customHeight="1" thickTop="1" thickBot="1">
      <c r="A78" s="176">
        <v>7</v>
      </c>
      <c r="B78" s="858" t="s">
        <v>39</v>
      </c>
      <c r="C78" s="856"/>
      <c r="D78" s="856"/>
      <c r="E78" s="856"/>
      <c r="F78" s="856"/>
      <c r="G78" s="856"/>
      <c r="H78" s="856"/>
      <c r="I78" s="856"/>
      <c r="J78" s="856"/>
      <c r="K78" s="856"/>
      <c r="L78" s="859"/>
      <c r="M78" s="177"/>
      <c r="N78" s="174"/>
    </row>
    <row r="79" spans="1:14" ht="19.5" customHeight="1" thickTop="1" thickBot="1">
      <c r="A79" s="174"/>
      <c r="B79" s="798" t="s">
        <v>308</v>
      </c>
      <c r="C79" s="798"/>
      <c r="D79" s="798"/>
      <c r="E79" s="798"/>
      <c r="F79" s="798"/>
      <c r="G79" s="177" t="s">
        <v>30</v>
      </c>
      <c r="H79" s="798">
        <f>IF(AND(H7=""),"",COMPUTATION!E16)</f>
        <v>0</v>
      </c>
      <c r="I79" s="798"/>
      <c r="J79" s="860" t="s">
        <v>398</v>
      </c>
      <c r="K79" s="861"/>
      <c r="L79" s="861"/>
      <c r="M79" s="861"/>
      <c r="N79" s="862"/>
    </row>
    <row r="80" spans="1:14" ht="18.75" customHeight="1" thickTop="1" thickBot="1">
      <c r="A80" s="174"/>
      <c r="B80" s="798" t="s">
        <v>65</v>
      </c>
      <c r="C80" s="798"/>
      <c r="D80" s="798"/>
      <c r="E80" s="798"/>
      <c r="F80" s="798"/>
      <c r="G80" s="177" t="s">
        <v>30</v>
      </c>
      <c r="H80" s="798">
        <f>IF(AND(H7=""),"",COMPUTATION!E15)</f>
        <v>0</v>
      </c>
      <c r="I80" s="798"/>
      <c r="J80" s="177" t="s">
        <v>30</v>
      </c>
      <c r="K80" s="798">
        <f>IF(AND(H7=""),"",COMPUTATION!K11)</f>
        <v>0</v>
      </c>
      <c r="L80" s="798"/>
      <c r="M80" s="177" t="s">
        <v>30</v>
      </c>
      <c r="N80" s="180">
        <f>IF(AND(H7=""),"",H79+H80+K80)</f>
        <v>0</v>
      </c>
    </row>
    <row r="81" spans="1:15" ht="21.75" customHeight="1" thickTop="1" thickBot="1">
      <c r="A81" s="181">
        <v>8</v>
      </c>
      <c r="B81" s="856" t="s">
        <v>40</v>
      </c>
      <c r="C81" s="856"/>
      <c r="D81" s="856"/>
      <c r="E81" s="856"/>
      <c r="F81" s="182"/>
      <c r="G81" s="182"/>
      <c r="H81" s="183"/>
      <c r="I81" s="182"/>
      <c r="J81" s="183"/>
      <c r="K81" s="182"/>
      <c r="L81" s="182"/>
      <c r="M81" s="180" t="s">
        <v>30</v>
      </c>
      <c r="N81" s="465">
        <f>IF(AND(H7=""),"",N77+N80)</f>
        <v>272840</v>
      </c>
    </row>
    <row r="82" spans="1:15" ht="16.5" thickTop="1" thickBot="1">
      <c r="A82" s="173">
        <v>9</v>
      </c>
      <c r="B82" s="867" t="s">
        <v>41</v>
      </c>
      <c r="C82" s="867"/>
      <c r="D82" s="867"/>
      <c r="E82" s="867"/>
      <c r="F82" s="867"/>
      <c r="G82" s="128"/>
      <c r="H82" s="128"/>
      <c r="I82" s="128"/>
      <c r="J82" s="128"/>
      <c r="K82" s="128"/>
      <c r="L82" s="128"/>
      <c r="M82" s="127"/>
      <c r="N82" s="128"/>
      <c r="O82" s="126"/>
    </row>
    <row r="83" spans="1:15" ht="16.5" thickTop="1" thickBot="1">
      <c r="A83" s="185" t="s">
        <v>42</v>
      </c>
      <c r="B83" s="794" t="s">
        <v>43</v>
      </c>
      <c r="C83" s="794"/>
      <c r="D83" s="794"/>
      <c r="E83" s="794"/>
      <c r="F83" s="794"/>
      <c r="G83" s="794"/>
      <c r="H83" s="791" t="s">
        <v>44</v>
      </c>
      <c r="I83" s="791"/>
      <c r="J83" s="829" t="s">
        <v>45</v>
      </c>
      <c r="K83" s="829"/>
      <c r="L83" s="829"/>
      <c r="M83" s="791" t="s">
        <v>46</v>
      </c>
      <c r="N83" s="791"/>
    </row>
    <row r="84" spans="1:15" ht="16.5" thickTop="1" thickBot="1">
      <c r="A84" s="176"/>
      <c r="B84" s="186" t="s">
        <v>351</v>
      </c>
      <c r="C84" s="863" t="s">
        <v>47</v>
      </c>
      <c r="D84" s="864"/>
      <c r="E84" s="864"/>
      <c r="F84" s="864"/>
      <c r="G84" s="865"/>
      <c r="H84" s="791"/>
      <c r="I84" s="791"/>
      <c r="J84" s="829"/>
      <c r="K84" s="829"/>
      <c r="L84" s="829"/>
      <c r="M84" s="791"/>
      <c r="N84" s="791"/>
    </row>
    <row r="85" spans="1:15" ht="14.1" customHeight="1" thickTop="1" thickBot="1">
      <c r="A85" s="176"/>
      <c r="B85" s="176" t="s">
        <v>48</v>
      </c>
      <c r="C85" s="762" t="s">
        <v>14</v>
      </c>
      <c r="D85" s="762"/>
      <c r="E85" s="762"/>
      <c r="F85" s="762"/>
      <c r="G85" s="762"/>
      <c r="H85" s="177" t="s">
        <v>30</v>
      </c>
      <c r="I85" s="187">
        <f>IF(AND(H7=""),"",COMPUTATION!G20)</f>
        <v>0</v>
      </c>
      <c r="J85" s="188" t="s">
        <v>30</v>
      </c>
      <c r="K85" s="761">
        <f>I85</f>
        <v>0</v>
      </c>
      <c r="L85" s="761"/>
      <c r="M85" s="188" t="s">
        <v>30</v>
      </c>
      <c r="N85" s="184">
        <f>I85</f>
        <v>0</v>
      </c>
    </row>
    <row r="86" spans="1:15" ht="14.1" customHeight="1" thickTop="1" thickBot="1">
      <c r="A86" s="176"/>
      <c r="B86" s="176" t="s">
        <v>49</v>
      </c>
      <c r="C86" s="871" t="s">
        <v>15</v>
      </c>
      <c r="D86" s="871"/>
      <c r="E86" s="871"/>
      <c r="F86" s="871"/>
      <c r="G86" s="871"/>
      <c r="H86" s="177" t="s">
        <v>30</v>
      </c>
      <c r="I86" s="187">
        <f>IF(AND(H8=""),"",COMPUTATION!G21)</f>
        <v>0</v>
      </c>
      <c r="J86" s="188" t="s">
        <v>30</v>
      </c>
      <c r="K86" s="761">
        <f t="shared" ref="K86:K90" si="5">I86</f>
        <v>0</v>
      </c>
      <c r="L86" s="761"/>
      <c r="M86" s="188" t="s">
        <v>30</v>
      </c>
      <c r="N86" s="184">
        <f t="shared" ref="N86:N100" si="6">I86</f>
        <v>0</v>
      </c>
    </row>
    <row r="87" spans="1:15" ht="14.1" customHeight="1" thickTop="1" thickBot="1">
      <c r="A87" s="176"/>
      <c r="B87" s="176" t="s">
        <v>50</v>
      </c>
      <c r="C87" s="762" t="s">
        <v>141</v>
      </c>
      <c r="D87" s="762"/>
      <c r="E87" s="762"/>
      <c r="F87" s="762"/>
      <c r="G87" s="762"/>
      <c r="H87" s="177" t="s">
        <v>30</v>
      </c>
      <c r="I87" s="187">
        <f>IF(AND(H9=""),"",COMPUTATION!G25)</f>
        <v>0</v>
      </c>
      <c r="J87" s="188" t="s">
        <v>30</v>
      </c>
      <c r="K87" s="761">
        <f t="shared" si="5"/>
        <v>0</v>
      </c>
      <c r="L87" s="761"/>
      <c r="M87" s="188" t="s">
        <v>30</v>
      </c>
      <c r="N87" s="184">
        <f t="shared" si="6"/>
        <v>0</v>
      </c>
    </row>
    <row r="88" spans="1:15" ht="14.1" customHeight="1" thickTop="1" thickBot="1">
      <c r="A88" s="176"/>
      <c r="B88" s="176" t="s">
        <v>51</v>
      </c>
      <c r="C88" s="762" t="s">
        <v>142</v>
      </c>
      <c r="D88" s="762"/>
      <c r="E88" s="762"/>
      <c r="F88" s="762"/>
      <c r="G88" s="762"/>
      <c r="H88" s="177" t="s">
        <v>30</v>
      </c>
      <c r="I88" s="187" t="str">
        <f>IF(AND(H10=""),"",COMPUTATION!G26)</f>
        <v>0</v>
      </c>
      <c r="J88" s="188" t="s">
        <v>30</v>
      </c>
      <c r="K88" s="761" t="str">
        <f t="shared" si="5"/>
        <v>0</v>
      </c>
      <c r="L88" s="761"/>
      <c r="M88" s="188" t="s">
        <v>30</v>
      </c>
      <c r="N88" s="184" t="str">
        <f t="shared" si="6"/>
        <v>0</v>
      </c>
    </row>
    <row r="89" spans="1:15" ht="14.1" customHeight="1" thickTop="1" thickBot="1">
      <c r="A89" s="176"/>
      <c r="B89" s="176" t="s">
        <v>52</v>
      </c>
      <c r="C89" s="871" t="s">
        <v>143</v>
      </c>
      <c r="D89" s="871"/>
      <c r="E89" s="871"/>
      <c r="F89" s="871"/>
      <c r="G89" s="871"/>
      <c r="H89" s="177" t="s">
        <v>30</v>
      </c>
      <c r="I89" s="187">
        <f>IF(AND(H11=""),"",COMPUTATION!M23)</f>
        <v>0</v>
      </c>
      <c r="J89" s="188" t="s">
        <v>30</v>
      </c>
      <c r="K89" s="761">
        <f t="shared" si="5"/>
        <v>0</v>
      </c>
      <c r="L89" s="761"/>
      <c r="M89" s="188" t="s">
        <v>30</v>
      </c>
      <c r="N89" s="184">
        <f t="shared" si="6"/>
        <v>0</v>
      </c>
    </row>
    <row r="90" spans="1:15" ht="14.1" customHeight="1" thickTop="1" thickBot="1">
      <c r="A90" s="176"/>
      <c r="B90" s="176" t="s">
        <v>53</v>
      </c>
      <c r="C90" s="872" t="s">
        <v>354</v>
      </c>
      <c r="D90" s="872"/>
      <c r="E90" s="872"/>
      <c r="F90" s="872"/>
      <c r="G90" s="872"/>
      <c r="H90" s="177" t="s">
        <v>30</v>
      </c>
      <c r="I90" s="187">
        <f>IF(AND(H12=""),"",COMPUTATION!M20)</f>
        <v>28440</v>
      </c>
      <c r="J90" s="188" t="s">
        <v>30</v>
      </c>
      <c r="K90" s="761">
        <f t="shared" si="5"/>
        <v>28440</v>
      </c>
      <c r="L90" s="761"/>
      <c r="M90" s="188" t="s">
        <v>30</v>
      </c>
      <c r="N90" s="184">
        <f t="shared" si="6"/>
        <v>28440</v>
      </c>
    </row>
    <row r="91" spans="1:15" ht="14.1" customHeight="1" thickTop="1" thickBot="1">
      <c r="A91" s="176"/>
      <c r="B91" s="176" t="s">
        <v>54</v>
      </c>
      <c r="C91" s="762" t="s">
        <v>355</v>
      </c>
      <c r="D91" s="762"/>
      <c r="E91" s="762"/>
      <c r="F91" s="762"/>
      <c r="G91" s="762"/>
      <c r="H91" s="177" t="s">
        <v>30</v>
      </c>
      <c r="I91" s="187">
        <f>IF(AND(H13=""),"",COMPUTATION!G22)</f>
        <v>0</v>
      </c>
      <c r="J91" s="188" t="s">
        <v>30</v>
      </c>
      <c r="K91" s="761">
        <f>I91</f>
        <v>0</v>
      </c>
      <c r="L91" s="761"/>
      <c r="M91" s="188" t="s">
        <v>30</v>
      </c>
      <c r="N91" s="184">
        <f t="shared" si="6"/>
        <v>0</v>
      </c>
    </row>
    <row r="92" spans="1:15" ht="14.1" customHeight="1" thickTop="1" thickBot="1">
      <c r="A92" s="176"/>
      <c r="B92" s="176" t="s">
        <v>179</v>
      </c>
      <c r="C92" s="762" t="s">
        <v>352</v>
      </c>
      <c r="D92" s="762"/>
      <c r="E92" s="762"/>
      <c r="F92" s="762"/>
      <c r="G92" s="762"/>
      <c r="H92" s="177" t="s">
        <v>30</v>
      </c>
      <c r="I92" s="187">
        <f>IF(AND(H14=""),"",COMPUTATION!G23)</f>
        <v>0</v>
      </c>
      <c r="J92" s="188" t="s">
        <v>30</v>
      </c>
      <c r="K92" s="761">
        <f t="shared" ref="K92:K100" si="7">I92</f>
        <v>0</v>
      </c>
      <c r="L92" s="761"/>
      <c r="M92" s="188" t="s">
        <v>30</v>
      </c>
      <c r="N92" s="184">
        <f t="shared" si="6"/>
        <v>0</v>
      </c>
    </row>
    <row r="93" spans="1:15" ht="14.1" customHeight="1" thickTop="1" thickBot="1">
      <c r="A93" s="176"/>
      <c r="B93" s="176" t="s">
        <v>183</v>
      </c>
      <c r="C93" s="762" t="s">
        <v>353</v>
      </c>
      <c r="D93" s="762"/>
      <c r="E93" s="762"/>
      <c r="F93" s="762"/>
      <c r="G93" s="762"/>
      <c r="H93" s="177" t="s">
        <v>30</v>
      </c>
      <c r="I93" s="187">
        <f>IF(AND(H15=""),"",COMPUTATION!G28)</f>
        <v>0</v>
      </c>
      <c r="J93" s="188" t="s">
        <v>30</v>
      </c>
      <c r="K93" s="761">
        <f t="shared" si="7"/>
        <v>0</v>
      </c>
      <c r="L93" s="761"/>
      <c r="M93" s="188" t="s">
        <v>30</v>
      </c>
      <c r="N93" s="184">
        <f t="shared" si="6"/>
        <v>0</v>
      </c>
    </row>
    <row r="94" spans="1:15" ht="14.1" customHeight="1" thickTop="1" thickBot="1">
      <c r="A94" s="176"/>
      <c r="B94" s="176" t="s">
        <v>169</v>
      </c>
      <c r="C94" s="762" t="s">
        <v>182</v>
      </c>
      <c r="D94" s="762"/>
      <c r="E94" s="762"/>
      <c r="F94" s="762"/>
      <c r="G94" s="762"/>
      <c r="H94" s="177" t="s">
        <v>30</v>
      </c>
      <c r="I94" s="187" t="str">
        <f>IF(AND(H16=""),"",COMPUTATION!M27)</f>
        <v/>
      </c>
      <c r="J94" s="188" t="s">
        <v>30</v>
      </c>
      <c r="K94" s="761" t="str">
        <f t="shared" si="7"/>
        <v/>
      </c>
      <c r="L94" s="761"/>
      <c r="M94" s="188" t="s">
        <v>30</v>
      </c>
      <c r="N94" s="184" t="str">
        <f t="shared" si="6"/>
        <v/>
      </c>
    </row>
    <row r="95" spans="1:15" ht="14.1" customHeight="1" thickTop="1" thickBot="1">
      <c r="A95" s="176"/>
      <c r="B95" s="176" t="s">
        <v>170</v>
      </c>
      <c r="C95" s="762" t="s">
        <v>172</v>
      </c>
      <c r="D95" s="762"/>
      <c r="E95" s="762"/>
      <c r="F95" s="762"/>
      <c r="G95" s="762"/>
      <c r="H95" s="177" t="s">
        <v>30</v>
      </c>
      <c r="I95" s="187" t="str">
        <f>IF(AND(H17=""),"",COMPUTATION!M22)</f>
        <v/>
      </c>
      <c r="J95" s="188" t="s">
        <v>30</v>
      </c>
      <c r="K95" s="761" t="str">
        <f t="shared" si="7"/>
        <v/>
      </c>
      <c r="L95" s="761"/>
      <c r="M95" s="188" t="s">
        <v>30</v>
      </c>
      <c r="N95" s="184" t="str">
        <f t="shared" si="6"/>
        <v/>
      </c>
    </row>
    <row r="96" spans="1:15" ht="14.1" customHeight="1" thickTop="1" thickBot="1">
      <c r="A96" s="176"/>
      <c r="B96" s="176" t="s">
        <v>171</v>
      </c>
      <c r="C96" s="762" t="s">
        <v>356</v>
      </c>
      <c r="D96" s="762"/>
      <c r="E96" s="762"/>
      <c r="F96" s="762"/>
      <c r="G96" s="762"/>
      <c r="H96" s="177" t="s">
        <v>30</v>
      </c>
      <c r="I96" s="187" t="str">
        <f>IF(AND(H18=""),"",COMPUTATION!M21)</f>
        <v/>
      </c>
      <c r="J96" s="188" t="s">
        <v>30</v>
      </c>
      <c r="K96" s="761" t="str">
        <f t="shared" si="7"/>
        <v/>
      </c>
      <c r="L96" s="761"/>
      <c r="M96" s="188" t="s">
        <v>30</v>
      </c>
      <c r="N96" s="184" t="str">
        <f t="shared" si="6"/>
        <v/>
      </c>
    </row>
    <row r="97" spans="1:14" ht="14.1" customHeight="1" thickTop="1" thickBot="1">
      <c r="A97" s="176"/>
      <c r="B97" s="176" t="s">
        <v>173</v>
      </c>
      <c r="C97" s="762" t="s">
        <v>144</v>
      </c>
      <c r="D97" s="762"/>
      <c r="E97" s="762"/>
      <c r="F97" s="762"/>
      <c r="G97" s="762"/>
      <c r="H97" s="177" t="s">
        <v>30</v>
      </c>
      <c r="I97" s="187">
        <f>IF(AND(H7=""),"",COMPUTATION!M28)</f>
        <v>0</v>
      </c>
      <c r="J97" s="188" t="s">
        <v>30</v>
      </c>
      <c r="K97" s="761">
        <f t="shared" si="7"/>
        <v>0</v>
      </c>
      <c r="L97" s="761"/>
      <c r="M97" s="188" t="s">
        <v>30</v>
      </c>
      <c r="N97" s="184">
        <f t="shared" si="6"/>
        <v>0</v>
      </c>
    </row>
    <row r="98" spans="1:14" ht="14.1" customHeight="1" thickTop="1" thickBot="1">
      <c r="A98" s="379"/>
      <c r="B98" s="379" t="s">
        <v>175</v>
      </c>
      <c r="C98" s="876" t="s">
        <v>451</v>
      </c>
      <c r="D98" s="877"/>
      <c r="E98" s="877"/>
      <c r="F98" s="877"/>
      <c r="G98" s="878"/>
      <c r="H98" s="177" t="s">
        <v>30</v>
      </c>
      <c r="I98" s="187">
        <f>IF(AND(H8=""),"",COMPUTATION!M26)</f>
        <v>0</v>
      </c>
      <c r="J98" s="188" t="s">
        <v>30</v>
      </c>
      <c r="K98" s="761">
        <f t="shared" ref="K98" si="8">I98</f>
        <v>0</v>
      </c>
      <c r="L98" s="761"/>
      <c r="M98" s="188" t="s">
        <v>30</v>
      </c>
      <c r="N98" s="184">
        <f t="shared" si="6"/>
        <v>0</v>
      </c>
    </row>
    <row r="99" spans="1:14" ht="14.1" customHeight="1" thickTop="1" thickBot="1">
      <c r="A99" s="176"/>
      <c r="B99" s="186" t="s">
        <v>127</v>
      </c>
      <c r="C99" s="796" t="s">
        <v>309</v>
      </c>
      <c r="D99" s="796"/>
      <c r="E99" s="796"/>
      <c r="F99" s="796"/>
      <c r="G99" s="796"/>
      <c r="H99" s="177" t="s">
        <v>30</v>
      </c>
      <c r="I99" s="187">
        <f>IF(AND(H7=""),"",COMPUTATION!O32)</f>
        <v>28440</v>
      </c>
      <c r="J99" s="188" t="s">
        <v>30</v>
      </c>
      <c r="K99" s="761">
        <f t="shared" si="7"/>
        <v>28440</v>
      </c>
      <c r="L99" s="761"/>
      <c r="M99" s="188" t="s">
        <v>30</v>
      </c>
      <c r="N99" s="184">
        <f t="shared" si="6"/>
        <v>28440</v>
      </c>
    </row>
    <row r="100" spans="1:14" ht="14.1" customHeight="1" thickTop="1" thickBot="1">
      <c r="A100" s="176"/>
      <c r="B100" s="185" t="s">
        <v>357</v>
      </c>
      <c r="C100" s="796" t="s">
        <v>358</v>
      </c>
      <c r="D100" s="869"/>
      <c r="E100" s="869"/>
      <c r="F100" s="869"/>
      <c r="G100" s="869"/>
      <c r="H100" s="177" t="s">
        <v>30</v>
      </c>
      <c r="I100" s="187">
        <f>IF(AND(H8=""),"",COMPUTATION!O33)</f>
        <v>0</v>
      </c>
      <c r="J100" s="189" t="s">
        <v>30</v>
      </c>
      <c r="K100" s="761">
        <f t="shared" si="7"/>
        <v>0</v>
      </c>
      <c r="L100" s="761"/>
      <c r="M100" s="189" t="s">
        <v>30</v>
      </c>
      <c r="N100" s="184">
        <f t="shared" si="6"/>
        <v>0</v>
      </c>
    </row>
    <row r="101" spans="1:14" ht="15.75" customHeight="1" thickTop="1" thickBot="1">
      <c r="A101" s="179" t="s">
        <v>55</v>
      </c>
      <c r="B101" s="190"/>
      <c r="C101" s="868" t="s">
        <v>56</v>
      </c>
      <c r="D101" s="868"/>
      <c r="E101" s="868"/>
      <c r="F101" s="868"/>
      <c r="G101" s="868"/>
      <c r="H101" s="868"/>
      <c r="I101" s="868"/>
      <c r="J101" s="868"/>
      <c r="K101" s="868"/>
      <c r="L101" s="868"/>
      <c r="M101" s="868"/>
      <c r="N101" s="868"/>
    </row>
    <row r="102" spans="1:14" ht="15" customHeight="1" thickTop="1" thickBot="1">
      <c r="A102" s="174"/>
      <c r="B102" s="174"/>
      <c r="C102" s="868" t="s">
        <v>57</v>
      </c>
      <c r="D102" s="868"/>
      <c r="E102" s="868"/>
      <c r="F102" s="868"/>
      <c r="G102" s="868"/>
      <c r="H102" s="868"/>
      <c r="I102" s="868"/>
      <c r="J102" s="868"/>
      <c r="K102" s="868"/>
      <c r="L102" s="868"/>
      <c r="M102" s="868"/>
      <c r="N102" s="868"/>
    </row>
    <row r="103" spans="1:14" ht="18" customHeight="1" thickTop="1" thickBot="1">
      <c r="A103" s="191" t="s">
        <v>127</v>
      </c>
      <c r="B103" s="870" t="s">
        <v>128</v>
      </c>
      <c r="C103" s="870"/>
      <c r="D103" s="870"/>
      <c r="E103" s="870"/>
      <c r="F103" s="870"/>
      <c r="G103" s="870"/>
      <c r="H103" s="870"/>
      <c r="I103" s="870"/>
      <c r="J103" s="870"/>
      <c r="K103" s="870"/>
      <c r="L103" s="870"/>
      <c r="M103" s="870"/>
      <c r="N103" s="870"/>
    </row>
    <row r="104" spans="1:14" ht="16.5" thickTop="1" thickBot="1">
      <c r="A104" s="178"/>
      <c r="B104" s="812"/>
      <c r="C104" s="812"/>
      <c r="D104" s="812"/>
      <c r="E104" s="812"/>
      <c r="F104" s="812"/>
      <c r="G104" s="812"/>
      <c r="H104" s="857" t="s">
        <v>45</v>
      </c>
      <c r="I104" s="857"/>
      <c r="J104" s="857" t="s">
        <v>129</v>
      </c>
      <c r="K104" s="857"/>
      <c r="L104" s="857"/>
      <c r="M104" s="857" t="s">
        <v>46</v>
      </c>
      <c r="N104" s="857"/>
    </row>
    <row r="105" spans="1:14" ht="14.1" customHeight="1" thickTop="1" thickBot="1">
      <c r="A105" s="178"/>
      <c r="B105" s="178" t="s">
        <v>130</v>
      </c>
      <c r="C105" s="866" t="s">
        <v>145</v>
      </c>
      <c r="D105" s="866"/>
      <c r="E105" s="866" t="s">
        <v>59</v>
      </c>
      <c r="F105" s="866"/>
      <c r="G105" s="866"/>
      <c r="H105" s="178" t="s">
        <v>30</v>
      </c>
      <c r="I105" s="466">
        <f>COMPUTATION!M36</f>
        <v>0</v>
      </c>
      <c r="J105" s="178" t="s">
        <v>30</v>
      </c>
      <c r="K105" s="812">
        <f>I105</f>
        <v>0</v>
      </c>
      <c r="L105" s="812"/>
      <c r="M105" s="178" t="s">
        <v>30</v>
      </c>
      <c r="N105" s="192">
        <f>I105</f>
        <v>0</v>
      </c>
    </row>
    <row r="106" spans="1:14" ht="14.1" customHeight="1" thickTop="1" thickBot="1">
      <c r="A106" s="178"/>
      <c r="B106" s="178" t="s">
        <v>131</v>
      </c>
      <c r="C106" s="866" t="s">
        <v>145</v>
      </c>
      <c r="D106" s="866"/>
      <c r="E106" s="866" t="s">
        <v>359</v>
      </c>
      <c r="F106" s="866"/>
      <c r="G106" s="866"/>
      <c r="H106" s="178" t="s">
        <v>30</v>
      </c>
      <c r="I106" s="466">
        <f>COMPUTATION!M37</f>
        <v>0</v>
      </c>
      <c r="J106" s="178" t="s">
        <v>30</v>
      </c>
      <c r="K106" s="812">
        <f t="shared" ref="K106:K111" si="9">I106</f>
        <v>0</v>
      </c>
      <c r="L106" s="812"/>
      <c r="M106" s="178" t="s">
        <v>30</v>
      </c>
      <c r="N106" s="192">
        <f t="shared" ref="N106:N111" si="10">I106</f>
        <v>0</v>
      </c>
    </row>
    <row r="107" spans="1:14" ht="14.1" customHeight="1" thickTop="1" thickBot="1">
      <c r="A107" s="178"/>
      <c r="B107" s="178" t="s">
        <v>132</v>
      </c>
      <c r="C107" s="866" t="s">
        <v>145</v>
      </c>
      <c r="D107" s="866"/>
      <c r="E107" s="866" t="s">
        <v>64</v>
      </c>
      <c r="F107" s="866"/>
      <c r="G107" s="866"/>
      <c r="H107" s="178" t="s">
        <v>30</v>
      </c>
      <c r="I107" s="466">
        <f>COMPUTATION!M38</f>
        <v>0</v>
      </c>
      <c r="J107" s="178" t="s">
        <v>30</v>
      </c>
      <c r="K107" s="812">
        <f t="shared" si="9"/>
        <v>0</v>
      </c>
      <c r="L107" s="812"/>
      <c r="M107" s="178" t="s">
        <v>30</v>
      </c>
      <c r="N107" s="192">
        <f t="shared" si="10"/>
        <v>0</v>
      </c>
    </row>
    <row r="108" spans="1:14" ht="14.1" customHeight="1" thickTop="1" thickBot="1">
      <c r="A108" s="178"/>
      <c r="B108" s="178" t="s">
        <v>133</v>
      </c>
      <c r="C108" s="866" t="s">
        <v>145</v>
      </c>
      <c r="D108" s="866"/>
      <c r="E108" s="866" t="s">
        <v>360</v>
      </c>
      <c r="F108" s="866"/>
      <c r="G108" s="866"/>
      <c r="H108" s="178" t="s">
        <v>30</v>
      </c>
      <c r="I108" s="466">
        <f>COMPUTATION!M39</f>
        <v>0</v>
      </c>
      <c r="J108" s="178" t="s">
        <v>30</v>
      </c>
      <c r="K108" s="812">
        <f t="shared" si="9"/>
        <v>0</v>
      </c>
      <c r="L108" s="812"/>
      <c r="M108" s="178" t="s">
        <v>30</v>
      </c>
      <c r="N108" s="192">
        <f t="shared" si="10"/>
        <v>0</v>
      </c>
    </row>
    <row r="109" spans="1:14" ht="14.1" customHeight="1" thickTop="1" thickBot="1">
      <c r="A109" s="178"/>
      <c r="B109" s="195" t="s">
        <v>134</v>
      </c>
      <c r="C109" s="866" t="s">
        <v>145</v>
      </c>
      <c r="D109" s="866"/>
      <c r="E109" s="866" t="s">
        <v>58</v>
      </c>
      <c r="F109" s="866"/>
      <c r="G109" s="866"/>
      <c r="H109" s="178" t="s">
        <v>30</v>
      </c>
      <c r="I109" s="466">
        <f>COMPUTATION!M40</f>
        <v>0</v>
      </c>
      <c r="J109" s="178" t="s">
        <v>30</v>
      </c>
      <c r="K109" s="812">
        <f t="shared" si="9"/>
        <v>0</v>
      </c>
      <c r="L109" s="812"/>
      <c r="M109" s="178" t="s">
        <v>30</v>
      </c>
      <c r="N109" s="192">
        <f t="shared" si="10"/>
        <v>0</v>
      </c>
    </row>
    <row r="110" spans="1:14" ht="14.1" customHeight="1" thickTop="1" thickBot="1">
      <c r="A110" s="178"/>
      <c r="B110" s="195" t="s">
        <v>361</v>
      </c>
      <c r="C110" s="866" t="s">
        <v>145</v>
      </c>
      <c r="D110" s="866"/>
      <c r="E110" s="866" t="s">
        <v>363</v>
      </c>
      <c r="F110" s="866"/>
      <c r="G110" s="866"/>
      <c r="H110" s="178" t="s">
        <v>30</v>
      </c>
      <c r="I110" s="466">
        <f>COMPUTATION!M41</f>
        <v>0</v>
      </c>
      <c r="J110" s="178" t="s">
        <v>30</v>
      </c>
      <c r="K110" s="812">
        <f t="shared" si="9"/>
        <v>0</v>
      </c>
      <c r="L110" s="812"/>
      <c r="M110" s="178" t="s">
        <v>30</v>
      </c>
      <c r="N110" s="192">
        <f t="shared" si="10"/>
        <v>0</v>
      </c>
    </row>
    <row r="111" spans="1:14" ht="14.1" customHeight="1" thickTop="1" thickBot="1">
      <c r="A111" s="178"/>
      <c r="B111" s="195" t="s">
        <v>362</v>
      </c>
      <c r="C111" s="866" t="s">
        <v>145</v>
      </c>
      <c r="D111" s="866"/>
      <c r="E111" s="866" t="s">
        <v>63</v>
      </c>
      <c r="F111" s="866"/>
      <c r="G111" s="866"/>
      <c r="H111" s="178" t="s">
        <v>30</v>
      </c>
      <c r="I111" s="466">
        <f>COMPUTATION!M42</f>
        <v>0</v>
      </c>
      <c r="J111" s="178" t="s">
        <v>30</v>
      </c>
      <c r="K111" s="812">
        <f t="shared" si="9"/>
        <v>0</v>
      </c>
      <c r="L111" s="812"/>
      <c r="M111" s="178" t="s">
        <v>30</v>
      </c>
      <c r="N111" s="192">
        <f t="shared" si="10"/>
        <v>0</v>
      </c>
    </row>
    <row r="112" spans="1:14" ht="27.75" customHeight="1" thickTop="1" thickBot="1">
      <c r="A112" s="178"/>
      <c r="B112" s="880" t="s">
        <v>135</v>
      </c>
      <c r="C112" s="880"/>
      <c r="D112" s="880"/>
      <c r="E112" s="880"/>
      <c r="F112" s="880"/>
      <c r="G112" s="880"/>
      <c r="H112" s="880"/>
      <c r="I112" s="880"/>
      <c r="J112" s="880"/>
      <c r="K112" s="880"/>
      <c r="L112" s="880"/>
      <c r="M112" s="880"/>
      <c r="N112" s="880"/>
    </row>
    <row r="113" spans="1:15" ht="17.100000000000001" customHeight="1" thickTop="1" thickBot="1">
      <c r="A113" s="191">
        <v>10</v>
      </c>
      <c r="B113" s="875" t="s">
        <v>136</v>
      </c>
      <c r="C113" s="875"/>
      <c r="D113" s="875"/>
      <c r="E113" s="875"/>
      <c r="F113" s="875"/>
      <c r="G113" s="875"/>
      <c r="H113" s="875"/>
      <c r="I113" s="875"/>
      <c r="J113" s="875"/>
      <c r="K113" s="875"/>
      <c r="L113" s="875"/>
      <c r="M113" s="178" t="s">
        <v>30</v>
      </c>
      <c r="N113" s="193">
        <f>IF(AND(H7=""),"",COMPUTATION!O45)</f>
        <v>56880</v>
      </c>
    </row>
    <row r="114" spans="1:15" ht="17.100000000000001" customHeight="1" thickTop="1" thickBot="1">
      <c r="A114" s="191">
        <v>11</v>
      </c>
      <c r="B114" s="875" t="s">
        <v>137</v>
      </c>
      <c r="C114" s="875"/>
      <c r="D114" s="875"/>
      <c r="E114" s="875"/>
      <c r="F114" s="875"/>
      <c r="G114" s="875"/>
      <c r="H114" s="875"/>
      <c r="I114" s="875"/>
      <c r="J114" s="875"/>
      <c r="K114" s="875"/>
      <c r="L114" s="875"/>
      <c r="M114" s="178" t="s">
        <v>30</v>
      </c>
      <c r="N114" s="193">
        <f>ROUND(N81-N113,0)</f>
        <v>215960</v>
      </c>
    </row>
    <row r="115" spans="1:15" ht="17.100000000000001" customHeight="1" thickTop="1" thickBot="1">
      <c r="A115" s="191">
        <v>12</v>
      </c>
      <c r="B115" s="875" t="s">
        <v>138</v>
      </c>
      <c r="C115" s="875"/>
      <c r="D115" s="875"/>
      <c r="E115" s="875"/>
      <c r="F115" s="875"/>
      <c r="G115" s="875"/>
      <c r="H115" s="875"/>
      <c r="I115" s="875"/>
      <c r="J115" s="875"/>
      <c r="K115" s="875"/>
      <c r="L115" s="875"/>
      <c r="M115" s="178" t="s">
        <v>30</v>
      </c>
      <c r="N115" s="193">
        <f>IF(AND(H7=""),"",COMPUTATION!O54)</f>
        <v>0</v>
      </c>
    </row>
    <row r="116" spans="1:15" ht="17.100000000000001" customHeight="1" thickTop="1" thickBot="1">
      <c r="A116" s="191">
        <v>13</v>
      </c>
      <c r="B116" s="875" t="s">
        <v>400</v>
      </c>
      <c r="C116" s="875"/>
      <c r="D116" s="875"/>
      <c r="E116" s="875"/>
      <c r="F116" s="875"/>
      <c r="G116" s="875"/>
      <c r="H116" s="875"/>
      <c r="I116" s="875"/>
      <c r="J116" s="875"/>
      <c r="K116" s="875"/>
      <c r="L116" s="875"/>
      <c r="M116" s="178" t="s">
        <v>30</v>
      </c>
      <c r="N116" s="323">
        <f>IF(AND(H7=""),"",COMPUTATION!O55)</f>
        <v>0</v>
      </c>
    </row>
    <row r="117" spans="1:15" ht="17.100000000000001" customHeight="1" thickTop="1" thickBot="1">
      <c r="A117" s="191">
        <v>14</v>
      </c>
      <c r="B117" s="875" t="s">
        <v>534</v>
      </c>
      <c r="C117" s="875"/>
      <c r="D117" s="875"/>
      <c r="E117" s="875"/>
      <c r="F117" s="875"/>
      <c r="G117" s="875"/>
      <c r="H117" s="875"/>
      <c r="I117" s="875"/>
      <c r="J117" s="875"/>
      <c r="K117" s="875"/>
      <c r="L117" s="875"/>
      <c r="M117" s="178" t="s">
        <v>30</v>
      </c>
      <c r="N117" s="194">
        <f>IF(AND(H7=""),"",COMPUTATION!O57)</f>
        <v>0</v>
      </c>
    </row>
    <row r="118" spans="1:15" ht="17.100000000000001" customHeight="1" thickTop="1" thickBot="1">
      <c r="A118" s="191">
        <v>15</v>
      </c>
      <c r="B118" s="875" t="s">
        <v>139</v>
      </c>
      <c r="C118" s="875"/>
      <c r="D118" s="875"/>
      <c r="E118" s="875"/>
      <c r="F118" s="875"/>
      <c r="G118" s="875"/>
      <c r="H118" s="875"/>
      <c r="I118" s="875"/>
      <c r="J118" s="875"/>
      <c r="K118" s="875"/>
      <c r="L118" s="875"/>
      <c r="M118" s="178" t="s">
        <v>30</v>
      </c>
      <c r="N118" s="194">
        <f>N115+N117</f>
        <v>0</v>
      </c>
    </row>
    <row r="119" spans="1:15" ht="17.100000000000001" customHeight="1" thickTop="1" thickBot="1">
      <c r="A119" s="191">
        <v>16</v>
      </c>
      <c r="B119" s="875" t="s">
        <v>140</v>
      </c>
      <c r="C119" s="875"/>
      <c r="D119" s="875"/>
      <c r="E119" s="875"/>
      <c r="F119" s="875"/>
      <c r="G119" s="875"/>
      <c r="H119" s="875"/>
      <c r="I119" s="875"/>
      <c r="J119" s="875"/>
      <c r="K119" s="875"/>
      <c r="L119" s="875"/>
      <c r="M119" s="178" t="s">
        <v>30</v>
      </c>
      <c r="N119" s="193" t="str">
        <f>IF(AND(H7=""),"",COMPUTATION!O59)</f>
        <v>0</v>
      </c>
    </row>
    <row r="120" spans="1:15" ht="17.100000000000001" customHeight="1" thickTop="1" thickBot="1">
      <c r="A120" s="191">
        <v>17</v>
      </c>
      <c r="B120" s="875" t="s">
        <v>559</v>
      </c>
      <c r="C120" s="875"/>
      <c r="D120" s="875"/>
      <c r="E120" s="875"/>
      <c r="F120" s="875"/>
      <c r="G120" s="875"/>
      <c r="H120" s="875"/>
      <c r="I120" s="875"/>
      <c r="J120" s="875"/>
      <c r="K120" s="875"/>
      <c r="L120" s="875"/>
      <c r="M120" s="178" t="s">
        <v>30</v>
      </c>
      <c r="N120" s="194">
        <f>IF(AND(H7=""),"",COMPUTATION!O60)</f>
        <v>0</v>
      </c>
    </row>
    <row r="121" spans="1:15" ht="17.100000000000001" customHeight="1" thickTop="1" thickBot="1">
      <c r="A121" s="191">
        <v>18</v>
      </c>
      <c r="B121" s="875" t="s">
        <v>312</v>
      </c>
      <c r="C121" s="875"/>
      <c r="D121" s="875"/>
      <c r="E121" s="875"/>
      <c r="F121" s="875"/>
      <c r="G121" s="875"/>
      <c r="H121" s="875"/>
      <c r="I121" s="875"/>
      <c r="J121" s="875"/>
      <c r="K121" s="875"/>
      <c r="L121" s="875"/>
      <c r="M121" s="178" t="s">
        <v>30</v>
      </c>
      <c r="N121" s="193">
        <f>IF(AND(H7=""),"",COMPUTATION!O62)</f>
        <v>0</v>
      </c>
    </row>
    <row r="122" spans="1:15" ht="17.100000000000001" customHeight="1" thickTop="1" thickBot="1">
      <c r="A122" s="191">
        <v>19</v>
      </c>
      <c r="B122" s="873" t="str">
        <f>IF(N120&gt;N121,"Income Tax Payable",IF(N120&lt;N121,"Income Tax Refundable","Income Tax Payble/Refundable"))</f>
        <v>Income Tax Payble/Refundable</v>
      </c>
      <c r="C122" s="873"/>
      <c r="D122" s="873"/>
      <c r="E122" s="873"/>
      <c r="F122" s="873"/>
      <c r="G122" s="873"/>
      <c r="H122" s="873"/>
      <c r="I122" s="873"/>
      <c r="J122" s="873"/>
      <c r="K122" s="873"/>
      <c r="L122" s="873"/>
      <c r="M122" s="178" t="s">
        <v>30</v>
      </c>
      <c r="N122" s="193">
        <f>IF(N120&gt;N121,N120-N121,N121-N120)</f>
        <v>0</v>
      </c>
    </row>
    <row r="123" spans="1:15" ht="17.100000000000001" customHeight="1" thickTop="1">
      <c r="A123" s="159"/>
      <c r="B123" s="159"/>
      <c r="C123" s="159"/>
      <c r="D123" s="159"/>
      <c r="E123" s="159"/>
      <c r="F123" s="805" t="s">
        <v>93</v>
      </c>
      <c r="G123" s="805"/>
      <c r="H123" s="805"/>
      <c r="I123" s="805"/>
      <c r="J123" s="805"/>
      <c r="K123" s="159"/>
      <c r="L123" s="159"/>
      <c r="M123" s="159"/>
      <c r="N123" s="159"/>
      <c r="O123" s="126"/>
    </row>
    <row r="124" spans="1:15" ht="18.75" customHeight="1">
      <c r="A124" s="162" t="s">
        <v>66</v>
      </c>
      <c r="B124" s="803" t="str">
        <f>UPPER(IF(Master!D17="","",(Master!D17)))</f>
        <v>GIRDHARI RAM VISHNOI</v>
      </c>
      <c r="C124" s="803"/>
      <c r="D124" s="803"/>
      <c r="E124" s="803"/>
      <c r="F124" s="803"/>
      <c r="G124" s="820" t="s">
        <v>94</v>
      </c>
      <c r="H124" s="820"/>
      <c r="I124" s="820"/>
      <c r="J124" s="820"/>
      <c r="K124" s="803" t="str">
        <f>UPPER(IF(Master!H17="","",(Master!H17)))</f>
        <v/>
      </c>
      <c r="L124" s="803"/>
      <c r="M124" s="803"/>
      <c r="N124" s="803"/>
      <c r="O124" s="126"/>
    </row>
    <row r="125" spans="1:15" ht="18" customHeight="1">
      <c r="A125" s="820" t="s">
        <v>95</v>
      </c>
      <c r="B125" s="820"/>
      <c r="C125" s="820"/>
      <c r="D125" s="820"/>
      <c r="E125" s="820"/>
      <c r="F125" s="803" t="str">
        <f>UPPER(IF(Master!D16="","",Master!D16))</f>
        <v>PEEO , GSSS, BARAKHURD (OSIYA), JODHPUR</v>
      </c>
      <c r="G125" s="803"/>
      <c r="H125" s="803"/>
      <c r="I125" s="803"/>
      <c r="J125" s="874" t="s">
        <v>310</v>
      </c>
      <c r="K125" s="874"/>
      <c r="L125" s="874"/>
      <c r="M125" s="874"/>
      <c r="N125" s="874"/>
      <c r="O125" s="126"/>
    </row>
    <row r="126" spans="1:15" ht="31.5" customHeight="1" thickBot="1">
      <c r="A126" s="879" t="s">
        <v>311</v>
      </c>
      <c r="B126" s="879"/>
      <c r="C126" s="879"/>
      <c r="D126" s="879"/>
      <c r="E126" s="879"/>
      <c r="F126" s="879"/>
      <c r="G126" s="879"/>
      <c r="H126" s="879"/>
      <c r="I126" s="879"/>
      <c r="J126" s="879"/>
      <c r="K126" s="879"/>
      <c r="L126" s="879"/>
      <c r="M126" s="879"/>
      <c r="N126" s="879"/>
      <c r="O126" s="126"/>
    </row>
    <row r="127" spans="1:15" ht="28.5" customHeight="1" thickTop="1" thickBot="1">
      <c r="A127" s="845" t="s">
        <v>99</v>
      </c>
      <c r="B127" s="845"/>
      <c r="C127" s="824"/>
      <c r="D127" s="824"/>
      <c r="E127" s="824"/>
      <c r="F127" s="824"/>
      <c r="G127" s="824"/>
      <c r="H127" s="824"/>
      <c r="I127" s="807" t="s">
        <v>101</v>
      </c>
      <c r="J127" s="807"/>
      <c r="K127" s="807"/>
      <c r="L127" s="807"/>
      <c r="M127" s="807"/>
      <c r="N127" s="807"/>
    </row>
    <row r="128" spans="1:15" ht="27.75" customHeight="1" thickTop="1" thickBot="1">
      <c r="A128" s="845" t="s">
        <v>2</v>
      </c>
      <c r="B128" s="845"/>
      <c r="C128" s="846">
        <f ca="1">TODAY()</f>
        <v>43457</v>
      </c>
      <c r="D128" s="847"/>
      <c r="E128" s="847"/>
      <c r="F128" s="847"/>
      <c r="G128" s="847"/>
      <c r="H128" s="848"/>
      <c r="I128" s="807"/>
      <c r="J128" s="807"/>
      <c r="K128" s="807"/>
      <c r="L128" s="807"/>
      <c r="M128" s="807"/>
      <c r="N128" s="807"/>
    </row>
    <row r="129" spans="1:14" ht="34.5" customHeight="1" thickTop="1" thickBot="1">
      <c r="A129" s="845" t="s">
        <v>6</v>
      </c>
      <c r="B129" s="845"/>
      <c r="C129" s="845"/>
      <c r="D129" s="806" t="str">
        <f>UPPER(IF(Master!D16="","",Master!D16))</f>
        <v>PEEO , GSSS, BARAKHURD (OSIYA), JODHPUR</v>
      </c>
      <c r="E129" s="806"/>
      <c r="F129" s="806"/>
      <c r="G129" s="806"/>
      <c r="H129" s="806"/>
      <c r="I129" s="804" t="s">
        <v>100</v>
      </c>
      <c r="J129" s="804"/>
      <c r="K129" s="808" t="str">
        <f>IF(AND(Master!D17=""),"",CONCATENATE("( ",UPPER(Master!D17)," )"))</f>
        <v>( GIRDHARI RAM VISHNOI )</v>
      </c>
      <c r="L129" s="808"/>
      <c r="M129" s="808"/>
      <c r="N129" s="808"/>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zoomScale="90" zoomScaleNormal="90" workbookViewId="0">
      <selection activeCell="I4" sqref="I4"/>
    </sheetView>
  </sheetViews>
  <sheetFormatPr defaultColWidth="0" defaultRowHeight="1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5" width="35.7109375" style="3" customWidth="1"/>
    <col min="16" max="18" width="35.7109375" style="3" hidden="1" customWidth="1"/>
    <col min="19" max="19" width="35.7109375" style="6" hidden="1" customWidth="1"/>
    <col min="20" max="23" width="35.7109375" style="1" hidden="1" customWidth="1"/>
    <col min="24" max="25" width="9.140625" style="1" hidden="1" customWidth="1"/>
    <col min="26" max="26" width="0" style="1" hidden="1" customWidth="1"/>
    <col min="27" max="32" width="9.140625" style="1" hidden="1" customWidth="1"/>
    <col min="33" max="34" width="0" style="1" hidden="1" customWidth="1"/>
    <col min="35" max="67" width="9.140625" style="1" hidden="1" customWidth="1"/>
    <col min="68" max="68" width="8.28515625" style="1" hidden="1" customWidth="1"/>
    <col min="69" max="69" width="0" style="1" hidden="1" customWidth="1"/>
    <col min="70" max="70" width="9.7109375" style="1" hidden="1" customWidth="1"/>
    <col min="71" max="79" width="9.140625" style="1" hidden="1" customWidth="1"/>
    <col min="80" max="3453" width="0" style="4" hidden="1" customWidth="1"/>
    <col min="3454" max="16384" width="0" style="4" hidden="1"/>
  </cols>
  <sheetData>
    <row r="1" spans="1:79" s="30" customFormat="1" ht="35.25" customHeight="1" thickTop="1" thickBot="1">
      <c r="A1" s="301"/>
      <c r="B1" s="302"/>
      <c r="C1" s="514" t="s">
        <v>242</v>
      </c>
      <c r="D1" s="514"/>
      <c r="E1" s="514"/>
      <c r="F1" s="514"/>
      <c r="G1" s="514"/>
      <c r="H1" s="514"/>
      <c r="I1" s="303"/>
      <c r="J1" s="304"/>
      <c r="K1" s="305"/>
      <c r="L1" s="31"/>
      <c r="M1" s="31"/>
      <c r="N1" s="31"/>
      <c r="O1" s="31"/>
      <c r="P1" s="31"/>
      <c r="Q1" s="31"/>
      <c r="R1" s="31"/>
      <c r="S1" s="31"/>
      <c r="AC1" s="455" t="b">
        <v>0</v>
      </c>
      <c r="AD1" s="455" t="b">
        <v>0</v>
      </c>
      <c r="AE1" s="455" t="b">
        <v>0</v>
      </c>
      <c r="AF1" s="455" t="b">
        <v>1</v>
      </c>
      <c r="BJ1" s="30" t="s">
        <v>88</v>
      </c>
    </row>
    <row r="2" spans="1:79" s="30" customFormat="1" ht="21" customHeight="1" thickTop="1" thickBot="1">
      <c r="A2" s="306"/>
      <c r="B2" s="517" t="s">
        <v>526</v>
      </c>
      <c r="C2" s="517"/>
      <c r="D2" s="447"/>
      <c r="E2" s="448" t="str">
        <f>IF(AND(AC1=AG3),AB2,IF(AND(AD1=AG3),AB3,""))</f>
        <v/>
      </c>
      <c r="F2" s="515" t="s">
        <v>386</v>
      </c>
      <c r="G2" s="515"/>
      <c r="H2" s="515"/>
      <c r="I2" s="449" t="s">
        <v>251</v>
      </c>
      <c r="J2" s="58"/>
      <c r="K2" s="307"/>
      <c r="L2" s="31"/>
      <c r="M2" s="31"/>
      <c r="N2" s="31"/>
      <c r="O2" s="31"/>
      <c r="P2" s="31"/>
      <c r="Q2" s="31"/>
      <c r="R2" s="31"/>
      <c r="S2" s="31"/>
      <c r="AB2" s="30" t="s">
        <v>238</v>
      </c>
      <c r="AC2" s="30" t="s">
        <v>7</v>
      </c>
      <c r="AD2" s="30">
        <v>5</v>
      </c>
      <c r="AE2" s="30">
        <v>8</v>
      </c>
      <c r="BJ2" s="30" t="s">
        <v>92</v>
      </c>
    </row>
    <row r="3" spans="1:79" s="30" customFormat="1" ht="21" customHeight="1" thickTop="1" thickBot="1">
      <c r="A3" s="306"/>
      <c r="B3" s="516" t="s">
        <v>527</v>
      </c>
      <c r="C3" s="516"/>
      <c r="D3" s="516"/>
      <c r="E3" s="452" t="s">
        <v>257</v>
      </c>
      <c r="F3" s="517" t="s">
        <v>530</v>
      </c>
      <c r="G3" s="517"/>
      <c r="H3" s="447"/>
      <c r="I3" s="448" t="str">
        <f>IF(AND(AE1=AG3),AB2,IF(AND(AF1=AG3),AB3,""))</f>
        <v>NO</v>
      </c>
      <c r="J3" s="472">
        <v>6774</v>
      </c>
      <c r="K3" s="307"/>
      <c r="L3" s="31"/>
      <c r="M3" s="31"/>
      <c r="N3" s="31"/>
      <c r="O3" s="31"/>
      <c r="P3" s="31"/>
      <c r="Q3" s="31"/>
      <c r="R3" s="31"/>
      <c r="S3" s="31"/>
      <c r="AB3" s="30" t="s">
        <v>239</v>
      </c>
      <c r="AC3" s="30" t="s">
        <v>153</v>
      </c>
      <c r="AD3" s="30">
        <v>10</v>
      </c>
      <c r="AE3" s="30">
        <v>9</v>
      </c>
      <c r="AG3" s="455" t="b">
        <v>1</v>
      </c>
    </row>
    <row r="4" spans="1:79" s="30" customFormat="1" ht="21" customHeight="1" thickTop="1" thickBot="1">
      <c r="A4" s="306"/>
      <c r="B4" s="517" t="s">
        <v>255</v>
      </c>
      <c r="C4" s="517"/>
      <c r="D4" s="517"/>
      <c r="E4" s="453">
        <v>10</v>
      </c>
      <c r="F4" s="517" t="s">
        <v>531</v>
      </c>
      <c r="G4" s="517"/>
      <c r="H4" s="446"/>
      <c r="I4" s="450" t="s">
        <v>241</v>
      </c>
      <c r="J4" s="58"/>
      <c r="K4" s="307"/>
      <c r="L4" s="31"/>
      <c r="M4" s="31"/>
      <c r="N4" s="31"/>
      <c r="O4" s="31"/>
      <c r="P4" s="31"/>
      <c r="Q4" s="31"/>
      <c r="R4" s="31"/>
      <c r="S4" s="31"/>
      <c r="AD4" s="30">
        <v>15</v>
      </c>
      <c r="AE4" s="30">
        <v>10</v>
      </c>
    </row>
    <row r="5" spans="1:79" s="30" customFormat="1" ht="21" customHeight="1" thickTop="1" thickBot="1">
      <c r="A5" s="306"/>
      <c r="B5" s="517" t="s">
        <v>256</v>
      </c>
      <c r="C5" s="517"/>
      <c r="D5" s="517"/>
      <c r="E5" s="453">
        <v>8</v>
      </c>
      <c r="F5" s="517" t="s">
        <v>529</v>
      </c>
      <c r="G5" s="517"/>
      <c r="H5" s="447"/>
      <c r="I5" s="451" t="str">
        <f>IF(AND(AF9=AG3),AC2,IF(AND(AG9=AG3),AC3,""))</f>
        <v>NPS</v>
      </c>
      <c r="J5" s="58"/>
      <c r="K5" s="307"/>
      <c r="L5" s="31"/>
      <c r="M5" s="31"/>
      <c r="N5" s="31"/>
      <c r="O5" s="31"/>
      <c r="P5" s="31"/>
      <c r="Q5" s="31"/>
      <c r="R5" s="31"/>
      <c r="S5" s="31"/>
      <c r="AB5" s="30">
        <v>1</v>
      </c>
      <c r="AC5" s="30" t="s">
        <v>253</v>
      </c>
      <c r="AD5" s="30">
        <v>20</v>
      </c>
      <c r="AE5" s="30">
        <v>16</v>
      </c>
    </row>
    <row r="6" spans="1:79" s="30" customFormat="1" ht="21" customHeight="1" thickTop="1" thickBot="1">
      <c r="A6" s="306"/>
      <c r="B6" s="516" t="s">
        <v>528</v>
      </c>
      <c r="C6" s="516"/>
      <c r="D6" s="447"/>
      <c r="E6" s="448" t="str">
        <f>IF(AND(AF10=AG3),AB2,IF(AND(AG10=AG3),AB3,""))</f>
        <v>NO</v>
      </c>
      <c r="F6" s="517" t="s">
        <v>385</v>
      </c>
      <c r="G6" s="517"/>
      <c r="H6" s="517"/>
      <c r="I6" s="450" t="s">
        <v>381</v>
      </c>
      <c r="J6" s="58"/>
      <c r="K6" s="307"/>
      <c r="L6" s="31"/>
      <c r="M6" s="31"/>
      <c r="N6" s="31"/>
      <c r="O6" s="31"/>
      <c r="P6" s="31"/>
      <c r="Q6" s="31"/>
      <c r="R6" s="31"/>
      <c r="S6" s="31"/>
      <c r="AB6" s="56">
        <v>2</v>
      </c>
      <c r="AC6" s="56" t="s">
        <v>254</v>
      </c>
      <c r="AD6" s="30">
        <v>25</v>
      </c>
      <c r="AE6" s="30">
        <v>18</v>
      </c>
    </row>
    <row r="7" spans="1:79" s="56" customFormat="1" ht="21" customHeight="1" thickTop="1" thickBot="1">
      <c r="A7" s="306"/>
      <c r="B7" s="297"/>
      <c r="C7" s="297"/>
      <c r="D7" s="297"/>
      <c r="E7" s="57"/>
      <c r="F7" s="300"/>
      <c r="G7" s="300"/>
      <c r="H7" s="300"/>
      <c r="I7" s="57"/>
      <c r="J7" s="58"/>
      <c r="K7" s="307"/>
      <c r="L7" s="58"/>
      <c r="M7" s="58"/>
      <c r="N7" s="58"/>
      <c r="O7" s="58"/>
      <c r="P7" s="58"/>
      <c r="Q7" s="58"/>
      <c r="R7" s="58"/>
      <c r="S7" s="58"/>
      <c r="AB7" s="30">
        <v>3</v>
      </c>
      <c r="AC7" s="30" t="s">
        <v>243</v>
      </c>
      <c r="AD7" s="56">
        <v>30</v>
      </c>
      <c r="AE7" s="56">
        <v>20</v>
      </c>
    </row>
    <row r="8" spans="1:79" s="1" customFormat="1" ht="24.95" customHeight="1" thickTop="1" thickBot="1">
      <c r="A8" s="306"/>
      <c r="B8" s="513" t="s">
        <v>237</v>
      </c>
      <c r="C8" s="513"/>
      <c r="D8" s="510" t="s">
        <v>566</v>
      </c>
      <c r="E8" s="510"/>
      <c r="F8" s="510"/>
      <c r="G8" s="510"/>
      <c r="H8" s="510"/>
      <c r="I8" s="510"/>
      <c r="J8" s="58"/>
      <c r="K8" s="307"/>
      <c r="L8" s="31"/>
      <c r="M8" s="31"/>
      <c r="N8" s="31"/>
      <c r="O8" s="32"/>
      <c r="P8" s="31"/>
      <c r="Q8" s="32"/>
      <c r="R8" s="32"/>
      <c r="S8" s="31"/>
      <c r="T8" s="30"/>
      <c r="U8" s="30"/>
      <c r="V8" s="30"/>
      <c r="W8" s="30"/>
      <c r="X8" s="30"/>
      <c r="Y8" s="30"/>
      <c r="Z8" s="30"/>
      <c r="AA8" s="30"/>
      <c r="AB8" s="56">
        <v>4</v>
      </c>
      <c r="AC8" s="56" t="s">
        <v>244</v>
      </c>
      <c r="AD8" s="30">
        <v>35</v>
      </c>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row>
    <row r="9" spans="1:79" s="1" customFormat="1" ht="24.95" customHeight="1" thickTop="1" thickBot="1">
      <c r="A9" s="306"/>
      <c r="B9" s="513" t="s">
        <v>236</v>
      </c>
      <c r="C9" s="513"/>
      <c r="D9" s="511" t="s">
        <v>567</v>
      </c>
      <c r="E9" s="511"/>
      <c r="F9" s="512" t="s">
        <v>212</v>
      </c>
      <c r="G9" s="512"/>
      <c r="H9" s="511" t="s">
        <v>568</v>
      </c>
      <c r="I9" s="511"/>
      <c r="J9" s="58"/>
      <c r="K9" s="307"/>
      <c r="L9" s="31"/>
      <c r="M9" s="31"/>
      <c r="N9" s="31"/>
      <c r="O9" s="32"/>
      <c r="P9" s="31"/>
      <c r="Q9" s="32"/>
      <c r="R9" s="32"/>
      <c r="S9" s="31"/>
      <c r="T9" s="30"/>
      <c r="U9" s="30"/>
      <c r="V9" s="30"/>
      <c r="W9" s="30"/>
      <c r="X9" s="30"/>
      <c r="Y9" s="30"/>
      <c r="Z9" s="30"/>
      <c r="AA9" s="30"/>
      <c r="AB9" s="30">
        <v>5</v>
      </c>
      <c r="AC9" s="30" t="s">
        <v>245</v>
      </c>
      <c r="AD9" s="30"/>
      <c r="AE9" s="30"/>
      <c r="AF9" s="455" t="b">
        <v>0</v>
      </c>
      <c r="AG9" s="455" t="b">
        <v>1</v>
      </c>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row>
    <row r="10" spans="1:79" s="1" customFormat="1" ht="24.95" customHeight="1" thickTop="1" thickBot="1">
      <c r="A10" s="306"/>
      <c r="B10" s="308"/>
      <c r="C10" s="309" t="s">
        <v>211</v>
      </c>
      <c r="D10" s="510" t="s">
        <v>571</v>
      </c>
      <c r="E10" s="510"/>
      <c r="F10" s="513"/>
      <c r="G10" s="513"/>
      <c r="H10" s="509"/>
      <c r="I10" s="509"/>
      <c r="J10" s="58"/>
      <c r="K10" s="307"/>
      <c r="L10" s="31"/>
      <c r="M10" s="31"/>
      <c r="N10" s="31"/>
      <c r="O10" s="32"/>
      <c r="P10" s="31"/>
      <c r="Q10" s="32"/>
      <c r="R10" s="32"/>
      <c r="S10" s="31"/>
      <c r="T10" s="30"/>
      <c r="U10" s="30"/>
      <c r="V10" s="30"/>
      <c r="W10" s="30"/>
      <c r="X10" s="30"/>
      <c r="Y10" s="30"/>
      <c r="Z10" s="30"/>
      <c r="AA10" s="30"/>
      <c r="AB10" s="56">
        <v>6</v>
      </c>
      <c r="AC10" s="56" t="s">
        <v>246</v>
      </c>
      <c r="AD10" s="30" t="s">
        <v>383</v>
      </c>
      <c r="AE10" s="30"/>
      <c r="AF10" s="455" t="b">
        <v>0</v>
      </c>
      <c r="AG10" s="455" t="b">
        <v>1</v>
      </c>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row>
    <row r="11" spans="1:79" s="1" customFormat="1" ht="24.95" customHeight="1" thickTop="1" thickBot="1">
      <c r="A11" s="306"/>
      <c r="B11" s="513" t="s">
        <v>222</v>
      </c>
      <c r="C11" s="513"/>
      <c r="D11" s="510" t="s">
        <v>570</v>
      </c>
      <c r="E11" s="510"/>
      <c r="F11" s="512" t="s">
        <v>232</v>
      </c>
      <c r="G11" s="512"/>
      <c r="H11" s="521"/>
      <c r="I11" s="521"/>
      <c r="J11" s="58"/>
      <c r="K11" s="307"/>
      <c r="L11" s="522" t="s">
        <v>365</v>
      </c>
      <c r="M11" s="522"/>
      <c r="N11" s="522"/>
      <c r="O11" s="32"/>
      <c r="P11" s="31"/>
      <c r="Q11" s="32"/>
      <c r="R11" s="32"/>
      <c r="S11" s="31"/>
      <c r="T11" s="30"/>
      <c r="U11" s="30"/>
      <c r="V11" s="30"/>
      <c r="W11" s="30"/>
      <c r="X11" s="30"/>
      <c r="Y11" s="30"/>
      <c r="Z11" s="30"/>
      <c r="AA11" s="30"/>
      <c r="AB11" s="30">
        <v>7</v>
      </c>
      <c r="AC11" s="30" t="s">
        <v>247</v>
      </c>
      <c r="AD11" s="30" t="s">
        <v>379</v>
      </c>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row>
    <row r="12" spans="1:79" s="1" customFormat="1" ht="24.95" customHeight="1" thickTop="1" thickBot="1">
      <c r="A12" s="306"/>
      <c r="B12" s="513" t="s">
        <v>223</v>
      </c>
      <c r="C12" s="513"/>
      <c r="D12" s="510" t="s">
        <v>572</v>
      </c>
      <c r="E12" s="510"/>
      <c r="F12" s="512" t="s">
        <v>233</v>
      </c>
      <c r="G12" s="512"/>
      <c r="H12" s="510" t="s">
        <v>569</v>
      </c>
      <c r="I12" s="510"/>
      <c r="J12" s="58"/>
      <c r="K12" s="307"/>
      <c r="L12" s="31"/>
      <c r="M12" s="31"/>
      <c r="N12" s="31"/>
      <c r="O12" s="32"/>
      <c r="P12" s="31"/>
      <c r="Q12" s="32"/>
      <c r="R12" s="32"/>
      <c r="S12" s="31"/>
      <c r="T12" s="30"/>
      <c r="U12" s="30"/>
      <c r="V12" s="30"/>
      <c r="W12" s="30"/>
      <c r="X12" s="30"/>
      <c r="Y12" s="30"/>
      <c r="Z12" s="30"/>
      <c r="AA12" s="30"/>
      <c r="AB12" s="56">
        <v>8</v>
      </c>
      <c r="AC12" s="56" t="s">
        <v>248</v>
      </c>
      <c r="AD12" s="30" t="s">
        <v>380</v>
      </c>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row>
    <row r="13" spans="1:79" s="1" customFormat="1" ht="24.95" customHeight="1" thickTop="1" thickBot="1">
      <c r="A13" s="306"/>
      <c r="B13" s="512" t="s">
        <v>224</v>
      </c>
      <c r="C13" s="513"/>
      <c r="D13" s="510"/>
      <c r="E13" s="510"/>
      <c r="F13" s="512" t="s">
        <v>234</v>
      </c>
      <c r="G13" s="512"/>
      <c r="H13" s="521"/>
      <c r="I13" s="521"/>
      <c r="J13" s="58"/>
      <c r="K13" s="307"/>
      <c r="L13" s="31"/>
      <c r="M13" s="31"/>
      <c r="N13" s="31"/>
      <c r="O13" s="32"/>
      <c r="P13" s="31"/>
      <c r="Q13" s="32"/>
      <c r="R13" s="32"/>
      <c r="S13" s="31"/>
      <c r="T13" s="30"/>
      <c r="U13" s="30"/>
      <c r="V13" s="30"/>
      <c r="W13" s="30"/>
      <c r="X13" s="30"/>
      <c r="Y13" s="30"/>
      <c r="Z13" s="30"/>
      <c r="AA13" s="30"/>
      <c r="AB13" s="30">
        <v>9</v>
      </c>
      <c r="AC13" s="30" t="s">
        <v>249</v>
      </c>
      <c r="AD13" s="30" t="s">
        <v>381</v>
      </c>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row>
    <row r="14" spans="1:79" s="1" customFormat="1" ht="24.95" customHeight="1" thickTop="1" thickBot="1">
      <c r="A14" s="306"/>
      <c r="B14" s="512" t="s">
        <v>215</v>
      </c>
      <c r="C14" s="513"/>
      <c r="D14" s="521"/>
      <c r="E14" s="521"/>
      <c r="F14" s="512" t="s">
        <v>235</v>
      </c>
      <c r="G14" s="512"/>
      <c r="H14" s="521"/>
      <c r="I14" s="521"/>
      <c r="J14" s="58"/>
      <c r="K14" s="307"/>
      <c r="L14" s="31"/>
      <c r="M14" s="31"/>
      <c r="N14" s="31"/>
      <c r="O14" s="32"/>
      <c r="P14" s="31"/>
      <c r="Q14" s="32"/>
      <c r="R14" s="32"/>
      <c r="S14" s="31"/>
      <c r="T14" s="30"/>
      <c r="U14" s="30"/>
      <c r="V14" s="30"/>
      <c r="W14" s="30"/>
      <c r="X14" s="30"/>
      <c r="Y14" s="30"/>
      <c r="Z14" s="30"/>
      <c r="AA14" s="30"/>
      <c r="AB14" s="56">
        <v>10</v>
      </c>
      <c r="AC14" s="56" t="s">
        <v>250</v>
      </c>
      <c r="AD14" s="30" t="s">
        <v>382</v>
      </c>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row>
    <row r="15" spans="1:79" s="1" customFormat="1" ht="24.95" customHeight="1" thickTop="1" thickBot="1">
      <c r="A15" s="306"/>
      <c r="B15" s="512" t="s">
        <v>225</v>
      </c>
      <c r="C15" s="513"/>
      <c r="D15" s="521" t="s">
        <v>575</v>
      </c>
      <c r="E15" s="521"/>
      <c r="F15" s="512" t="s">
        <v>231</v>
      </c>
      <c r="G15" s="512"/>
      <c r="H15" s="510" t="s">
        <v>493</v>
      </c>
      <c r="I15" s="510"/>
      <c r="J15" s="58"/>
      <c r="K15" s="307"/>
      <c r="L15" s="31"/>
      <c r="M15" s="31"/>
      <c r="N15" s="31"/>
      <c r="O15" s="32"/>
      <c r="P15" s="31"/>
      <c r="Q15" s="32"/>
      <c r="R15" s="32"/>
      <c r="S15" s="31"/>
      <c r="T15" s="30"/>
      <c r="U15" s="30"/>
      <c r="V15" s="30"/>
      <c r="W15" s="30"/>
      <c r="X15" s="30"/>
      <c r="Y15" s="30"/>
      <c r="Z15" s="30"/>
      <c r="AA15" s="30"/>
      <c r="AB15" s="30">
        <v>11</v>
      </c>
      <c r="AC15" s="30" t="s">
        <v>251</v>
      </c>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row>
    <row r="16" spans="1:79" s="1" customFormat="1" ht="24.95" customHeight="1" thickTop="1" thickBot="1">
      <c r="A16" s="306"/>
      <c r="B16" s="512" t="s">
        <v>220</v>
      </c>
      <c r="C16" s="512"/>
      <c r="D16" s="525" t="s">
        <v>573</v>
      </c>
      <c r="E16" s="525"/>
      <c r="F16" s="520" t="s">
        <v>217</v>
      </c>
      <c r="G16" s="520"/>
      <c r="H16" s="510" t="s">
        <v>216</v>
      </c>
      <c r="I16" s="510"/>
      <c r="J16" s="58"/>
      <c r="K16" s="307"/>
      <c r="L16" s="31"/>
      <c r="M16" s="31"/>
      <c r="N16" s="31"/>
      <c r="O16" s="32"/>
      <c r="P16" s="31"/>
      <c r="Q16" s="32"/>
      <c r="R16" s="32"/>
      <c r="S16" s="31"/>
      <c r="T16" s="30"/>
      <c r="U16" s="30"/>
      <c r="V16" s="30"/>
      <c r="W16" s="30"/>
      <c r="X16" s="30"/>
      <c r="Y16" s="30"/>
      <c r="Z16" s="30"/>
      <c r="AA16" s="30"/>
      <c r="AB16" s="56">
        <v>12</v>
      </c>
      <c r="AC16" s="56" t="s">
        <v>252</v>
      </c>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row>
    <row r="17" spans="1:79" s="1" customFormat="1" ht="24.95" customHeight="1" thickTop="1" thickBot="1">
      <c r="A17" s="306"/>
      <c r="B17" s="512" t="s">
        <v>221</v>
      </c>
      <c r="C17" s="512"/>
      <c r="D17" s="510" t="s">
        <v>574</v>
      </c>
      <c r="E17" s="510"/>
      <c r="F17" s="520" t="s">
        <v>226</v>
      </c>
      <c r="G17" s="520"/>
      <c r="H17" s="510"/>
      <c r="I17" s="510"/>
      <c r="J17" s="58"/>
      <c r="K17" s="307"/>
      <c r="L17" s="31"/>
      <c r="M17" s="31"/>
      <c r="N17" s="31"/>
      <c r="O17" s="32"/>
      <c r="P17" s="31"/>
      <c r="Q17" s="32"/>
      <c r="R17" s="32"/>
      <c r="S17" s="31"/>
      <c r="T17" s="30"/>
      <c r="U17" s="30"/>
      <c r="V17" s="30"/>
      <c r="W17" s="30"/>
      <c r="X17" s="30"/>
      <c r="Y17" s="30"/>
      <c r="Z17" s="30"/>
      <c r="AA17" s="30"/>
      <c r="AB17" s="56"/>
      <c r="AC17" s="56"/>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row>
    <row r="18" spans="1:79" s="1" customFormat="1" ht="24.95" customHeight="1" thickTop="1" thickBot="1">
      <c r="A18" s="306"/>
      <c r="B18" s="520" t="s">
        <v>229</v>
      </c>
      <c r="C18" s="520"/>
      <c r="D18" s="526">
        <v>43191</v>
      </c>
      <c r="E18" s="526"/>
      <c r="F18" s="520" t="s">
        <v>230</v>
      </c>
      <c r="G18" s="520"/>
      <c r="H18" s="524">
        <v>43555</v>
      </c>
      <c r="I18" s="524"/>
      <c r="J18" s="58"/>
      <c r="K18" s="307"/>
      <c r="L18" s="31"/>
      <c r="M18" s="31"/>
      <c r="N18" s="31"/>
      <c r="O18" s="32"/>
      <c r="P18" s="31"/>
      <c r="Q18" s="32"/>
      <c r="R18" s="32"/>
      <c r="S18" s="31"/>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row>
    <row r="19" spans="1:79" s="1" customFormat="1" ht="24.95" customHeight="1" thickTop="1" thickBot="1">
      <c r="A19" s="306"/>
      <c r="B19" s="512" t="s">
        <v>228</v>
      </c>
      <c r="C19" s="512"/>
      <c r="D19" s="523" t="s">
        <v>156</v>
      </c>
      <c r="E19" s="523"/>
      <c r="F19" s="520" t="s">
        <v>227</v>
      </c>
      <c r="G19" s="520"/>
      <c r="H19" s="523" t="s">
        <v>492</v>
      </c>
      <c r="I19" s="523"/>
      <c r="J19" s="58"/>
      <c r="K19" s="307"/>
      <c r="L19" s="31"/>
      <c r="M19" s="31"/>
      <c r="N19" s="31"/>
      <c r="O19" s="32"/>
      <c r="P19" s="31"/>
      <c r="Q19" s="32"/>
      <c r="R19" s="32"/>
      <c r="S19" s="31"/>
      <c r="T19" s="30"/>
      <c r="U19" s="30"/>
      <c r="V19" s="30"/>
      <c r="W19" s="30"/>
      <c r="X19" s="30"/>
      <c r="Y19" s="30"/>
      <c r="Z19" s="30"/>
      <c r="AA19" s="30"/>
      <c r="AB19" s="30" t="s">
        <v>240</v>
      </c>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row>
    <row r="20" spans="1:79" s="1" customFormat="1" ht="24.95" customHeight="1" thickTop="1">
      <c r="A20" s="306"/>
      <c r="B20" s="56"/>
      <c r="C20" s="56"/>
      <c r="D20" s="56"/>
      <c r="E20" s="56"/>
      <c r="F20" s="58"/>
      <c r="G20" s="58"/>
      <c r="H20" s="58"/>
      <c r="I20" s="58"/>
      <c r="J20" s="58"/>
      <c r="K20" s="307"/>
      <c r="L20" s="31"/>
      <c r="M20" s="31"/>
      <c r="N20" s="31"/>
      <c r="O20" s="32"/>
      <c r="P20" s="31"/>
      <c r="Q20" s="32"/>
      <c r="R20" s="32"/>
      <c r="S20" s="31"/>
      <c r="T20" s="30"/>
      <c r="U20" s="30"/>
      <c r="V20" s="30"/>
      <c r="W20" s="30"/>
      <c r="X20" s="30"/>
      <c r="Y20" s="30"/>
      <c r="Z20" s="30"/>
      <c r="AA20" s="30"/>
      <c r="AB20" s="30" t="s">
        <v>241</v>
      </c>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row>
    <row r="21" spans="1:79" s="1" customFormat="1" ht="24.95" customHeight="1">
      <c r="A21" s="306"/>
      <c r="B21" s="56"/>
      <c r="C21" s="56"/>
      <c r="D21" s="56"/>
      <c r="E21" s="56"/>
      <c r="F21" s="58"/>
      <c r="G21" s="58"/>
      <c r="H21" s="58"/>
      <c r="I21" s="58"/>
      <c r="J21" s="58"/>
      <c r="K21" s="307"/>
      <c r="L21" s="31"/>
      <c r="M21" s="31"/>
      <c r="N21" s="31"/>
      <c r="O21" s="32"/>
      <c r="P21" s="31"/>
      <c r="Q21" s="32"/>
      <c r="R21" s="32"/>
      <c r="S21" s="31"/>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row>
    <row r="22" spans="1:79" s="1" customFormat="1" ht="24.95" customHeight="1">
      <c r="A22" s="532" t="s">
        <v>273</v>
      </c>
      <c r="B22" s="533"/>
      <c r="C22" s="533"/>
      <c r="D22" s="533"/>
      <c r="E22" s="534" t="s">
        <v>88</v>
      </c>
      <c r="F22" s="534"/>
      <c r="G22" s="58"/>
      <c r="H22" s="58"/>
      <c r="I22" s="58"/>
      <c r="J22" s="58"/>
      <c r="K22" s="307"/>
      <c r="L22" s="31"/>
      <c r="M22" s="31"/>
      <c r="N22" s="31"/>
      <c r="O22" s="32"/>
      <c r="P22" s="31"/>
      <c r="Q22" s="32"/>
      <c r="R22" s="32"/>
      <c r="S22" s="31"/>
      <c r="T22" s="30"/>
      <c r="U22" s="30"/>
      <c r="V22" s="30"/>
      <c r="W22" s="30"/>
      <c r="X22" s="30"/>
      <c r="Y22" s="30"/>
      <c r="Z22" s="30"/>
      <c r="AA22" s="30"/>
      <c r="AB22" s="30" t="s">
        <v>257</v>
      </c>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row>
    <row r="23" spans="1:79" s="1" customFormat="1" ht="26.25" customHeight="1">
      <c r="A23" s="535" t="s">
        <v>272</v>
      </c>
      <c r="B23" s="536" t="s">
        <v>87</v>
      </c>
      <c r="C23" s="538" t="s">
        <v>88</v>
      </c>
      <c r="D23" s="539"/>
      <c r="E23" s="539"/>
      <c r="F23" s="539"/>
      <c r="G23" s="58"/>
      <c r="H23" s="58"/>
      <c r="I23" s="58"/>
      <c r="J23" s="58"/>
      <c r="K23" s="307"/>
      <c r="L23" s="31"/>
      <c r="M23" s="31"/>
      <c r="N23" s="31"/>
      <c r="O23" s="32"/>
      <c r="P23" s="31"/>
      <c r="Q23" s="32"/>
      <c r="R23" s="32"/>
      <c r="S23" s="31"/>
      <c r="T23" s="30"/>
      <c r="U23" s="30"/>
      <c r="V23" s="30"/>
      <c r="W23" s="30"/>
      <c r="X23" s="30"/>
      <c r="Y23" s="30"/>
      <c r="Z23" s="30"/>
      <c r="AA23" s="30"/>
      <c r="AB23" s="30" t="s">
        <v>258</v>
      </c>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row>
    <row r="24" spans="1:79" s="1" customFormat="1" ht="49.5" customHeight="1">
      <c r="A24" s="535"/>
      <c r="B24" s="537"/>
      <c r="C24" s="299" t="s">
        <v>89</v>
      </c>
      <c r="D24" s="299" t="s">
        <v>90</v>
      </c>
      <c r="E24" s="310" t="s">
        <v>125</v>
      </c>
      <c r="F24" s="60" t="s">
        <v>91</v>
      </c>
      <c r="G24" s="58"/>
      <c r="H24" s="58"/>
      <c r="I24" s="58"/>
      <c r="J24" s="58"/>
      <c r="K24" s="307"/>
      <c r="L24" s="31"/>
      <c r="M24" s="31"/>
      <c r="N24" s="31"/>
      <c r="O24" s="32"/>
      <c r="P24" s="31"/>
      <c r="Q24" s="32"/>
      <c r="R24" s="32"/>
      <c r="S24" s="31"/>
      <c r="T24" s="30"/>
      <c r="U24" s="30"/>
      <c r="V24" s="30"/>
      <c r="W24" s="30"/>
      <c r="X24" s="30"/>
      <c r="Y24" s="30"/>
      <c r="Z24" s="30"/>
      <c r="AA24" s="30"/>
      <c r="AB24" s="30" t="s">
        <v>259</v>
      </c>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row>
    <row r="25" spans="1:79" s="1" customFormat="1" ht="18.95" customHeight="1">
      <c r="A25" s="311">
        <v>1</v>
      </c>
      <c r="B25" s="264" t="str">
        <f>IF(AND(Bills!X7=""),"",IF(AND($I$4=$AB$20),"",Bills!X7))</f>
        <v/>
      </c>
      <c r="C25" s="157">
        <v>45</v>
      </c>
      <c r="D25" s="157">
        <v>45</v>
      </c>
      <c r="E25" s="206">
        <v>42877</v>
      </c>
      <c r="F25" s="130" t="str">
        <f>IF(C25&gt;0,"Yes","-")</f>
        <v>Yes</v>
      </c>
      <c r="G25" s="58"/>
      <c r="H25" s="58"/>
      <c r="I25" s="58"/>
      <c r="J25" s="58"/>
      <c r="K25" s="307"/>
      <c r="L25" s="31"/>
      <c r="M25" s="31"/>
      <c r="N25" s="31"/>
      <c r="O25" s="32"/>
      <c r="P25" s="31"/>
      <c r="Q25" s="32"/>
      <c r="R25" s="32"/>
      <c r="S25" s="31"/>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row>
    <row r="26" spans="1:79" s="1" customFormat="1" ht="18.95" customHeight="1">
      <c r="A26" s="311">
        <v>2</v>
      </c>
      <c r="B26" s="264" t="str">
        <f>IF(AND(Bills!X8=""),"",IF(AND($I$4=$AB$20),"",Bills!X8))</f>
        <v/>
      </c>
      <c r="C26" s="157">
        <v>25</v>
      </c>
      <c r="D26" s="157"/>
      <c r="E26" s="157"/>
      <c r="F26" s="130" t="str">
        <f t="shared" ref="F26:F40" si="0">IF(C26&gt;0,"Yes","-")</f>
        <v>Yes</v>
      </c>
      <c r="G26" s="58"/>
      <c r="H26" s="58"/>
      <c r="I26" s="58"/>
      <c r="J26" s="58"/>
      <c r="K26" s="307"/>
      <c r="L26" s="31"/>
      <c r="M26" s="31"/>
      <c r="N26" s="31"/>
      <c r="O26" s="32"/>
      <c r="P26" s="31"/>
      <c r="Q26" s="32"/>
      <c r="R26" s="32"/>
      <c r="S26" s="31"/>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row>
    <row r="27" spans="1:79" s="1" customFormat="1" ht="18.95" customHeight="1">
      <c r="A27" s="311">
        <v>3</v>
      </c>
      <c r="B27" s="264" t="str">
        <f>IF(AND(Bills!X9=""),"",IF(AND($I$4=$AB$20),"",Bills!X9))</f>
        <v/>
      </c>
      <c r="C27" s="157"/>
      <c r="D27" s="157"/>
      <c r="E27" s="157"/>
      <c r="F27" s="130" t="str">
        <f t="shared" si="0"/>
        <v>-</v>
      </c>
      <c r="G27" s="58"/>
      <c r="H27" s="58"/>
      <c r="I27" s="58"/>
      <c r="J27" s="58"/>
      <c r="K27" s="307"/>
      <c r="L27" s="31"/>
      <c r="M27" s="31"/>
      <c r="N27" s="31"/>
      <c r="O27" s="32"/>
      <c r="P27" s="31"/>
      <c r="Q27" s="32"/>
      <c r="R27" s="32"/>
      <c r="S27" s="31"/>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row>
    <row r="28" spans="1:79" s="1" customFormat="1" ht="18.95" customHeight="1" thickBot="1">
      <c r="A28" s="311">
        <v>4</v>
      </c>
      <c r="B28" s="264" t="str">
        <f>IF(AND(Bills!X10=""),"",IF(AND($I$4=$AB$20),"",Bills!X10))</f>
        <v/>
      </c>
      <c r="C28" s="157"/>
      <c r="D28" s="157"/>
      <c r="E28" s="157"/>
      <c r="F28" s="130" t="str">
        <f t="shared" si="0"/>
        <v>-</v>
      </c>
      <c r="G28" s="58"/>
      <c r="H28" s="58"/>
      <c r="I28" s="58"/>
      <c r="J28" s="58"/>
      <c r="K28" s="307"/>
      <c r="L28" s="31"/>
      <c r="M28" s="31"/>
      <c r="N28" s="31"/>
      <c r="O28" s="32"/>
      <c r="P28" s="31"/>
      <c r="Q28" s="32"/>
      <c r="R28" s="32"/>
      <c r="S28" s="31"/>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row>
    <row r="29" spans="1:79" s="1" customFormat="1" ht="18.95" customHeight="1" thickTop="1" thickBot="1">
      <c r="A29" s="311">
        <v>5</v>
      </c>
      <c r="B29" s="264" t="str">
        <f>IF(AND(Bills!X11=""),"",IF(AND($I$4=$AB$20),"",Bills!X11))</f>
        <v/>
      </c>
      <c r="C29" s="157"/>
      <c r="D29" s="157"/>
      <c r="E29" s="157"/>
      <c r="F29" s="130" t="str">
        <f t="shared" si="0"/>
        <v>-</v>
      </c>
      <c r="G29" s="58"/>
      <c r="H29" s="58"/>
      <c r="I29" s="58"/>
      <c r="J29" s="58"/>
      <c r="K29" s="307"/>
      <c r="L29" s="31"/>
      <c r="M29" s="518" t="s">
        <v>366</v>
      </c>
      <c r="N29" s="519"/>
      <c r="O29" s="196"/>
      <c r="P29" s="196"/>
      <c r="Q29" s="196"/>
      <c r="R29" s="32"/>
      <c r="S29" s="31"/>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row>
    <row r="30" spans="1:79" s="1" customFormat="1" ht="18.95" customHeight="1" thickTop="1" thickBot="1">
      <c r="A30" s="311">
        <v>6</v>
      </c>
      <c r="B30" s="264" t="str">
        <f>IF(AND(Bills!X12=""),"",IF(AND($I$4=$AB$20),"",Bills!X12))</f>
        <v/>
      </c>
      <c r="C30" s="157"/>
      <c r="D30" s="157"/>
      <c r="E30" s="157"/>
      <c r="F30" s="130" t="str">
        <f t="shared" si="0"/>
        <v>-</v>
      </c>
      <c r="G30" s="58"/>
      <c r="H30" s="58"/>
      <c r="I30" s="58"/>
      <c r="J30" s="58"/>
      <c r="K30" s="307"/>
      <c r="L30" s="31"/>
      <c r="M30" s="518"/>
      <c r="N30" s="519"/>
      <c r="O30" s="196"/>
      <c r="P30" s="196"/>
      <c r="Q30" s="196"/>
      <c r="R30" s="32"/>
      <c r="S30" s="31"/>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row>
    <row r="31" spans="1:79" s="1" customFormat="1" ht="18.95" customHeight="1" thickTop="1" thickBot="1">
      <c r="A31" s="311">
        <v>7</v>
      </c>
      <c r="B31" s="264" t="str">
        <f>IF(AND(Bills!X13=""),"",IF(AND($I$4=$AB$20),"",Bills!X13))</f>
        <v/>
      </c>
      <c r="C31" s="157">
        <v>8</v>
      </c>
      <c r="D31" s="157"/>
      <c r="E31" s="157"/>
      <c r="F31" s="130" t="str">
        <f t="shared" si="0"/>
        <v>Yes</v>
      </c>
      <c r="G31" s="58"/>
      <c r="H31" s="58"/>
      <c r="I31" s="58"/>
      <c r="J31" s="58"/>
      <c r="K31" s="307"/>
      <c r="L31" s="31"/>
      <c r="M31" s="499" t="s">
        <v>494</v>
      </c>
      <c r="N31" s="500"/>
      <c r="O31" s="197"/>
      <c r="P31" s="197"/>
      <c r="Q31" s="197"/>
      <c r="R31" s="32"/>
      <c r="S31" s="31"/>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row>
    <row r="32" spans="1:79" s="1" customFormat="1" ht="18.95" customHeight="1" thickTop="1" thickBot="1">
      <c r="A32" s="311">
        <v>8</v>
      </c>
      <c r="B32" s="264" t="str">
        <f>IF(AND(Bills!X14=""),"",IF(AND($I$4=$AB$20),"",Bills!X14))</f>
        <v/>
      </c>
      <c r="C32" s="157">
        <v>9</v>
      </c>
      <c r="D32" s="157"/>
      <c r="E32" s="157"/>
      <c r="F32" s="130" t="str">
        <f t="shared" si="0"/>
        <v>Yes</v>
      </c>
      <c r="G32" s="58"/>
      <c r="H32" s="58"/>
      <c r="I32" s="58"/>
      <c r="J32" s="58"/>
      <c r="K32" s="307"/>
      <c r="L32" s="31"/>
      <c r="M32" s="499"/>
      <c r="N32" s="500"/>
      <c r="O32" s="197"/>
      <c r="P32" s="197"/>
      <c r="Q32" s="197"/>
      <c r="R32" s="32"/>
      <c r="S32" s="31"/>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row>
    <row r="33" spans="1:79" s="1" customFormat="1" ht="18.95" customHeight="1" thickTop="1" thickBot="1">
      <c r="A33" s="311">
        <v>9</v>
      </c>
      <c r="B33" s="264" t="str">
        <f>IF(AND(Bills!X15=""),"",IF(AND($I$4=$AB$20),"",Bills!X15))</f>
        <v/>
      </c>
      <c r="C33" s="157">
        <v>10</v>
      </c>
      <c r="D33" s="157"/>
      <c r="E33" s="157"/>
      <c r="F33" s="130" t="str">
        <f t="shared" si="0"/>
        <v>Yes</v>
      </c>
      <c r="G33" s="58"/>
      <c r="H33" s="58"/>
      <c r="I33" s="58"/>
      <c r="J33" s="58"/>
      <c r="K33" s="307"/>
      <c r="L33" s="31"/>
      <c r="M33" s="501" t="s">
        <v>495</v>
      </c>
      <c r="N33" s="502"/>
      <c r="O33" s="198"/>
      <c r="P33" s="198"/>
      <c r="Q33" s="198"/>
      <c r="R33" s="32"/>
      <c r="S33" s="31"/>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row>
    <row r="34" spans="1:79" s="1" customFormat="1" ht="18.95" customHeight="1" thickTop="1" thickBot="1">
      <c r="A34" s="311">
        <v>10</v>
      </c>
      <c r="B34" s="264" t="str">
        <f>IF(AND(Bills!X16=""),"",IF(AND($I$4=$AB$20),"",Bills!X16))</f>
        <v/>
      </c>
      <c r="C34" s="157">
        <v>15</v>
      </c>
      <c r="D34" s="157"/>
      <c r="E34" s="157"/>
      <c r="F34" s="130" t="str">
        <f t="shared" si="0"/>
        <v>Yes</v>
      </c>
      <c r="G34" s="58"/>
      <c r="H34" s="58"/>
      <c r="I34" s="58"/>
      <c r="J34" s="58"/>
      <c r="K34" s="307"/>
      <c r="L34" s="31"/>
      <c r="M34" s="501"/>
      <c r="N34" s="502"/>
      <c r="O34" s="198"/>
      <c r="P34" s="198"/>
      <c r="Q34" s="198"/>
      <c r="R34" s="32"/>
      <c r="S34" s="31"/>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row>
    <row r="35" spans="1:79" s="1" customFormat="1" ht="18.95" customHeight="1" thickTop="1" thickBot="1">
      <c r="A35" s="311">
        <v>11</v>
      </c>
      <c r="B35" s="264" t="str">
        <f>IF(AND(Bills!X17=""),"",IF(AND($I$4=$AB$20),"",Bills!X17))</f>
        <v/>
      </c>
      <c r="C35" s="157"/>
      <c r="D35" s="157"/>
      <c r="E35" s="157"/>
      <c r="F35" s="130" t="str">
        <f t="shared" si="0"/>
        <v>-</v>
      </c>
      <c r="G35" s="58"/>
      <c r="H35" s="58"/>
      <c r="I35" s="58"/>
      <c r="J35" s="58"/>
      <c r="K35" s="307"/>
      <c r="L35" s="31"/>
      <c r="M35" s="503" t="s">
        <v>522</v>
      </c>
      <c r="N35" s="504"/>
      <c r="O35" s="199"/>
      <c r="P35" s="199"/>
      <c r="Q35" s="199"/>
      <c r="R35" s="32"/>
      <c r="S35" s="31"/>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row>
    <row r="36" spans="1:79" s="1" customFormat="1" ht="18.95" customHeight="1" thickTop="1" thickBot="1">
      <c r="A36" s="311">
        <v>12</v>
      </c>
      <c r="B36" s="264" t="str">
        <f>IF(AND(Bills!X18=""),"",IF(AND($I$4=$AB$20),"",Bills!X18))</f>
        <v/>
      </c>
      <c r="C36" s="157"/>
      <c r="D36" s="157"/>
      <c r="E36" s="157"/>
      <c r="F36" s="130" t="str">
        <f t="shared" si="0"/>
        <v>-</v>
      </c>
      <c r="G36" s="58"/>
      <c r="H36" s="58"/>
      <c r="I36" s="58"/>
      <c r="J36" s="58"/>
      <c r="K36" s="307"/>
      <c r="L36" s="31"/>
      <c r="M36" s="503"/>
      <c r="N36" s="504"/>
      <c r="O36" s="199"/>
      <c r="P36" s="199"/>
      <c r="Q36" s="199"/>
      <c r="R36" s="32"/>
      <c r="S36" s="31"/>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row>
    <row r="37" spans="1:79" s="1" customFormat="1" ht="18.95" customHeight="1" thickTop="1" thickBot="1">
      <c r="A37" s="311">
        <v>13</v>
      </c>
      <c r="B37" s="264" t="str">
        <f>IF(AND(Bills!X23=""),"",IF(AND($I$4=$AB$20),"",Bills!X23))</f>
        <v/>
      </c>
      <c r="C37" s="157"/>
      <c r="D37" s="157"/>
      <c r="E37" s="157"/>
      <c r="F37" s="130" t="str">
        <f t="shared" si="0"/>
        <v>-</v>
      </c>
      <c r="G37" s="58"/>
      <c r="H37" s="58"/>
      <c r="I37" s="58"/>
      <c r="J37" s="58"/>
      <c r="K37" s="307"/>
      <c r="L37" s="31"/>
      <c r="M37" s="505" t="s">
        <v>521</v>
      </c>
      <c r="N37" s="506"/>
      <c r="O37" s="200"/>
      <c r="P37" s="200"/>
      <c r="Q37" s="200"/>
      <c r="R37" s="32"/>
      <c r="S37" s="31"/>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row>
    <row r="38" spans="1:79" s="1" customFormat="1" ht="18.95" customHeight="1" thickTop="1" thickBot="1">
      <c r="A38" s="311">
        <v>14</v>
      </c>
      <c r="B38" s="264" t="str">
        <f>IF(AND(Bills!X24=""),"",IF(AND($I$4=$AB$20),"",Bills!X24))</f>
        <v/>
      </c>
      <c r="C38" s="157"/>
      <c r="D38" s="157"/>
      <c r="E38" s="157"/>
      <c r="F38" s="130" t="str">
        <f t="shared" si="0"/>
        <v>-</v>
      </c>
      <c r="G38" s="58"/>
      <c r="H38" s="58"/>
      <c r="I38" s="58"/>
      <c r="J38" s="58"/>
      <c r="K38" s="307"/>
      <c r="L38" s="31"/>
      <c r="M38" s="505"/>
      <c r="N38" s="506"/>
      <c r="O38" s="200"/>
      <c r="P38" s="200"/>
      <c r="Q38" s="200"/>
      <c r="R38" s="32"/>
      <c r="S38" s="31"/>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row>
    <row r="39" spans="1:79" s="1" customFormat="1" ht="18.95" customHeight="1" thickTop="1" thickBot="1">
      <c r="A39" s="311">
        <v>15</v>
      </c>
      <c r="B39" s="264" t="str">
        <f>IF(AND(Bills!X25=""),"",IF(AND($I$4=$AB$20),"",Bills!X25))</f>
        <v/>
      </c>
      <c r="C39" s="157"/>
      <c r="D39" s="157"/>
      <c r="E39" s="157"/>
      <c r="F39" s="130" t="str">
        <f t="shared" si="0"/>
        <v>-</v>
      </c>
      <c r="G39" s="461" t="str">
        <f>Bills!X27</f>
        <v/>
      </c>
      <c r="H39" s="58"/>
      <c r="I39" s="58"/>
      <c r="J39" s="58"/>
      <c r="K39" s="307"/>
      <c r="L39" s="31"/>
      <c r="M39" s="507" t="s">
        <v>367</v>
      </c>
      <c r="N39" s="508"/>
      <c r="O39" s="201"/>
      <c r="P39" s="201"/>
      <c r="Q39" s="201"/>
      <c r="R39" s="32"/>
      <c r="S39" s="31"/>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row>
    <row r="40" spans="1:79" s="1" customFormat="1" ht="18.95" customHeight="1" thickTop="1" thickBot="1">
      <c r="A40" s="311">
        <v>16</v>
      </c>
      <c r="B40" s="462" t="str">
        <f>IF(AND(Bills!X26=""),"",IF(AND($I$4=$AB$20),"",Bills!X26))</f>
        <v/>
      </c>
      <c r="C40" s="207">
        <v>1</v>
      </c>
      <c r="D40" s="207"/>
      <c r="E40" s="207"/>
      <c r="F40" s="208" t="str">
        <f t="shared" si="0"/>
        <v>Yes</v>
      </c>
      <c r="G40" s="58"/>
      <c r="H40" s="58"/>
      <c r="I40" s="58"/>
      <c r="J40" s="58"/>
      <c r="K40" s="307"/>
      <c r="L40" s="31"/>
      <c r="M40" s="507"/>
      <c r="N40" s="508"/>
      <c r="O40" s="201"/>
      <c r="P40" s="201"/>
      <c r="Q40" s="201"/>
      <c r="R40" s="32"/>
      <c r="S40" s="31"/>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row>
    <row r="41" spans="1:79" s="1" customFormat="1" ht="18.95" customHeight="1" thickTop="1">
      <c r="A41" s="312" t="s">
        <v>5</v>
      </c>
      <c r="B41" s="266">
        <f>SUM(B25:B40)</f>
        <v>0</v>
      </c>
      <c r="C41" s="209"/>
      <c r="D41" s="209"/>
      <c r="E41" s="209"/>
      <c r="F41" s="210"/>
      <c r="G41" s="58"/>
      <c r="H41" s="58"/>
      <c r="I41" s="58"/>
      <c r="J41" s="58"/>
      <c r="K41" s="307"/>
      <c r="L41" s="31"/>
      <c r="M41" s="31"/>
      <c r="N41" s="31"/>
      <c r="O41" s="32"/>
      <c r="P41" s="31"/>
      <c r="Q41" s="32"/>
      <c r="R41" s="32"/>
      <c r="S41" s="31"/>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row>
    <row r="42" spans="1:79" s="1" customFormat="1" ht="19.5" customHeight="1">
      <c r="A42" s="306"/>
      <c r="B42" s="56"/>
      <c r="C42" s="56"/>
      <c r="D42" s="56"/>
      <c r="E42" s="56"/>
      <c r="F42" s="58"/>
      <c r="G42" s="58"/>
      <c r="H42" s="58"/>
      <c r="I42" s="58"/>
      <c r="J42" s="58"/>
      <c r="K42" s="307"/>
      <c r="L42" s="31"/>
      <c r="M42" s="31"/>
      <c r="N42" s="31"/>
      <c r="O42" s="32"/>
      <c r="P42" s="31"/>
      <c r="Q42" s="32"/>
      <c r="R42" s="32"/>
      <c r="S42" s="31"/>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row>
    <row r="43" spans="1:79" s="1" customFormat="1" ht="18.75" customHeight="1">
      <c r="A43" s="527" t="s">
        <v>272</v>
      </c>
      <c r="B43" s="528" t="s">
        <v>87</v>
      </c>
      <c r="C43" s="530" t="s">
        <v>92</v>
      </c>
      <c r="D43" s="531"/>
      <c r="E43" s="531"/>
      <c r="F43" s="531"/>
      <c r="G43" s="58"/>
      <c r="H43" s="58"/>
      <c r="I43" s="58"/>
      <c r="J43" s="58"/>
      <c r="K43" s="307"/>
      <c r="L43" s="31"/>
      <c r="M43" s="31"/>
      <c r="N43" s="31"/>
      <c r="O43" s="32"/>
      <c r="P43" s="31"/>
      <c r="Q43" s="32"/>
      <c r="R43" s="32"/>
      <c r="S43" s="31"/>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s="1" customFormat="1" ht="49.5" customHeight="1">
      <c r="A44" s="527"/>
      <c r="B44" s="529"/>
      <c r="C44" s="298" t="s">
        <v>115</v>
      </c>
      <c r="D44" s="298" t="s">
        <v>113</v>
      </c>
      <c r="E44" s="298" t="s">
        <v>114</v>
      </c>
      <c r="F44" s="61" t="s">
        <v>112</v>
      </c>
      <c r="G44" s="58"/>
      <c r="H44" s="58"/>
      <c r="I44" s="58"/>
      <c r="J44" s="58"/>
      <c r="K44" s="307"/>
      <c r="L44" s="31"/>
      <c r="M44" s="31"/>
      <c r="N44" s="31"/>
      <c r="O44" s="32"/>
      <c r="P44" s="31"/>
      <c r="Q44" s="32"/>
      <c r="R44" s="32"/>
      <c r="S44" s="31"/>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s="1" customFormat="1" ht="18.95" customHeight="1">
      <c r="A45" s="313">
        <v>1</v>
      </c>
      <c r="B45" s="265" t="str">
        <f>IF(AND(Bills!X7=""),"",IF(AND($I$4=$AB$20),"",Bills!X7))</f>
        <v/>
      </c>
      <c r="C45" s="217"/>
      <c r="D45" s="206"/>
      <c r="E45" s="215"/>
      <c r="F45" s="130" t="str">
        <f>IF(C45&gt;0,"Yes","-")</f>
        <v>-</v>
      </c>
      <c r="G45" s="58"/>
      <c r="H45" s="58"/>
      <c r="I45" s="58"/>
      <c r="J45" s="58"/>
      <c r="K45" s="307"/>
      <c r="L45" s="31"/>
      <c r="M45" s="31"/>
      <c r="N45" s="31"/>
      <c r="O45" s="32"/>
      <c r="P45" s="31"/>
      <c r="Q45" s="32"/>
      <c r="R45" s="32"/>
      <c r="S45" s="31"/>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s="1" customFormat="1" ht="18.95" customHeight="1">
      <c r="A46" s="313">
        <v>2</v>
      </c>
      <c r="B46" s="265" t="str">
        <f>IF(AND(Bills!X8=""),"",IF(AND($I$4=$AB$20),"",Bills!X8))</f>
        <v/>
      </c>
      <c r="C46" s="217"/>
      <c r="D46" s="206"/>
      <c r="E46" s="215"/>
      <c r="F46" s="130" t="str">
        <f t="shared" ref="F46:F60" si="1">IF(C46&gt;0,"Yes","-")</f>
        <v>-</v>
      </c>
      <c r="G46" s="58"/>
      <c r="H46" s="58"/>
      <c r="I46" s="58"/>
      <c r="J46" s="58"/>
      <c r="K46" s="307"/>
      <c r="L46" s="31"/>
      <c r="M46" s="31"/>
      <c r="N46" s="31"/>
      <c r="O46" s="32"/>
      <c r="P46" s="31"/>
      <c r="Q46" s="32"/>
      <c r="R46" s="32"/>
      <c r="S46" s="31"/>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s="1" customFormat="1" ht="18.95" customHeight="1">
      <c r="A47" s="313">
        <v>3</v>
      </c>
      <c r="B47" s="265" t="str">
        <f>IF(AND(Bills!X9=""),"",IF(AND($I$4=$AB$20),"",Bills!X9))</f>
        <v/>
      </c>
      <c r="C47" s="217"/>
      <c r="D47" s="206"/>
      <c r="E47" s="215"/>
      <c r="F47" s="130" t="str">
        <f t="shared" si="1"/>
        <v>-</v>
      </c>
      <c r="G47" s="58"/>
      <c r="H47" s="58"/>
      <c r="I47" s="58"/>
      <c r="J47" s="58"/>
      <c r="K47" s="307"/>
      <c r="L47" s="31"/>
      <c r="M47" s="31"/>
      <c r="N47" s="31"/>
      <c r="O47" s="32"/>
      <c r="P47" s="31"/>
      <c r="Q47" s="32"/>
      <c r="R47" s="32"/>
      <c r="S47" s="31"/>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s="1" customFormat="1" ht="18.95" customHeight="1">
      <c r="A48" s="313">
        <v>4</v>
      </c>
      <c r="B48" s="265" t="str">
        <f>IF(AND(Bills!X10=""),"",IF(AND($I$4=$AB$20),"",Bills!X10))</f>
        <v/>
      </c>
      <c r="C48" s="217"/>
      <c r="D48" s="206"/>
      <c r="E48" s="215"/>
      <c r="F48" s="130" t="str">
        <f t="shared" si="1"/>
        <v>-</v>
      </c>
      <c r="G48" s="58"/>
      <c r="H48" s="58"/>
      <c r="I48" s="58"/>
      <c r="J48" s="58"/>
      <c r="K48" s="307"/>
      <c r="L48" s="31"/>
      <c r="M48" s="31"/>
      <c r="N48" s="31"/>
      <c r="O48" s="32"/>
      <c r="P48" s="31"/>
      <c r="Q48" s="32"/>
      <c r="R48" s="32"/>
      <c r="S48" s="31"/>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s="1" customFormat="1" ht="18.95" customHeight="1">
      <c r="A49" s="313">
        <v>5</v>
      </c>
      <c r="B49" s="265" t="str">
        <f>IF(AND(Bills!X11=""),"",IF(AND($I$4=$AB$20),"",Bills!X11))</f>
        <v/>
      </c>
      <c r="C49" s="217"/>
      <c r="D49" s="206"/>
      <c r="E49" s="215"/>
      <c r="F49" s="130" t="str">
        <f t="shared" si="1"/>
        <v>-</v>
      </c>
      <c r="G49" s="58"/>
      <c r="H49" s="58"/>
      <c r="I49" s="58"/>
      <c r="J49" s="58"/>
      <c r="K49" s="307"/>
      <c r="L49" s="31"/>
      <c r="M49" s="31"/>
      <c r="N49" s="31"/>
      <c r="O49" s="32"/>
      <c r="P49" s="31"/>
      <c r="Q49" s="32"/>
      <c r="R49" s="32"/>
      <c r="S49" s="31"/>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row>
    <row r="50" spans="1:79" s="1" customFormat="1" ht="18.95" customHeight="1">
      <c r="A50" s="313">
        <v>6</v>
      </c>
      <c r="B50" s="265" t="str">
        <f>IF(AND(Bills!X12=""),"",IF(AND($I$4=$AB$20),"",Bills!X12))</f>
        <v/>
      </c>
      <c r="C50" s="217"/>
      <c r="D50" s="206"/>
      <c r="E50" s="215"/>
      <c r="F50" s="130" t="str">
        <f t="shared" si="1"/>
        <v>-</v>
      </c>
      <c r="G50" s="58"/>
      <c r="H50" s="58"/>
      <c r="I50" s="58"/>
      <c r="J50" s="58"/>
      <c r="K50" s="307"/>
      <c r="L50" s="31"/>
      <c r="M50" s="31"/>
      <c r="N50" s="31"/>
      <c r="O50" s="32"/>
      <c r="P50" s="31"/>
      <c r="Q50" s="32"/>
      <c r="R50" s="32"/>
      <c r="S50" s="31"/>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row>
    <row r="51" spans="1:79" s="1" customFormat="1" ht="18.95" customHeight="1">
      <c r="A51" s="313">
        <v>7</v>
      </c>
      <c r="B51" s="265" t="str">
        <f>IF(AND(Bills!X13=""),"",IF(AND($I$4=$AB$20),"",Bills!X13))</f>
        <v/>
      </c>
      <c r="C51" s="217"/>
      <c r="D51" s="206"/>
      <c r="E51" s="215"/>
      <c r="F51" s="130" t="str">
        <f t="shared" si="1"/>
        <v>-</v>
      </c>
      <c r="G51" s="58"/>
      <c r="H51" s="58"/>
      <c r="I51" s="58"/>
      <c r="J51" s="58"/>
      <c r="K51" s="307"/>
      <c r="L51" s="31"/>
      <c r="M51" s="31"/>
      <c r="N51" s="31"/>
      <c r="O51" s="32"/>
      <c r="P51" s="31"/>
      <c r="Q51" s="32"/>
      <c r="R51" s="32"/>
      <c r="S51" s="31"/>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row>
    <row r="52" spans="1:79" s="1" customFormat="1" ht="18.95" customHeight="1">
      <c r="A52" s="313">
        <v>8</v>
      </c>
      <c r="B52" s="265" t="str">
        <f>IF(AND(Bills!X14=""),"",IF(AND($I$4=$AB$20),"",Bills!X14))</f>
        <v/>
      </c>
      <c r="C52" s="217"/>
      <c r="D52" s="206"/>
      <c r="E52" s="215"/>
      <c r="F52" s="130" t="str">
        <f t="shared" si="1"/>
        <v>-</v>
      </c>
      <c r="G52" s="58"/>
      <c r="H52" s="58"/>
      <c r="I52" s="58"/>
      <c r="J52" s="58"/>
      <c r="K52" s="307"/>
      <c r="L52" s="31"/>
      <c r="M52" s="31"/>
      <c r="N52" s="31"/>
      <c r="O52" s="32"/>
      <c r="P52" s="31"/>
      <c r="Q52" s="32"/>
      <c r="R52" s="32"/>
      <c r="S52" s="31"/>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row>
    <row r="53" spans="1:79" s="1" customFormat="1" ht="18.95" customHeight="1">
      <c r="A53" s="313">
        <v>9</v>
      </c>
      <c r="B53" s="265" t="str">
        <f>IF(AND(Bills!X15=""),"",IF(AND($I$4=$AB$20),"",Bills!X15))</f>
        <v/>
      </c>
      <c r="C53" s="217"/>
      <c r="D53" s="206"/>
      <c r="E53" s="215"/>
      <c r="F53" s="130" t="str">
        <f t="shared" si="1"/>
        <v>-</v>
      </c>
      <c r="G53" s="58"/>
      <c r="H53" s="58"/>
      <c r="I53" s="58"/>
      <c r="J53" s="58"/>
      <c r="K53" s="307"/>
      <c r="L53" s="31"/>
      <c r="M53" s="31"/>
      <c r="N53" s="31"/>
      <c r="O53" s="32"/>
      <c r="P53" s="31"/>
      <c r="Q53" s="32"/>
      <c r="R53" s="32"/>
      <c r="S53" s="31"/>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row>
    <row r="54" spans="1:79" s="1" customFormat="1" ht="18.95" customHeight="1">
      <c r="A54" s="313">
        <v>10</v>
      </c>
      <c r="B54" s="265" t="str">
        <f>IF(AND(Bills!X16=""),"",IF(AND($I$4=$AB$20),"",Bills!X16))</f>
        <v/>
      </c>
      <c r="C54" s="217"/>
      <c r="D54" s="206"/>
      <c r="E54" s="215"/>
      <c r="F54" s="130" t="str">
        <f t="shared" si="1"/>
        <v>-</v>
      </c>
      <c r="G54" s="58"/>
      <c r="H54" s="58"/>
      <c r="I54" s="58"/>
      <c r="J54" s="58"/>
      <c r="K54" s="307"/>
      <c r="L54" s="31"/>
      <c r="M54" s="31"/>
      <c r="N54" s="31"/>
      <c r="O54" s="32"/>
      <c r="P54" s="31"/>
      <c r="Q54" s="32"/>
      <c r="R54" s="32"/>
      <c r="S54" s="31"/>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row>
    <row r="55" spans="1:79" s="1" customFormat="1" ht="18.95" customHeight="1">
      <c r="A55" s="313">
        <v>11</v>
      </c>
      <c r="B55" s="265" t="str">
        <f>IF(AND(Bills!X17=""),"",IF(AND($I$4=$AB$20),"",Bills!X17))</f>
        <v/>
      </c>
      <c r="C55" s="217"/>
      <c r="D55" s="206"/>
      <c r="E55" s="215"/>
      <c r="F55" s="130" t="str">
        <f t="shared" si="1"/>
        <v>-</v>
      </c>
      <c r="G55" s="58"/>
      <c r="H55" s="58"/>
      <c r="I55" s="58"/>
      <c r="J55" s="58"/>
      <c r="K55" s="307"/>
      <c r="L55" s="31"/>
      <c r="M55" s="31"/>
      <c r="N55" s="31"/>
      <c r="O55" s="32"/>
      <c r="P55" s="31"/>
      <c r="Q55" s="32"/>
      <c r="R55" s="32"/>
      <c r="S55" s="31"/>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row>
    <row r="56" spans="1:79" s="1" customFormat="1" ht="18.95" customHeight="1">
      <c r="A56" s="313">
        <v>12</v>
      </c>
      <c r="B56" s="265" t="str">
        <f>IF(AND(Bills!X18=""),"",IF(AND($I$4=$AB$20),"",Bills!X18))</f>
        <v/>
      </c>
      <c r="C56" s="217"/>
      <c r="D56" s="206"/>
      <c r="E56" s="215"/>
      <c r="F56" s="130" t="str">
        <f t="shared" si="1"/>
        <v>-</v>
      </c>
      <c r="G56" s="58"/>
      <c r="H56" s="58"/>
      <c r="I56" s="58"/>
      <c r="J56" s="58"/>
      <c r="K56" s="307"/>
      <c r="L56" s="31"/>
      <c r="M56" s="31"/>
      <c r="N56" s="31"/>
      <c r="O56" s="32"/>
      <c r="P56" s="31"/>
      <c r="Q56" s="32"/>
      <c r="R56" s="32"/>
      <c r="S56" s="31"/>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row>
    <row r="57" spans="1:79" s="1" customFormat="1" ht="18.95" customHeight="1">
      <c r="A57" s="313">
        <v>13</v>
      </c>
      <c r="B57" s="265" t="str">
        <f>IF(AND(Bills!X23=""),"",IF(AND($I$4=$AB$20),"",Bills!X23))</f>
        <v/>
      </c>
      <c r="C57" s="217"/>
      <c r="D57" s="206"/>
      <c r="E57" s="215"/>
      <c r="F57" s="130" t="str">
        <f t="shared" si="1"/>
        <v>-</v>
      </c>
      <c r="G57" s="58"/>
      <c r="H57" s="58"/>
      <c r="I57" s="58"/>
      <c r="J57" s="58"/>
      <c r="K57" s="307"/>
      <c r="L57" s="31"/>
      <c r="M57" s="31"/>
      <c r="N57" s="31"/>
      <c r="O57" s="32"/>
      <c r="P57" s="31"/>
      <c r="Q57" s="32"/>
      <c r="R57" s="32"/>
      <c r="S57" s="31"/>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row>
    <row r="58" spans="1:79" s="1" customFormat="1" ht="18.95" customHeight="1">
      <c r="A58" s="313">
        <v>14</v>
      </c>
      <c r="B58" s="265" t="str">
        <f>IF(AND(Bills!X24=""),"",IF(AND($I$4=$AB$20),"",Bills!X24))</f>
        <v/>
      </c>
      <c r="C58" s="217"/>
      <c r="D58" s="206"/>
      <c r="E58" s="215"/>
      <c r="F58" s="130" t="str">
        <f t="shared" si="1"/>
        <v>-</v>
      </c>
      <c r="G58" s="58"/>
      <c r="H58" s="58"/>
      <c r="I58" s="58"/>
      <c r="J58" s="58"/>
      <c r="K58" s="307"/>
      <c r="L58" s="31"/>
      <c r="M58" s="31"/>
      <c r="N58" s="31"/>
      <c r="O58" s="32"/>
      <c r="P58" s="31"/>
      <c r="Q58" s="32"/>
      <c r="R58" s="32"/>
      <c r="S58" s="31"/>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row>
    <row r="59" spans="1:79" s="1" customFormat="1" ht="18.95" customHeight="1">
      <c r="A59" s="313">
        <v>15</v>
      </c>
      <c r="B59" s="265" t="str">
        <f>IF(AND(Bills!X25=""),"",IF(AND($I$4=$AB$20),"",Bills!X25))</f>
        <v/>
      </c>
      <c r="C59" s="217"/>
      <c r="D59" s="206"/>
      <c r="E59" s="215"/>
      <c r="F59" s="130" t="str">
        <f t="shared" si="1"/>
        <v>-</v>
      </c>
      <c r="G59" s="58"/>
      <c r="H59" s="58"/>
      <c r="I59" s="58"/>
      <c r="J59" s="58"/>
      <c r="K59" s="307"/>
      <c r="L59" s="31"/>
      <c r="M59" s="31"/>
      <c r="N59" s="31"/>
      <c r="O59" s="32"/>
      <c r="P59" s="31"/>
      <c r="Q59" s="32"/>
      <c r="R59" s="32"/>
      <c r="S59" s="31"/>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row>
    <row r="60" spans="1:79" s="1" customFormat="1" ht="18.95" customHeight="1">
      <c r="A60" s="313">
        <v>16</v>
      </c>
      <c r="B60" s="463" t="str">
        <f>IF(AND(Bills!X26=""),"",IF(AND($I$4=$AB$20),"",Bills!X26))</f>
        <v/>
      </c>
      <c r="C60" s="218"/>
      <c r="D60" s="214"/>
      <c r="E60" s="216"/>
      <c r="F60" s="208" t="str">
        <f t="shared" si="1"/>
        <v>-</v>
      </c>
      <c r="G60" s="58"/>
      <c r="H60" s="58"/>
      <c r="I60" s="58"/>
      <c r="J60" s="58"/>
      <c r="K60" s="307"/>
      <c r="L60" s="31"/>
      <c r="M60" s="31"/>
      <c r="N60" s="31"/>
      <c r="O60" s="32"/>
      <c r="P60" s="31"/>
      <c r="Q60" s="32"/>
      <c r="R60" s="32"/>
      <c r="S60" s="31"/>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row>
    <row r="61" spans="1:79" s="1" customFormat="1" ht="18.95" customHeight="1">
      <c r="A61" s="314" t="s">
        <v>5</v>
      </c>
      <c r="B61" s="267">
        <f>SUM(B45:B60)</f>
        <v>0</v>
      </c>
      <c r="C61" s="211"/>
      <c r="D61" s="211"/>
      <c r="E61" s="211"/>
      <c r="F61" s="212"/>
      <c r="G61" s="58"/>
      <c r="H61" s="58"/>
      <c r="I61" s="58"/>
      <c r="J61" s="58"/>
      <c r="K61" s="307"/>
      <c r="L61" s="31"/>
      <c r="M61" s="31"/>
      <c r="N61" s="31"/>
      <c r="O61" s="32"/>
      <c r="P61" s="31"/>
      <c r="Q61" s="32"/>
      <c r="R61" s="32"/>
      <c r="S61" s="31"/>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row>
    <row r="62" spans="1:79" s="1" customFormat="1">
      <c r="A62" s="306"/>
      <c r="B62" s="56"/>
      <c r="C62" s="56"/>
      <c r="D62" s="56"/>
      <c r="E62" s="56"/>
      <c r="F62" s="58"/>
      <c r="G62" s="58"/>
      <c r="H62" s="58"/>
      <c r="I62" s="58"/>
      <c r="J62" s="58"/>
      <c r="K62" s="307"/>
      <c r="L62" s="31"/>
      <c r="M62" s="31"/>
      <c r="N62" s="31"/>
      <c r="O62" s="32"/>
      <c r="P62" s="31"/>
      <c r="Q62" s="32"/>
      <c r="R62" s="32"/>
      <c r="S62" s="31"/>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row>
    <row r="63" spans="1:79" s="1" customFormat="1">
      <c r="A63" s="306"/>
      <c r="B63" s="56"/>
      <c r="C63" s="56"/>
      <c r="D63" s="56"/>
      <c r="E63" s="56"/>
      <c r="F63" s="58"/>
      <c r="G63" s="58"/>
      <c r="H63" s="58"/>
      <c r="I63" s="58"/>
      <c r="J63" s="58"/>
      <c r="K63" s="307"/>
      <c r="L63" s="31"/>
      <c r="M63" s="31"/>
      <c r="N63" s="31"/>
      <c r="O63" s="32"/>
      <c r="P63" s="31"/>
      <c r="Q63" s="32"/>
      <c r="R63" s="32"/>
      <c r="S63" s="31"/>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row>
    <row r="64" spans="1:79" s="1" customFormat="1" ht="15.75" thickBot="1">
      <c r="A64" s="315"/>
      <c r="B64" s="316"/>
      <c r="C64" s="316"/>
      <c r="D64" s="316"/>
      <c r="E64" s="316"/>
      <c r="F64" s="317"/>
      <c r="G64" s="317"/>
      <c r="H64" s="317"/>
      <c r="I64" s="317"/>
      <c r="J64" s="317"/>
      <c r="K64" s="318"/>
      <c r="L64" s="31"/>
      <c r="M64" s="31"/>
      <c r="N64" s="31"/>
      <c r="O64" s="32"/>
      <c r="P64" s="31"/>
      <c r="Q64" s="32"/>
      <c r="R64" s="32"/>
      <c r="S64" s="31"/>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row>
    <row r="65" spans="1:79" s="1" customFormat="1" ht="15.75" thickTop="1">
      <c r="A65" s="30"/>
      <c r="B65" s="30"/>
      <c r="C65" s="30"/>
      <c r="D65" s="30"/>
      <c r="E65" s="30"/>
      <c r="F65" s="31"/>
      <c r="G65" s="31"/>
      <c r="H65" s="31"/>
      <c r="I65" s="31"/>
      <c r="J65" s="31"/>
      <c r="K65" s="31"/>
      <c r="L65" s="31"/>
      <c r="M65" s="31"/>
      <c r="N65" s="31"/>
      <c r="O65" s="32"/>
      <c r="P65" s="31"/>
      <c r="Q65" s="32"/>
      <c r="R65" s="32"/>
      <c r="S65" s="31"/>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row>
    <row r="66" spans="1:79" s="1" customFormat="1">
      <c r="A66" s="30"/>
      <c r="B66" s="30"/>
      <c r="C66" s="30"/>
      <c r="D66" s="30"/>
      <c r="E66" s="30"/>
      <c r="F66" s="31"/>
      <c r="G66" s="31"/>
      <c r="H66" s="31"/>
      <c r="I66" s="31"/>
      <c r="J66" s="31"/>
      <c r="K66" s="31"/>
      <c r="L66" s="31"/>
      <c r="M66" s="31"/>
      <c r="N66" s="31"/>
      <c r="O66" s="32"/>
      <c r="P66" s="31"/>
      <c r="Q66" s="32"/>
      <c r="R66" s="32"/>
      <c r="S66" s="31"/>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row>
    <row r="67" spans="1:79" s="1" customFormat="1">
      <c r="A67" s="30"/>
      <c r="B67" s="30"/>
      <c r="C67" s="30"/>
      <c r="D67" s="30"/>
      <c r="E67" s="30"/>
      <c r="F67" s="31"/>
      <c r="G67" s="31"/>
      <c r="H67" s="31"/>
      <c r="I67" s="31"/>
      <c r="J67" s="31"/>
      <c r="K67" s="31"/>
      <c r="L67" s="31"/>
      <c r="M67" s="31"/>
      <c r="N67" s="31"/>
      <c r="O67" s="32"/>
      <c r="P67" s="31"/>
      <c r="Q67" s="32"/>
      <c r="R67" s="32"/>
      <c r="S67" s="31"/>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row>
    <row r="68" spans="1:79" s="1" customFormat="1">
      <c r="A68" s="30"/>
      <c r="B68" s="30"/>
      <c r="C68" s="30"/>
      <c r="D68" s="30"/>
      <c r="E68" s="30"/>
      <c r="F68" s="31"/>
      <c r="G68" s="31"/>
      <c r="H68" s="31"/>
      <c r="I68" s="31"/>
      <c r="J68" s="31"/>
      <c r="K68" s="31"/>
      <c r="L68" s="31"/>
      <c r="M68" s="31"/>
      <c r="N68" s="31"/>
      <c r="O68" s="31"/>
      <c r="P68" s="31"/>
      <c r="Q68" s="31"/>
      <c r="R68" s="31"/>
      <c r="S68" s="31"/>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row>
    <row r="69" spans="1:79" s="1" customFormat="1">
      <c r="A69" s="30"/>
      <c r="B69" s="30"/>
      <c r="C69" s="30"/>
      <c r="D69" s="30"/>
      <c r="E69" s="30"/>
      <c r="F69" s="31"/>
      <c r="G69" s="31"/>
      <c r="H69" s="31"/>
      <c r="I69" s="31"/>
      <c r="J69" s="31"/>
      <c r="K69" s="31"/>
      <c r="L69" s="31"/>
      <c r="M69" s="31"/>
      <c r="N69" s="31"/>
      <c r="O69" s="31"/>
      <c r="P69" s="31"/>
      <c r="Q69" s="31"/>
      <c r="R69" s="31"/>
      <c r="S69" s="31"/>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row>
    <row r="70" spans="1:79" s="1" customFormat="1">
      <c r="A70" s="30"/>
      <c r="B70" s="30"/>
      <c r="C70" s="30"/>
      <c r="D70" s="30"/>
      <c r="E70" s="30"/>
      <c r="F70" s="31"/>
      <c r="G70" s="31"/>
      <c r="H70" s="31"/>
      <c r="I70" s="31"/>
      <c r="J70" s="31"/>
      <c r="K70" s="31"/>
      <c r="L70" s="31"/>
      <c r="M70" s="31"/>
      <c r="N70" s="31"/>
      <c r="O70" s="31"/>
      <c r="P70" s="31"/>
      <c r="Q70" s="31"/>
      <c r="R70" s="31"/>
      <c r="S70" s="31"/>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row>
    <row r="71" spans="1:79" s="1" customFormat="1">
      <c r="A71" s="30"/>
      <c r="B71" s="30"/>
      <c r="C71" s="30"/>
      <c r="D71" s="30"/>
      <c r="E71" s="30"/>
      <c r="F71" s="31"/>
      <c r="G71" s="31"/>
      <c r="H71" s="31"/>
      <c r="I71" s="31"/>
      <c r="J71" s="31"/>
      <c r="K71" s="31"/>
      <c r="L71" s="31"/>
      <c r="M71" s="31"/>
      <c r="N71" s="31"/>
      <c r="O71" s="31"/>
      <c r="P71" s="31"/>
      <c r="Q71" s="31"/>
      <c r="R71" s="31"/>
      <c r="S71" s="31"/>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row>
    <row r="72" spans="1:79" s="1" customFormat="1">
      <c r="A72" s="30"/>
      <c r="B72" s="30"/>
      <c r="C72" s="30"/>
      <c r="D72" s="30"/>
      <c r="E72" s="30"/>
      <c r="F72" s="31"/>
      <c r="G72" s="31"/>
      <c r="H72" s="31"/>
      <c r="I72" s="31"/>
      <c r="J72" s="31"/>
      <c r="K72" s="31"/>
      <c r="L72" s="31"/>
      <c r="M72" s="31"/>
      <c r="N72" s="31"/>
      <c r="O72" s="31"/>
      <c r="P72" s="31"/>
      <c r="Q72" s="31"/>
      <c r="R72" s="31"/>
      <c r="S72" s="31"/>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row>
    <row r="73" spans="1:79" s="1" customFormat="1">
      <c r="A73" s="30"/>
      <c r="B73" s="30"/>
      <c r="C73" s="30"/>
      <c r="D73" s="30"/>
      <c r="E73" s="30"/>
      <c r="F73" s="31"/>
      <c r="G73" s="31"/>
      <c r="H73" s="31"/>
      <c r="I73" s="31"/>
      <c r="J73" s="31"/>
      <c r="K73" s="31"/>
      <c r="L73" s="31"/>
      <c r="M73" s="31"/>
      <c r="N73" s="31"/>
      <c r="O73" s="31"/>
      <c r="P73" s="31"/>
      <c r="Q73" s="31"/>
      <c r="R73" s="31"/>
      <c r="S73" s="31"/>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row>
    <row r="74" spans="1:79" s="1" customFormat="1" hidden="1">
      <c r="A74" s="30"/>
      <c r="B74" s="30"/>
      <c r="C74" s="30"/>
      <c r="D74" s="30"/>
      <c r="E74" s="30"/>
      <c r="F74" s="31"/>
      <c r="G74" s="31"/>
      <c r="H74" s="31"/>
      <c r="I74" s="31"/>
      <c r="J74" s="31"/>
      <c r="K74" s="31"/>
      <c r="L74" s="31"/>
      <c r="M74" s="31"/>
      <c r="N74" s="31"/>
      <c r="O74" s="31"/>
      <c r="P74" s="31"/>
      <c r="Q74" s="31"/>
      <c r="R74" s="31"/>
      <c r="S74" s="31"/>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row>
    <row r="75" spans="1:79" s="1" customFormat="1" hidden="1">
      <c r="A75" s="30"/>
      <c r="B75" s="30"/>
      <c r="C75" s="30"/>
      <c r="D75" s="30" t="e">
        <f>IF(#REF!="","",#REF!)</f>
        <v>#REF!</v>
      </c>
      <c r="E75" s="30"/>
      <c r="F75" s="31" t="e">
        <f>IF(#REF!="","",#REF!)</f>
        <v>#REF!</v>
      </c>
      <c r="G75" s="31"/>
      <c r="H75" s="31" t="e">
        <f>IF(#REF!="","",#REF!)</f>
        <v>#REF!</v>
      </c>
      <c r="I75" s="31"/>
      <c r="J75" s="31" t="e">
        <f>IF(#REF!="","",#REF!)</f>
        <v>#REF!</v>
      </c>
      <c r="K75" s="31" t="e">
        <f>IF(#REF!="","",#REF!)</f>
        <v>#REF!</v>
      </c>
      <c r="L75" s="31" t="e">
        <f>IF(#REF!="","",#REF!)</f>
        <v>#REF!</v>
      </c>
      <c r="M75" s="31" t="e">
        <f>IF(#REF!="","",#REF!)</f>
        <v>#REF!</v>
      </c>
      <c r="N75" s="31" t="e">
        <f>IF(#REF!="","",#REF!)</f>
        <v>#REF!</v>
      </c>
      <c r="O75" s="31" t="e">
        <f>IF(#REF!="","",#REF!)</f>
        <v>#REF!</v>
      </c>
      <c r="P75" s="31" t="e">
        <f>IF(#REF!="","",#REF!)</f>
        <v>#REF!</v>
      </c>
      <c r="Q75" s="31" t="e">
        <f>IF(#REF!="","",#REF!)</f>
        <v>#REF!</v>
      </c>
      <c r="R75" s="31"/>
      <c r="S75" s="31"/>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row>
    <row r="76" spans="1:79" s="1" customFormat="1" hidden="1">
      <c r="A76" s="30"/>
      <c r="B76" s="30"/>
      <c r="C76" s="30"/>
      <c r="D76" s="30" t="e">
        <f>IF(#REF!="","",#REF!)</f>
        <v>#REF!</v>
      </c>
      <c r="E76" s="30"/>
      <c r="F76" s="31" t="e">
        <f>IF(#REF!="","",#REF!)</f>
        <v>#REF!</v>
      </c>
      <c r="G76" s="31"/>
      <c r="H76" s="31" t="e">
        <f>IF(#REF!="","",#REF!)</f>
        <v>#REF!</v>
      </c>
      <c r="I76" s="31"/>
      <c r="J76" s="31" t="e">
        <f>IF(#REF!="","",#REF!)</f>
        <v>#REF!</v>
      </c>
      <c r="K76" s="31" t="e">
        <f>IF(#REF!="","",#REF!)</f>
        <v>#REF!</v>
      </c>
      <c r="L76" s="31" t="e">
        <f>IF(#REF!="","",#REF!)</f>
        <v>#REF!</v>
      </c>
      <c r="M76" s="31" t="e">
        <f>IF(#REF!="","",#REF!)</f>
        <v>#REF!</v>
      </c>
      <c r="N76" s="31" t="e">
        <f>IF(#REF!="","",#REF!)</f>
        <v>#REF!</v>
      </c>
      <c r="O76" s="31" t="e">
        <f>IF(#REF!="","",#REF!)</f>
        <v>#REF!</v>
      </c>
      <c r="P76" s="31" t="e">
        <f>IF(#REF!="","",#REF!)</f>
        <v>#REF!</v>
      </c>
      <c r="Q76" s="31" t="e">
        <f>IF(#REF!="","",#REF!)</f>
        <v>#REF!</v>
      </c>
      <c r="R76" s="31" t="e">
        <f>IF(#REF!="","",#REF!)</f>
        <v>#REF!</v>
      </c>
      <c r="S76" s="31" t="e">
        <f>IF(#REF!="","",#REF!)</f>
        <v>#REF!</v>
      </c>
      <c r="T76" s="30" t="e">
        <f>IF(#REF!="","",#REF!)</f>
        <v>#REF!</v>
      </c>
      <c r="U76" s="30" t="e">
        <f>IF(#REF!="","",#REF!)</f>
        <v>#REF!</v>
      </c>
      <c r="V76" s="30" t="e">
        <f>IF(#REF!="","",#REF!)</f>
        <v>#REF!</v>
      </c>
      <c r="W76" s="30" t="e">
        <f>IF(#REF!="","",#REF!)</f>
        <v>#REF!</v>
      </c>
      <c r="X76" s="30" t="e">
        <f>IF(#REF!="","",#REF!)</f>
        <v>#REF!</v>
      </c>
      <c r="Y76" s="30" t="e">
        <f>IF(#REF!="","",#REF!)</f>
        <v>#REF!</v>
      </c>
      <c r="Z76" s="30" t="e">
        <f>IF(#REF!="","",#REF!)</f>
        <v>#REF!</v>
      </c>
      <c r="AA76" s="30" t="e">
        <f>IF(#REF!="","",#REF!)</f>
        <v>#REF!</v>
      </c>
      <c r="AB76" s="30" t="e">
        <f>IF(#REF!="","",#REF!)</f>
        <v>#REF!</v>
      </c>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row>
    <row r="77" spans="1:79" s="1" customFormat="1">
      <c r="A77" s="30"/>
      <c r="B77" s="30"/>
      <c r="C77" s="30"/>
      <c r="D77" s="30"/>
      <c r="E77" s="30"/>
      <c r="F77" s="31"/>
      <c r="G77" s="31"/>
      <c r="H77" s="31"/>
      <c r="I77" s="31"/>
      <c r="J77" s="31"/>
      <c r="K77" s="31"/>
      <c r="L77" s="31"/>
      <c r="M77" s="31"/>
      <c r="N77" s="31"/>
      <c r="O77" s="31"/>
      <c r="P77" s="31"/>
      <c r="Q77" s="31"/>
      <c r="R77" s="31"/>
      <c r="S77" s="31"/>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row>
    <row r="78" spans="1:79" s="1" customFormat="1">
      <c r="A78" s="30"/>
      <c r="B78" s="30"/>
      <c r="C78" s="30"/>
      <c r="D78" s="30"/>
      <c r="E78" s="30"/>
      <c r="F78" s="31"/>
      <c r="G78" s="31"/>
      <c r="H78" s="31"/>
      <c r="I78" s="31"/>
      <c r="J78" s="31"/>
      <c r="K78" s="31"/>
      <c r="L78" s="31"/>
      <c r="M78" s="31"/>
      <c r="N78" s="31"/>
      <c r="O78" s="31"/>
      <c r="P78" s="31"/>
      <c r="Q78" s="31"/>
      <c r="R78" s="31"/>
      <c r="S78" s="31"/>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row>
    <row r="79" spans="1:79" s="1" customFormat="1">
      <c r="A79" s="30"/>
      <c r="B79" s="30"/>
      <c r="C79" s="30"/>
      <c r="D79" s="30"/>
      <c r="E79" s="30"/>
      <c r="F79" s="31"/>
      <c r="G79" s="31"/>
      <c r="H79" s="31"/>
      <c r="I79" s="31"/>
      <c r="J79" s="31"/>
      <c r="K79" s="31"/>
      <c r="L79" s="31"/>
      <c r="M79" s="31"/>
      <c r="N79" s="31"/>
      <c r="O79" s="31"/>
      <c r="P79" s="31"/>
      <c r="Q79" s="31"/>
      <c r="R79" s="31"/>
      <c r="S79" s="31"/>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row>
    <row r="80" spans="1:79" s="1" customFormat="1">
      <c r="A80" s="30"/>
      <c r="B80" s="30"/>
      <c r="C80" s="30"/>
      <c r="D80" s="30"/>
      <c r="E80" s="30"/>
      <c r="F80" s="31"/>
      <c r="G80" s="31"/>
      <c r="H80" s="31"/>
      <c r="I80" s="31"/>
      <c r="J80" s="31"/>
      <c r="K80" s="31"/>
      <c r="L80" s="31"/>
      <c r="M80" s="31"/>
      <c r="N80" s="31"/>
      <c r="O80" s="31"/>
      <c r="P80" s="31"/>
      <c r="Q80" s="31"/>
      <c r="R80" s="31"/>
      <c r="S80" s="31"/>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row>
    <row r="81" spans="1:79" s="1" customFormat="1">
      <c r="A81" s="30"/>
      <c r="B81" s="30"/>
      <c r="C81" s="30"/>
      <c r="D81" s="30"/>
      <c r="E81" s="30"/>
      <c r="F81" s="31"/>
      <c r="G81" s="31"/>
      <c r="H81" s="31"/>
      <c r="I81" s="31"/>
      <c r="J81" s="31"/>
      <c r="K81" s="31"/>
      <c r="L81" s="31"/>
      <c r="M81" s="31"/>
      <c r="N81" s="31"/>
      <c r="O81" s="31"/>
      <c r="P81" s="31"/>
      <c r="Q81" s="31"/>
      <c r="R81" s="31"/>
      <c r="S81" s="31"/>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row>
    <row r="82" spans="1:79" s="1" customFormat="1">
      <c r="A82" s="30"/>
      <c r="B82" s="30"/>
      <c r="C82" s="30"/>
      <c r="D82" s="30"/>
      <c r="E82" s="30"/>
      <c r="F82" s="31"/>
      <c r="G82" s="31"/>
      <c r="H82" s="31"/>
      <c r="I82" s="31"/>
      <c r="J82" s="31"/>
      <c r="K82" s="31"/>
      <c r="L82" s="31"/>
      <c r="M82" s="31"/>
      <c r="N82" s="31"/>
      <c r="O82" s="31"/>
      <c r="P82" s="31"/>
      <c r="Q82" s="31"/>
      <c r="R82" s="31"/>
      <c r="S82" s="31"/>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row>
    <row r="83" spans="1:79" s="1" customFormat="1">
      <c r="A83" s="30"/>
      <c r="B83" s="30"/>
      <c r="C83" s="30"/>
      <c r="D83" s="30"/>
      <c r="E83" s="30"/>
      <c r="F83" s="31"/>
      <c r="G83" s="31"/>
      <c r="H83" s="31"/>
      <c r="I83" s="31"/>
      <c r="J83" s="31"/>
      <c r="K83" s="31"/>
      <c r="L83" s="31"/>
      <c r="M83" s="31"/>
      <c r="N83" s="31"/>
      <c r="O83" s="31"/>
      <c r="P83" s="31"/>
      <c r="Q83" s="31"/>
      <c r="R83" s="31"/>
      <c r="S83" s="31"/>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row>
    <row r="84" spans="1:79" s="1" customFormat="1">
      <c r="A84" s="30"/>
      <c r="B84" s="30"/>
      <c r="C84" s="30"/>
      <c r="D84" s="30"/>
      <c r="E84" s="30"/>
      <c r="F84" s="31"/>
      <c r="G84" s="31"/>
      <c r="H84" s="31"/>
      <c r="I84" s="31"/>
      <c r="J84" s="31"/>
      <c r="K84" s="31"/>
      <c r="L84" s="31"/>
      <c r="M84" s="31"/>
      <c r="N84" s="31"/>
      <c r="O84" s="31"/>
      <c r="P84" s="31"/>
      <c r="Q84" s="31"/>
      <c r="R84" s="31"/>
      <c r="S84" s="31"/>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row>
    <row r="85" spans="1:79" s="1" customFormat="1">
      <c r="A85" s="30"/>
      <c r="B85" s="30"/>
      <c r="C85" s="30"/>
      <c r="D85" s="30"/>
      <c r="E85" s="30"/>
      <c r="F85" s="31"/>
      <c r="G85" s="31"/>
      <c r="H85" s="31"/>
      <c r="I85" s="31"/>
      <c r="J85" s="31"/>
      <c r="K85" s="31"/>
      <c r="L85" s="31"/>
      <c r="M85" s="31"/>
      <c r="N85" s="31"/>
      <c r="O85" s="31"/>
      <c r="P85" s="31"/>
      <c r="Q85" s="31"/>
      <c r="R85" s="31"/>
      <c r="S85" s="31"/>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row>
    <row r="86" spans="1:79" s="1" customFormat="1">
      <c r="A86" s="30"/>
      <c r="B86" s="30"/>
      <c r="C86" s="30"/>
      <c r="D86" s="30"/>
      <c r="E86" s="30"/>
      <c r="F86" s="31"/>
      <c r="G86" s="31"/>
      <c r="H86" s="31"/>
      <c r="I86" s="31"/>
      <c r="J86" s="31"/>
      <c r="K86" s="31"/>
      <c r="L86" s="31"/>
      <c r="M86" s="31"/>
      <c r="N86" s="31"/>
      <c r="O86" s="31"/>
      <c r="P86" s="31"/>
      <c r="Q86" s="31"/>
      <c r="R86" s="31"/>
      <c r="S86" s="31"/>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row>
    <row r="87" spans="1:79" s="1" customFormat="1">
      <c r="A87" s="30"/>
      <c r="B87" s="30"/>
      <c r="C87" s="30"/>
      <c r="D87" s="30"/>
      <c r="E87" s="30"/>
      <c r="F87" s="31"/>
      <c r="G87" s="31"/>
      <c r="H87" s="31"/>
      <c r="I87" s="31"/>
      <c r="J87" s="31"/>
      <c r="K87" s="31"/>
      <c r="L87" s="31"/>
      <c r="M87" s="31"/>
      <c r="N87" s="31"/>
      <c r="O87" s="31"/>
      <c r="P87" s="31"/>
      <c r="Q87" s="31"/>
      <c r="R87" s="31"/>
      <c r="S87" s="31"/>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row>
    <row r="88" spans="1:79" s="1" customFormat="1">
      <c r="A88" s="30"/>
      <c r="B88" s="30"/>
      <c r="C88" s="30"/>
      <c r="D88" s="30"/>
      <c r="E88" s="30"/>
      <c r="F88" s="31"/>
      <c r="G88" s="31"/>
      <c r="H88" s="31"/>
      <c r="I88" s="31"/>
      <c r="J88" s="31"/>
      <c r="K88" s="31"/>
      <c r="L88" s="31"/>
      <c r="M88" s="31"/>
      <c r="N88" s="31"/>
      <c r="O88" s="31"/>
      <c r="P88" s="31"/>
      <c r="Q88" s="31"/>
      <c r="R88" s="31"/>
      <c r="S88" s="31"/>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row>
    <row r="89" spans="1:79" s="1" customFormat="1">
      <c r="A89" s="30"/>
      <c r="B89" s="30"/>
      <c r="C89" s="30"/>
      <c r="D89" s="30"/>
      <c r="E89" s="30"/>
      <c r="F89" s="31"/>
      <c r="G89" s="31"/>
      <c r="H89" s="31"/>
      <c r="I89" s="31"/>
      <c r="J89" s="31"/>
      <c r="K89" s="31"/>
      <c r="L89" s="31"/>
      <c r="M89" s="31"/>
      <c r="N89" s="31"/>
      <c r="O89" s="31"/>
      <c r="P89" s="31"/>
      <c r="Q89" s="31"/>
      <c r="R89" s="31"/>
      <c r="S89" s="31"/>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row>
    <row r="90" spans="1:79" s="1" customFormat="1">
      <c r="A90" s="30"/>
      <c r="B90" s="30"/>
      <c r="C90" s="30"/>
      <c r="D90" s="30"/>
      <c r="E90" s="30"/>
      <c r="F90" s="31"/>
      <c r="G90" s="31"/>
      <c r="H90" s="31"/>
      <c r="I90" s="31"/>
      <c r="J90" s="31"/>
      <c r="K90" s="31"/>
      <c r="L90" s="31"/>
      <c r="M90" s="31"/>
      <c r="N90" s="31"/>
      <c r="O90" s="31"/>
      <c r="P90" s="31"/>
      <c r="Q90" s="31"/>
      <c r="R90" s="31"/>
      <c r="S90" s="31"/>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row>
    <row r="91" spans="1:79" s="1" customFormat="1">
      <c r="A91" s="30"/>
      <c r="B91" s="30"/>
      <c r="C91" s="30"/>
      <c r="D91" s="30"/>
      <c r="E91" s="30"/>
      <c r="F91" s="31"/>
      <c r="G91" s="31"/>
      <c r="H91" s="31"/>
      <c r="I91" s="31"/>
      <c r="J91" s="31"/>
      <c r="K91" s="31"/>
      <c r="L91" s="31"/>
      <c r="M91" s="31"/>
      <c r="N91" s="31"/>
      <c r="O91" s="31"/>
      <c r="P91" s="31"/>
      <c r="Q91" s="31"/>
      <c r="R91" s="31"/>
      <c r="S91" s="31"/>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row>
    <row r="92" spans="1:79" s="1" customFormat="1">
      <c r="A92" s="30"/>
      <c r="B92" s="30"/>
      <c r="C92" s="30"/>
      <c r="D92" s="30"/>
      <c r="E92" s="30"/>
      <c r="F92" s="31"/>
      <c r="G92" s="31"/>
      <c r="H92" s="31"/>
      <c r="I92" s="31"/>
      <c r="J92" s="31"/>
      <c r="K92" s="31"/>
      <c r="L92" s="31"/>
      <c r="M92" s="31"/>
      <c r="N92" s="31"/>
      <c r="O92" s="31"/>
      <c r="P92" s="31"/>
      <c r="Q92" s="31"/>
      <c r="R92" s="31"/>
      <c r="S92" s="31"/>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row>
    <row r="93" spans="1:79" s="1" customFormat="1">
      <c r="A93" s="30"/>
      <c r="B93" s="30"/>
      <c r="C93" s="30"/>
      <c r="D93" s="30"/>
      <c r="E93" s="30"/>
      <c r="F93" s="31"/>
      <c r="G93" s="31"/>
      <c r="H93" s="31"/>
      <c r="I93" s="31"/>
      <c r="J93" s="31"/>
      <c r="K93" s="31"/>
      <c r="L93" s="31"/>
      <c r="M93" s="31"/>
      <c r="N93" s="31"/>
      <c r="O93" s="31"/>
      <c r="P93" s="31"/>
      <c r="Q93" s="31"/>
      <c r="R93" s="31"/>
      <c r="S93" s="31"/>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row>
    <row r="94" spans="1:79" s="1" customFormat="1">
      <c r="A94" s="30"/>
      <c r="B94" s="30"/>
      <c r="C94" s="30"/>
      <c r="D94" s="30"/>
      <c r="E94" s="30"/>
      <c r="F94" s="31"/>
      <c r="G94" s="31"/>
      <c r="H94" s="31"/>
      <c r="I94" s="31"/>
      <c r="J94" s="31"/>
      <c r="K94" s="31"/>
      <c r="L94" s="31"/>
      <c r="M94" s="31"/>
      <c r="N94" s="31"/>
      <c r="O94" s="31"/>
      <c r="P94" s="31"/>
      <c r="Q94" s="31"/>
      <c r="R94" s="31"/>
      <c r="S94" s="31"/>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row>
    <row r="95" spans="1:79" s="1" customFormat="1">
      <c r="A95" s="30"/>
      <c r="B95" s="30"/>
      <c r="C95" s="30"/>
      <c r="D95" s="30"/>
      <c r="E95" s="30"/>
      <c r="F95" s="31"/>
      <c r="G95" s="31"/>
      <c r="H95" s="31"/>
      <c r="I95" s="31"/>
      <c r="J95" s="31"/>
      <c r="K95" s="31"/>
      <c r="L95" s="31"/>
      <c r="M95" s="31"/>
      <c r="N95" s="31"/>
      <c r="O95" s="31"/>
      <c r="P95" s="31"/>
      <c r="Q95" s="31"/>
      <c r="R95" s="31"/>
      <c r="S95" s="31"/>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row>
    <row r="96" spans="1:79" s="1" customFormat="1">
      <c r="A96" s="30"/>
      <c r="B96" s="30"/>
      <c r="C96" s="30"/>
      <c r="D96" s="30"/>
      <c r="E96" s="30"/>
      <c r="F96" s="31"/>
      <c r="G96" s="31"/>
      <c r="H96" s="31"/>
      <c r="I96" s="31"/>
      <c r="J96" s="31"/>
      <c r="K96" s="31"/>
      <c r="L96" s="31"/>
      <c r="M96" s="31"/>
      <c r="N96" s="31"/>
      <c r="O96" s="31"/>
      <c r="P96" s="31"/>
      <c r="Q96" s="31"/>
      <c r="R96" s="31"/>
      <c r="S96" s="31"/>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row>
    <row r="97" spans="1:79" s="1" customFormat="1">
      <c r="A97" s="30"/>
      <c r="B97" s="30"/>
      <c r="C97" s="30"/>
      <c r="D97" s="30"/>
      <c r="E97" s="30"/>
      <c r="F97" s="31"/>
      <c r="G97" s="31"/>
      <c r="H97" s="31"/>
      <c r="I97" s="31"/>
      <c r="J97" s="31"/>
      <c r="K97" s="31"/>
      <c r="L97" s="31"/>
      <c r="M97" s="31"/>
      <c r="N97" s="31"/>
      <c r="O97" s="31"/>
      <c r="P97" s="31"/>
      <c r="Q97" s="31"/>
      <c r="R97" s="31"/>
      <c r="S97" s="31"/>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row>
    <row r="98" spans="1:79" s="1" customFormat="1">
      <c r="A98" s="30"/>
      <c r="B98" s="30"/>
      <c r="C98" s="30"/>
      <c r="D98" s="30"/>
      <c r="E98" s="30"/>
      <c r="F98" s="31"/>
      <c r="G98" s="31"/>
      <c r="H98" s="31"/>
      <c r="I98" s="31"/>
      <c r="J98" s="31"/>
      <c r="K98" s="31"/>
      <c r="L98" s="31"/>
      <c r="M98" s="31"/>
      <c r="N98" s="31"/>
      <c r="O98" s="31"/>
      <c r="P98" s="31"/>
      <c r="Q98" s="31"/>
      <c r="R98" s="31"/>
      <c r="S98" s="31"/>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row>
    <row r="99" spans="1:79" s="1" customFormat="1">
      <c r="A99" s="30"/>
      <c r="B99" s="30"/>
      <c r="C99" s="30"/>
      <c r="D99" s="30"/>
      <c r="E99" s="30"/>
      <c r="F99" s="31"/>
      <c r="G99" s="31"/>
      <c r="H99" s="31"/>
      <c r="I99" s="31"/>
      <c r="J99" s="31"/>
      <c r="K99" s="31"/>
      <c r="L99" s="31"/>
      <c r="M99" s="31"/>
      <c r="N99" s="31"/>
      <c r="O99" s="31"/>
      <c r="P99" s="31"/>
      <c r="Q99" s="31"/>
      <c r="R99" s="31"/>
      <c r="S99" s="31"/>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row>
    <row r="100" spans="1:79" s="1" customFormat="1">
      <c r="A100" s="30"/>
      <c r="B100" s="30"/>
      <c r="C100" s="30"/>
      <c r="D100" s="30"/>
      <c r="E100" s="30"/>
      <c r="F100" s="31"/>
      <c r="G100" s="31"/>
      <c r="H100" s="31"/>
      <c r="I100" s="31"/>
      <c r="J100" s="31"/>
      <c r="K100" s="31"/>
      <c r="L100" s="31"/>
      <c r="M100" s="31"/>
      <c r="N100" s="31"/>
      <c r="O100" s="31"/>
      <c r="P100" s="31"/>
      <c r="Q100" s="31"/>
      <c r="R100" s="31"/>
      <c r="S100" s="31"/>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1">
    <mergeCell ref="D12:E12"/>
    <mergeCell ref="D13:E13"/>
    <mergeCell ref="B2:C2"/>
    <mergeCell ref="F3:G3"/>
    <mergeCell ref="F4:G4"/>
    <mergeCell ref="F5:G5"/>
    <mergeCell ref="B6:C6"/>
    <mergeCell ref="B4:D4"/>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7">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4">
      <formula1>$AD$2:$AD$9</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GF1138"/>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N13" sqref="N13"/>
    </sheetView>
  </sheetViews>
  <sheetFormatPr defaultColWidth="0" defaultRowHeight="15"/>
  <cols>
    <col min="1" max="1" width="6.42578125" style="4" hidden="1" customWidth="1"/>
    <col min="2" max="2" width="3.42578125" style="46" customWidth="1"/>
    <col min="3" max="3" width="17" style="48" customWidth="1"/>
    <col min="4" max="4" width="7.7109375" style="48" customWidth="1"/>
    <col min="5" max="5" width="9.28515625" style="48" customWidth="1"/>
    <col min="6" max="6" width="10.7109375" style="3" customWidth="1"/>
    <col min="7" max="7" width="8.42578125" style="3" customWidth="1"/>
    <col min="8" max="8" width="8" style="3" customWidth="1"/>
    <col min="9" max="14" width="7.5703125" style="3" customWidth="1"/>
    <col min="15" max="15" width="13" style="3" customWidth="1"/>
    <col min="16" max="20" width="7.7109375" style="3" customWidth="1"/>
    <col min="21" max="21" width="7.5703125" style="3" customWidth="1"/>
    <col min="22" max="22" width="8.28515625" style="3" customWidth="1"/>
    <col min="23" max="24" width="7.85546875" style="3" customWidth="1"/>
    <col min="25" max="25" width="7" style="3" customWidth="1"/>
    <col min="26" max="26" width="7.42578125" style="3" customWidth="1"/>
    <col min="27" max="27" width="11.140625" style="3" customWidth="1"/>
    <col min="28" max="28" width="13" style="3" customWidth="1"/>
    <col min="29" max="29" width="9.140625" style="3" customWidth="1"/>
    <col min="30" max="30" width="11.5703125" style="3" customWidth="1"/>
    <col min="31" max="31" width="9.140625" style="1" customWidth="1"/>
    <col min="32" max="32" width="30.28515625" style="1" customWidth="1"/>
    <col min="33" max="33" width="21.85546875" style="1" customWidth="1"/>
    <col min="34" max="34" width="26.42578125" style="1" customWidth="1"/>
    <col min="35" max="35" width="27.7109375" style="1" customWidth="1"/>
    <col min="36" max="36" width="20.7109375" style="1" customWidth="1"/>
    <col min="37" max="37" width="9.140625" style="1" customWidth="1"/>
    <col min="38" max="49" width="9.140625" style="1" hidden="1"/>
    <col min="50" max="50" width="8.85546875" style="1" hidden="1"/>
    <col min="51" max="153" width="9.140625" style="1" hidden="1"/>
    <col min="154" max="154" width="9" style="1" hidden="1"/>
    <col min="155" max="188" width="9.140625" style="1" hidden="1"/>
    <col min="189" max="16384" width="9.140625" style="4" hidden="1"/>
  </cols>
  <sheetData>
    <row r="1" spans="1:188" s="19" customFormat="1" ht="33.75" customHeight="1">
      <c r="B1" s="542" t="s">
        <v>396</v>
      </c>
      <c r="C1" s="542"/>
      <c r="D1" s="542"/>
      <c r="E1" s="548" t="str">
        <f>UPPER(IF(Master!D9="","",Master!D9))</f>
        <v>ANITA CHOUDHARY</v>
      </c>
      <c r="F1" s="548"/>
      <c r="G1" s="548"/>
      <c r="H1" s="548"/>
      <c r="I1" s="321"/>
      <c r="J1" s="321"/>
      <c r="K1" s="415">
        <f>ROUNDUP(ROUND(1.03*J3,0),-1)</f>
        <v>18080</v>
      </c>
      <c r="L1" s="22"/>
      <c r="M1" s="22"/>
      <c r="N1" s="415">
        <f>MROUND(F6*1.03,100)</f>
        <v>24400</v>
      </c>
      <c r="O1" s="22"/>
      <c r="P1" s="22"/>
      <c r="Q1" s="22"/>
      <c r="R1" s="22"/>
      <c r="S1" s="22"/>
      <c r="T1" s="22"/>
      <c r="U1" s="22"/>
      <c r="V1" s="22"/>
      <c r="W1" s="22"/>
      <c r="X1" s="22"/>
      <c r="Y1" s="22"/>
      <c r="Z1" s="22"/>
      <c r="AA1" s="22"/>
      <c r="AB1" s="22"/>
      <c r="AC1" s="22"/>
      <c r="AD1" s="22"/>
    </row>
    <row r="2" spans="1:188" ht="31.5" customHeight="1">
      <c r="B2" s="545" t="s">
        <v>496</v>
      </c>
      <c r="C2" s="545"/>
      <c r="D2" s="545"/>
      <c r="E2" s="546">
        <v>43160</v>
      </c>
      <c r="F2" s="546"/>
      <c r="G2" s="551" t="s">
        <v>498</v>
      </c>
      <c r="H2" s="552"/>
      <c r="I2" s="552"/>
      <c r="J2" s="409"/>
      <c r="K2" s="409"/>
      <c r="L2" s="22"/>
      <c r="M2" s="22"/>
      <c r="N2" s="22"/>
      <c r="O2" s="22"/>
      <c r="P2" s="22"/>
      <c r="Q2" s="22"/>
      <c r="R2" s="22"/>
      <c r="S2" s="22"/>
      <c r="T2" s="22"/>
      <c r="U2" s="22"/>
      <c r="V2" s="22"/>
      <c r="W2" s="22"/>
      <c r="X2" s="22"/>
      <c r="Y2" s="22"/>
      <c r="Z2" s="22"/>
      <c r="AA2" s="22"/>
      <c r="AB2" s="22"/>
      <c r="AC2" s="22"/>
      <c r="AD2" s="22"/>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row>
    <row r="3" spans="1:188" s="19" customFormat="1" ht="30" customHeight="1">
      <c r="B3" s="547" t="s">
        <v>497</v>
      </c>
      <c r="C3" s="547"/>
      <c r="D3" s="547"/>
      <c r="E3" s="549">
        <v>3600</v>
      </c>
      <c r="F3" s="549"/>
      <c r="G3" s="551"/>
      <c r="H3" s="552"/>
      <c r="I3" s="552"/>
      <c r="J3" s="553">
        <v>17550</v>
      </c>
      <c r="K3" s="553"/>
      <c r="L3" s="408"/>
      <c r="M3" s="408"/>
      <c r="N3" s="550" t="s">
        <v>287</v>
      </c>
      <c r="O3" s="550"/>
      <c r="P3" s="550"/>
      <c r="Q3" s="550"/>
      <c r="R3" s="550"/>
      <c r="S3" s="550"/>
      <c r="T3" s="550"/>
      <c r="U3" s="550"/>
      <c r="V3" s="550"/>
      <c r="W3" s="22"/>
      <c r="X3" s="22"/>
      <c r="Y3" s="22"/>
      <c r="Z3" s="22"/>
      <c r="AA3" s="22"/>
      <c r="AB3" s="22"/>
      <c r="AC3" s="22"/>
      <c r="AD3" s="22"/>
    </row>
    <row r="4" spans="1:188" s="15" customFormat="1" ht="17.25" customHeight="1" thickBot="1">
      <c r="A4" s="17"/>
      <c r="B4" s="44"/>
      <c r="C4" s="27">
        <v>2</v>
      </c>
      <c r="D4" s="27">
        <v>3</v>
      </c>
      <c r="E4" s="27">
        <v>4</v>
      </c>
      <c r="F4" s="27">
        <v>5</v>
      </c>
      <c r="G4" s="27">
        <v>6</v>
      </c>
      <c r="H4" s="27">
        <v>7</v>
      </c>
      <c r="I4" s="27">
        <v>8</v>
      </c>
      <c r="J4" s="27">
        <v>9</v>
      </c>
      <c r="K4" s="27">
        <v>10</v>
      </c>
      <c r="L4" s="27">
        <v>11</v>
      </c>
      <c r="M4" s="27">
        <v>12</v>
      </c>
      <c r="N4" s="27">
        <v>13</v>
      </c>
      <c r="O4" s="27">
        <v>14</v>
      </c>
      <c r="P4" s="27">
        <v>15</v>
      </c>
      <c r="Q4" s="27">
        <v>16</v>
      </c>
      <c r="R4" s="27">
        <v>17</v>
      </c>
      <c r="S4" s="27">
        <v>18</v>
      </c>
      <c r="T4" s="27">
        <v>19</v>
      </c>
      <c r="U4" s="27">
        <v>20</v>
      </c>
      <c r="V4" s="27">
        <v>21</v>
      </c>
      <c r="W4" s="27">
        <v>22</v>
      </c>
      <c r="X4" s="27">
        <v>23</v>
      </c>
      <c r="Y4" s="27">
        <v>24</v>
      </c>
      <c r="Z4" s="27">
        <v>25</v>
      </c>
      <c r="AA4" s="27">
        <v>26</v>
      </c>
      <c r="AB4" s="27">
        <v>27</v>
      </c>
      <c r="AC4" s="27">
        <v>28</v>
      </c>
      <c r="AD4" s="27">
        <v>29</v>
      </c>
      <c r="AE4" s="17"/>
      <c r="AF4" s="554"/>
      <c r="AG4" s="554"/>
      <c r="AH4" s="554"/>
      <c r="AI4" s="554"/>
      <c r="AJ4" s="554"/>
      <c r="AK4" s="554"/>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row>
    <row r="5" spans="1:188" s="12" customFormat="1" ht="58.5" customHeight="1">
      <c r="A5" s="18"/>
      <c r="B5" s="543" t="s">
        <v>148</v>
      </c>
      <c r="C5" s="540" t="s">
        <v>0</v>
      </c>
      <c r="D5" s="540" t="s">
        <v>1</v>
      </c>
      <c r="E5" s="540" t="s">
        <v>2</v>
      </c>
      <c r="F5" s="248" t="s">
        <v>147</v>
      </c>
      <c r="G5" s="540" t="s">
        <v>3</v>
      </c>
      <c r="H5" s="540" t="s">
        <v>4</v>
      </c>
      <c r="I5" s="248" t="s">
        <v>149</v>
      </c>
      <c r="J5" s="248" t="s">
        <v>150</v>
      </c>
      <c r="K5" s="540" t="s">
        <v>12</v>
      </c>
      <c r="L5" s="248" t="s">
        <v>207</v>
      </c>
      <c r="M5" s="540" t="s">
        <v>395</v>
      </c>
      <c r="N5" s="249" t="s">
        <v>508</v>
      </c>
      <c r="O5" s="540" t="s">
        <v>5</v>
      </c>
      <c r="P5" s="248" t="s">
        <v>8</v>
      </c>
      <c r="Q5" s="248" t="s">
        <v>7</v>
      </c>
      <c r="R5" s="248" t="s">
        <v>9</v>
      </c>
      <c r="S5" s="540" t="s">
        <v>62</v>
      </c>
      <c r="T5" s="248" t="s">
        <v>15</v>
      </c>
      <c r="U5" s="250" t="s">
        <v>576</v>
      </c>
      <c r="V5" s="250" t="s">
        <v>67</v>
      </c>
      <c r="W5" s="250" t="s">
        <v>151</v>
      </c>
      <c r="X5" s="248" t="s">
        <v>16</v>
      </c>
      <c r="Y5" s="251" t="s">
        <v>210</v>
      </c>
      <c r="Z5" s="250" t="s">
        <v>209</v>
      </c>
      <c r="AA5" s="540" t="s">
        <v>60</v>
      </c>
      <c r="AB5" s="540" t="s">
        <v>13</v>
      </c>
      <c r="AC5" s="540" t="s">
        <v>10</v>
      </c>
      <c r="AD5" s="559" t="s">
        <v>69</v>
      </c>
      <c r="AE5" s="18"/>
      <c r="AF5" s="554"/>
      <c r="AG5" s="554"/>
      <c r="AH5" s="554"/>
      <c r="AI5" s="554"/>
      <c r="AJ5" s="554"/>
      <c r="AK5" s="554"/>
      <c r="AL5" s="18"/>
      <c r="AM5" s="18"/>
      <c r="AN5" s="18"/>
      <c r="AO5" s="18"/>
      <c r="AP5" s="18" t="str">
        <f>Master!I4</f>
        <v>FIX Pay</v>
      </c>
      <c r="AQ5" s="18"/>
      <c r="AR5" s="3">
        <v>1700</v>
      </c>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row>
    <row r="6" spans="1:188" ht="20.25" customHeight="1">
      <c r="A6" s="30"/>
      <c r="B6" s="544"/>
      <c r="C6" s="541"/>
      <c r="D6" s="541"/>
      <c r="E6" s="541"/>
      <c r="F6" s="410">
        <v>23700</v>
      </c>
      <c r="G6" s="541"/>
      <c r="H6" s="541"/>
      <c r="I6" s="64"/>
      <c r="J6" s="64"/>
      <c r="K6" s="541"/>
      <c r="L6" s="268" t="str">
        <f>IF(AND(F6=""),"",IF(AND(Master!E6=Master!AB3),"",IF(AND(Master!E6=""),"",IF(AND(Master!I6=Master!AD10),AY10,IF(AND(Master!I6=Master!AD11),AZ10,IF(AND(Master!I6=Master!AD12),AZ10,IF(AND(Master!I6=Master!AD13),AZ10,IF(AND(Master!I6=Master!AD14),AZ10,""))))))))</f>
        <v/>
      </c>
      <c r="M6" s="541"/>
      <c r="N6" s="64"/>
      <c r="O6" s="541"/>
      <c r="P6" s="101">
        <v>3000</v>
      </c>
      <c r="Q6" s="101">
        <v>3575</v>
      </c>
      <c r="R6" s="101" t="str">
        <f>IF(AND(Master!I$4=Master!AB$20),"",IF(AND(Master!I$5=Master!AC$3),"",IF(F6&lt;18001,205,IF(F6&lt;33501,341,IF(F6&lt;54001,511,695)))))</f>
        <v/>
      </c>
      <c r="S6" s="541"/>
      <c r="T6" s="456">
        <v>2158</v>
      </c>
      <c r="U6" s="456"/>
      <c r="V6" s="456"/>
      <c r="W6" s="456"/>
      <c r="X6" s="263">
        <v>1000</v>
      </c>
      <c r="Y6" s="457">
        <v>220</v>
      </c>
      <c r="Z6" s="456"/>
      <c r="AA6" s="541"/>
      <c r="AB6" s="541"/>
      <c r="AC6" s="541"/>
      <c r="AD6" s="560"/>
      <c r="AE6" s="19"/>
      <c r="AF6" s="554"/>
      <c r="AG6" s="554"/>
      <c r="AH6" s="554"/>
      <c r="AI6" s="554"/>
      <c r="AJ6" s="554"/>
      <c r="AK6" s="554"/>
      <c r="AL6" s="19"/>
      <c r="AM6" s="19"/>
      <c r="AN6" s="19"/>
      <c r="AO6" s="19"/>
      <c r="AP6" s="19"/>
      <c r="AQ6" s="19"/>
      <c r="AR6" s="3">
        <v>1750</v>
      </c>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row>
    <row r="7" spans="1:188" ht="16.5" customHeight="1">
      <c r="A7" s="30" t="s">
        <v>243</v>
      </c>
      <c r="B7" s="252">
        <v>1</v>
      </c>
      <c r="C7" s="94">
        <v>43160</v>
      </c>
      <c r="D7" s="7"/>
      <c r="E7" s="38"/>
      <c r="F7" s="282">
        <f>IF(AND(E$2=AM12),F6,IF(AND(AP13=""),J$3,AP13))</f>
        <v>23700</v>
      </c>
      <c r="G7" s="99" t="str">
        <f>IF(AND(Master!I$4=Master!AB$20),"",IF(AND(F7=J$3),ROUND(142%*F7,0),ROUND(7%*F7,0)))</f>
        <v/>
      </c>
      <c r="H7" s="92" t="str">
        <f>IF(AND(Master!I$4=Master!AB$20),"",IF(AND(F7=J$3),ROUND(10%*F7,0),ROUND(8%*F7,0)))</f>
        <v/>
      </c>
      <c r="I7" s="99" t="str">
        <f>IF(AND(I6=""),"",IF(AND(Master!$I$4=Master!$AB$20),"",I6))</f>
        <v/>
      </c>
      <c r="J7" s="99" t="str">
        <f>IF(AND(J6=""),"",IF(AND(Master!$I$4=Master!$AB$20),"",J6))</f>
        <v/>
      </c>
      <c r="K7" s="238"/>
      <c r="L7" s="99" t="str">
        <f>IF(AND(L6=""),"",IF(AND(Master!$I$4=Master!$AB$20),"",L6))</f>
        <v/>
      </c>
      <c r="M7" s="272" t="str">
        <f>IF(AND(Master!I$4=Master!AB$20),"",IF(AND(Master!I$5=Master!AC$3),ROUND((F7+G7)*0.1,0),""))</f>
        <v/>
      </c>
      <c r="N7" s="99" t="str">
        <f>IF(AND(N6=""),"",IF(AND(Master!$I$4=Master!$AB$20),"",N6))</f>
        <v/>
      </c>
      <c r="O7" s="95">
        <f>IF(AND(C7=""),"",SUM(F7,G7,H7,I7,J7,K7,L7,N7))</f>
        <v>23700</v>
      </c>
      <c r="P7" s="99" t="str">
        <f>IF(AND(Master!I$4=Master!AB$20),"",P6)</f>
        <v/>
      </c>
      <c r="Q7" s="99" t="str">
        <f>IF(AND(Master!I$4=Master!AB$20),"",IF(AND(Master!I$5=Master!AC$2),Q6,""))</f>
        <v/>
      </c>
      <c r="R7" s="272" t="str">
        <f>IF(AND(Master!I$4=Master!AB$20),"",IF(AND(Master!I$5=Master!AC$2),R6,""))</f>
        <v/>
      </c>
      <c r="S7" s="272">
        <f>IF(AND(Master!I$4=Master!AB$20),ROUND((F7)*0.1,0),IF(AND(Master!I$5=Master!AC$3),ROUND((F7+G7)*0.1,0),""))</f>
        <v>2370</v>
      </c>
      <c r="T7" s="99" t="str">
        <f>IF(AND(T6=""),"",IF(AND(Master!$I$4=Master!$AB$20),"",T6))</f>
        <v/>
      </c>
      <c r="U7" s="99" t="str">
        <f>IF(AND(U6=""),"",IF(AND(Master!$I$4=Master!$AB$20),"",U6))</f>
        <v/>
      </c>
      <c r="V7" s="99" t="str">
        <f>IF(AND(V6=""),"",IF(AND(Master!$I$4=Master!$AB$20),"",V6))</f>
        <v/>
      </c>
      <c r="W7" s="99" t="str">
        <f>IF(AND(W6=""),"",IF(AND(Master!$I$4=Master!$AB$20),"",W6))</f>
        <v/>
      </c>
      <c r="X7" s="99" t="str">
        <f>IF(AND(X6=""),"",IF(AND(Master!$I$4=Master!$AB$20),"",X6))</f>
        <v/>
      </c>
      <c r="Y7" s="416"/>
      <c r="Z7" s="99" t="str">
        <f>IF(AND(Z6=""),"",IF(AND(Master!$I$4=Master!$AB$20),"",Z6))</f>
        <v/>
      </c>
      <c r="AA7" s="34">
        <f t="shared" ref="AA7:AA27" si="0">IF(AND(C7=""),"",SUM(P7:Z7))</f>
        <v>2370</v>
      </c>
      <c r="AB7" s="33">
        <f t="shared" ref="AB7:AB27" si="1">IF(AND(C7=""),"",O7-AA7)</f>
        <v>21330</v>
      </c>
      <c r="AC7" s="9"/>
      <c r="AD7" s="253"/>
      <c r="AE7" s="19"/>
      <c r="AF7" s="279"/>
      <c r="AG7" s="279"/>
      <c r="AH7" s="279"/>
      <c r="AI7" s="279"/>
      <c r="AJ7" s="279"/>
      <c r="AK7" s="279"/>
      <c r="AL7" s="19"/>
      <c r="AM7" s="19"/>
      <c r="AN7" s="19"/>
      <c r="AO7" s="19"/>
      <c r="AP7" s="19" t="s">
        <v>241</v>
      </c>
      <c r="AQ7" s="19"/>
      <c r="AR7" s="3">
        <v>1750</v>
      </c>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row>
    <row r="8" spans="1:188" ht="16.5" customHeight="1">
      <c r="A8" s="56" t="s">
        <v>244</v>
      </c>
      <c r="B8" s="252">
        <v>2</v>
      </c>
      <c r="C8" s="94">
        <v>43191</v>
      </c>
      <c r="D8" s="7"/>
      <c r="E8" s="38"/>
      <c r="F8" s="282">
        <f t="shared" ref="F8:F18" si="2">IF(AND(E$2=AM13),F7,IF(AND(AP14=""),J$3,AP14))</f>
        <v>23700</v>
      </c>
      <c r="G8" s="99" t="str">
        <f>IF(AND(Master!I$4=Master!AB$20),"",IF(AND(F8=J$3),ROUND(142%*F8,0),ROUND(7%*F8,0)))</f>
        <v/>
      </c>
      <c r="H8" s="92" t="str">
        <f>IF(AND(Master!I$4=Master!AB$20),"",IF(AND(F8=J$3),ROUND(10%*F8,0),ROUND(8%*F8,0)))</f>
        <v/>
      </c>
      <c r="I8" s="99" t="str">
        <f>IF(AND(I7=""),"",IF(AND(Master!$I$4=Master!$AB$20),"",I7))</f>
        <v/>
      </c>
      <c r="J8" s="99" t="str">
        <f>IF(AND(J7=""),"",IF(AND(Master!$I$4=Master!$AB$20),"",J7))</f>
        <v/>
      </c>
      <c r="K8" s="99"/>
      <c r="L8" s="99" t="str">
        <f>IF(AND(L7=""),"",IF(AND(Master!$I$4=Master!$AB$20),"",L7))</f>
        <v/>
      </c>
      <c r="M8" s="272" t="str">
        <f>IF(AND(Master!I$4=Master!AB$20),"",IF(AND(Master!I$5=Master!AC$3),ROUND((F8+G8)*0.1,0),""))</f>
        <v/>
      </c>
      <c r="N8" s="99" t="str">
        <f>IF(AND(N7=""),"",IF(AND(Master!$I$4=Master!$AB$20),"",N7))</f>
        <v/>
      </c>
      <c r="O8" s="95">
        <f t="shared" ref="O8:O18" si="3">IF(AND(C8=""),"",SUM(F8,G8,H8,I8,J8,K8,L8,N8))</f>
        <v>23700</v>
      </c>
      <c r="P8" s="99" t="str">
        <f>IF(AND(Master!I$4=Master!AB$20),"",P7)</f>
        <v/>
      </c>
      <c r="Q8" s="99" t="str">
        <f>IF(AND(Master!I$4=Master!AB$20),"",IF(AND(Master!I$5=Master!AC$2),Q7,""))</f>
        <v/>
      </c>
      <c r="R8" s="272" t="str">
        <f>IF(AND(Master!I$4=Master!AB$20),"",IF(AND(Master!I$5=Master!AC$3),"",IF(F6&lt;18001,205,IF(F6&lt;33501,364,IF(F6&lt;54001,545,725)))))</f>
        <v/>
      </c>
      <c r="S8" s="272">
        <f>IF(AND(Master!I$4=Master!AB$20),ROUND((F8)*0.1,0),IF(AND(Master!I$5=Master!AC$3),ROUND((F8+G8)*0.1,0),""))</f>
        <v>2370</v>
      </c>
      <c r="T8" s="99" t="str">
        <f>IF(AND(T7=""),"",IF(AND(Master!$I$4=Master!$AB$20),"",T7))</f>
        <v/>
      </c>
      <c r="U8" s="99" t="str">
        <f>IF(AND(U7=""),"",IF(AND(Master!$I$4=Master!$AB$20),"",U7))</f>
        <v/>
      </c>
      <c r="V8" s="99" t="str">
        <f>IF(AND(V7=""),"",IF(AND(Master!$I$4=Master!$AB$20),"",V7))</f>
        <v/>
      </c>
      <c r="W8" s="99" t="str">
        <f>IF(AND(W7=""),"",IF(AND(Master!$I$4=Master!$AB$20),"",W7))</f>
        <v/>
      </c>
      <c r="X8" s="99" t="str">
        <f>IF(AND(X7=""),"",IF(AND(Master!$I$4=Master!$AB$20),"",X7))</f>
        <v/>
      </c>
      <c r="Y8" s="103" t="str">
        <f>IF(AND(Y6=""),"",IF(AND(Master!I$4=Master!AB$20),"",Y6))</f>
        <v/>
      </c>
      <c r="Z8" s="99" t="str">
        <f>IF(AND(Z7=""),"",IF(AND(Master!$I$4=Master!$AB$20),"",Z7))</f>
        <v/>
      </c>
      <c r="AA8" s="34">
        <f t="shared" si="0"/>
        <v>2370</v>
      </c>
      <c r="AB8" s="33">
        <f t="shared" si="1"/>
        <v>21330</v>
      </c>
      <c r="AC8" s="9"/>
      <c r="AD8" s="253"/>
      <c r="AE8" s="19"/>
      <c r="AF8" s="19"/>
      <c r="AG8" s="19"/>
      <c r="AH8" s="19"/>
      <c r="AI8" s="19"/>
      <c r="AJ8" s="19"/>
      <c r="AK8" s="19"/>
      <c r="AL8" s="19"/>
      <c r="AM8" s="19"/>
      <c r="AN8" s="19"/>
      <c r="AO8" s="19"/>
      <c r="AP8" s="19"/>
      <c r="AQ8" s="19"/>
      <c r="AR8" s="3">
        <v>1900</v>
      </c>
      <c r="AS8" s="19"/>
      <c r="AT8" s="19"/>
      <c r="AU8" s="19"/>
      <c r="AV8" s="19"/>
      <c r="AW8" s="19"/>
      <c r="AX8" s="19"/>
      <c r="AY8" s="236" t="str">
        <f>IF(AND(Master!I$4=Master!AB$20),"",IF(AND(Master!E6=Master!AC2),"",IF(F6&lt;7001,190,IF(F6&lt;9001,300,IF(F6&gt;9000,480)))))</f>
        <v/>
      </c>
      <c r="AZ8" s="237" t="str">
        <f>IF(AND(Master!I$4=Master!AB$20),"",IF(AND(Master!E6=Master!AC2),"",IF(F6&lt;7001,70,IF(F6&lt;9001,130,IF(F6&gt;9000,240)))))</f>
        <v/>
      </c>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row>
    <row r="9" spans="1:188" ht="16.5" customHeight="1">
      <c r="A9" s="30" t="s">
        <v>245</v>
      </c>
      <c r="B9" s="252">
        <v>3</v>
      </c>
      <c r="C9" s="94">
        <v>43221</v>
      </c>
      <c r="D9" s="7"/>
      <c r="E9" s="38"/>
      <c r="F9" s="282">
        <f t="shared" si="2"/>
        <v>23700</v>
      </c>
      <c r="G9" s="99" t="str">
        <f>IF(AND(Master!I$4=Master!AB$20),"",IF(AND(F9=J$3),ROUND(142%*F9,0),ROUND(7%*F9,0)))</f>
        <v/>
      </c>
      <c r="H9" s="92" t="str">
        <f>IF(AND(Master!I$4=Master!AB$20),"",IF(AND(F9=J$3),ROUND(10%*F9,0),ROUND(8%*F9,0)))</f>
        <v/>
      </c>
      <c r="I9" s="99" t="str">
        <f>IF(AND(I8=""),"",IF(AND(Master!$I$4=Master!$AB$20),"",I8))</f>
        <v/>
      </c>
      <c r="J9" s="99" t="str">
        <f>IF(AND(J8=""),"",IF(AND(Master!$I$4=Master!$AB$20),"",J8))</f>
        <v/>
      </c>
      <c r="K9" s="99"/>
      <c r="L9" s="99" t="str">
        <f>IF(AND(L8=""),"",IF(AND(Master!$I$4=Master!$AB$20),"",L8))</f>
        <v/>
      </c>
      <c r="M9" s="272" t="str">
        <f>IF(AND(Master!I$4=Master!AB$20),"",IF(AND(Master!I$5=Master!AC$3),ROUND((F9+G9)*0.1,0),""))</f>
        <v/>
      </c>
      <c r="N9" s="99" t="str">
        <f>IF(AND(N8=""),"",IF(AND(Master!$I$4=Master!$AB$20),"",N8))</f>
        <v/>
      </c>
      <c r="O9" s="95">
        <f t="shared" si="3"/>
        <v>23700</v>
      </c>
      <c r="P9" s="99" t="str">
        <f>IF(AND(Master!I$4=Master!AB$20),"",P8)</f>
        <v/>
      </c>
      <c r="Q9" s="99" t="str">
        <f>IF(AND(Master!I$4=Master!AB$20),"",IF(AND(Master!I$5=Master!AC$2),Q8,""))</f>
        <v/>
      </c>
      <c r="R9" s="272" t="str">
        <f>IF(AND(Master!I$4=Master!AB$20),"",IF(AND(Master!I$5=Master!AC$2),R8,""))</f>
        <v/>
      </c>
      <c r="S9" s="272">
        <f>IF(AND(Master!I$4=Master!AB$20),ROUND((F9)*0.1,0),IF(AND(Master!I$5=Master!AC$3),ROUND((F9+G9)*0.1,0),""))</f>
        <v>2370</v>
      </c>
      <c r="T9" s="99" t="str">
        <f>IF(AND(T8=""),"",IF(AND(Master!$I$4=Master!$AB$20),"",T8))</f>
        <v/>
      </c>
      <c r="U9" s="99" t="str">
        <f>IF(AND(U8=""),"",IF(AND(Master!$I$4=Master!$AB$20),"",U8))</f>
        <v/>
      </c>
      <c r="V9" s="99" t="str">
        <f>IF(AND(V8=""),"",IF(AND(Master!$I$4=Master!$AB$20),"",V8))</f>
        <v/>
      </c>
      <c r="W9" s="99" t="str">
        <f>IF(AND(W8=""),"",IF(AND(Master!$I$4=Master!$AB$20),"",W8))</f>
        <v/>
      </c>
      <c r="X9" s="99" t="str">
        <f>IF(AND(X8=""),"",IF(AND(Master!$I$4=Master!$AB$20),"",X8))</f>
        <v/>
      </c>
      <c r="Y9" s="99"/>
      <c r="Z9" s="99" t="str">
        <f>IF(AND(Z8=""),"",IF(AND(Master!$I$4=Master!$AB$20),"",Z8))</f>
        <v/>
      </c>
      <c r="AA9" s="34">
        <f t="shared" si="0"/>
        <v>2370</v>
      </c>
      <c r="AB9" s="33">
        <f t="shared" si="1"/>
        <v>21330</v>
      </c>
      <c r="AC9" s="9"/>
      <c r="AD9" s="253"/>
      <c r="AE9" s="19"/>
      <c r="AF9" s="19"/>
      <c r="AG9" s="19"/>
      <c r="AH9" s="19"/>
      <c r="AI9" s="19"/>
      <c r="AJ9" s="19"/>
      <c r="AK9" s="19"/>
      <c r="AL9" s="19"/>
      <c r="AM9" s="19"/>
      <c r="AN9" s="19"/>
      <c r="AO9" s="19"/>
      <c r="AP9" s="19"/>
      <c r="AQ9" s="19"/>
      <c r="AR9" s="3">
        <v>2000</v>
      </c>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row>
    <row r="10" spans="1:188" ht="16.5" customHeight="1">
      <c r="A10" s="56" t="s">
        <v>246</v>
      </c>
      <c r="B10" s="252">
        <v>4</v>
      </c>
      <c r="C10" s="94">
        <v>43252</v>
      </c>
      <c r="D10" s="7"/>
      <c r="E10" s="38"/>
      <c r="F10" s="282">
        <f t="shared" si="2"/>
        <v>23700</v>
      </c>
      <c r="G10" s="99" t="str">
        <f>IF(AND(Master!I$4=Master!AB$20),"",IF(AND(F10=J$3),ROUND(142%*F10,0),ROUND(7%*F10,0)))</f>
        <v/>
      </c>
      <c r="H10" s="92" t="str">
        <f>IF(AND(Master!I$4=Master!AB$20),"",IF(AND(F10=J$3),ROUND(10%*F10,0),ROUND(8%*F10,0)))</f>
        <v/>
      </c>
      <c r="I10" s="99" t="str">
        <f>IF(AND(I9=""),"",IF(AND(Master!$I$4=Master!$AB$20),"",I9))</f>
        <v/>
      </c>
      <c r="J10" s="99" t="str">
        <f>IF(AND(J9=""),"",IF(AND(Master!$I$4=Master!$AB$20),"",J9))</f>
        <v/>
      </c>
      <c r="K10" s="99"/>
      <c r="L10" s="99" t="str">
        <f>IF(AND(L9=""),"",IF(AND(Master!$I$4=Master!$AB$20),"",L9))</f>
        <v/>
      </c>
      <c r="M10" s="272" t="str">
        <f>IF(AND(Master!I$4=Master!AB$20),"",IF(AND(Master!I$5=Master!AC$3),ROUND((F10+G10)*0.1,0),""))</f>
        <v/>
      </c>
      <c r="N10" s="99" t="str">
        <f>IF(AND(N9=""),"",IF(AND(Master!$I$4=Master!$AB$20),"",N9))</f>
        <v/>
      </c>
      <c r="O10" s="95">
        <f t="shared" si="3"/>
        <v>23700</v>
      </c>
      <c r="P10" s="99" t="str">
        <f>IF(AND(Master!I$4=Master!AB$20),"",P9)</f>
        <v/>
      </c>
      <c r="Q10" s="99" t="str">
        <f>IF(AND(Master!I$4=Master!AB$20),"",IF(AND(Master!I$5=Master!AC$2),Q9,""))</f>
        <v/>
      </c>
      <c r="R10" s="272" t="str">
        <f>IF(AND(Master!I$4=Master!AB$20),"",IF(AND(Master!I$5=Master!AC$2),R9,""))</f>
        <v/>
      </c>
      <c r="S10" s="272">
        <f>IF(AND(Master!I$4=Master!AB$20),ROUND((F10)*0.1,0),IF(AND(Master!I$5=Master!AC$3),ROUND((F10+G10)*0.1,0),""))</f>
        <v>2370</v>
      </c>
      <c r="T10" s="99" t="str">
        <f>IF(AND(T9=""),"",IF(AND(Master!$I$4=Master!$AB$20),"",T9))</f>
        <v/>
      </c>
      <c r="U10" s="99" t="str">
        <f>IF(AND(U9=""),"",IF(AND(Master!$I$4=Master!$AB$20),"",U9))</f>
        <v/>
      </c>
      <c r="V10" s="99" t="str">
        <f>IF(AND(V9=""),"",IF(AND(Master!$I$4=Master!$AB$20),"",V9))</f>
        <v/>
      </c>
      <c r="W10" s="99" t="str">
        <f>IF(AND(W9=""),"",IF(AND(Master!$I$4=Master!$AB$20),"",W9))</f>
        <v/>
      </c>
      <c r="X10" s="99" t="str">
        <f>IF(AND(X9=""),"",IF(AND(Master!$I$4=Master!$AB$20),"",X9))</f>
        <v/>
      </c>
      <c r="Y10" s="99"/>
      <c r="Z10" s="99" t="str">
        <f>IF(AND(Z9=""),"",IF(AND(Master!$I$4=Master!$AB$20),"",Z9))</f>
        <v/>
      </c>
      <c r="AA10" s="34">
        <f t="shared" si="0"/>
        <v>2370</v>
      </c>
      <c r="AB10" s="33">
        <f t="shared" si="1"/>
        <v>21330</v>
      </c>
      <c r="AC10" s="9"/>
      <c r="AD10" s="253"/>
      <c r="AE10" s="19"/>
      <c r="AF10" s="19"/>
      <c r="AG10" s="19"/>
      <c r="AH10" s="19"/>
      <c r="AI10" s="19"/>
      <c r="AJ10" s="19"/>
      <c r="AK10" s="19"/>
      <c r="AL10" s="19"/>
      <c r="AM10" s="19"/>
      <c r="AN10" s="19"/>
      <c r="AO10" s="19"/>
      <c r="AP10" s="19"/>
      <c r="AQ10" s="19"/>
      <c r="AR10" s="3" t="s">
        <v>276</v>
      </c>
      <c r="AS10" s="19"/>
      <c r="AT10" s="19"/>
      <c r="AU10" s="19"/>
      <c r="AV10" s="19"/>
      <c r="AW10" s="19"/>
      <c r="AX10" s="19"/>
      <c r="AY10" s="236" t="str">
        <f>IF(AND(Master!I$4=Master!AB$20),"",IF(AND(Master!E6=Master!AC2),"",IF(F15&lt;23101,620,IF(F15&gt;23100,1000))))</f>
        <v/>
      </c>
      <c r="AZ10" s="237" t="str">
        <f>IF(AND(Master!I$4=Master!AB$20),"",IF(AND(Master!E6=Master!AC2),"",IF(F15&lt;23101,320,IF(F15&gt;23100,620))))</f>
        <v/>
      </c>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row>
    <row r="11" spans="1:188" ht="16.5" customHeight="1">
      <c r="A11" s="30" t="s">
        <v>247</v>
      </c>
      <c r="B11" s="252">
        <v>5</v>
      </c>
      <c r="C11" s="94">
        <v>43282</v>
      </c>
      <c r="D11" s="7"/>
      <c r="E11" s="38"/>
      <c r="F11" s="282">
        <f t="shared" si="2"/>
        <v>23700</v>
      </c>
      <c r="G11" s="99" t="str">
        <f>IF(AND(Master!I$4=Master!AB$20),"",IF(AND(F11=K$1),ROUND(142%*F11,0),ROUND(7%*F11,0)))</f>
        <v/>
      </c>
      <c r="H11" s="92" t="str">
        <f>IF(AND(Master!I$4=Master!AB$20),"",IF(AND(F11=K$1),ROUND(10%*F11,0),ROUND(8%*F11,0)))</f>
        <v/>
      </c>
      <c r="I11" s="99" t="str">
        <f>IF(AND(I10=""),"",IF(AND(Master!$I$4=Master!$AB$20),"",I10))</f>
        <v/>
      </c>
      <c r="J11" s="99" t="str">
        <f>IF(AND(J10=""),"",IF(AND(Master!$I$4=Master!$AB$20),"",J10))</f>
        <v/>
      </c>
      <c r="K11" s="99"/>
      <c r="L11" s="99" t="str">
        <f>IF(AND(L10=""),"",IF(AND(Master!$I$4=Master!$AB$20),"",L10))</f>
        <v/>
      </c>
      <c r="M11" s="272" t="str">
        <f>IF(AND(Master!I$4=Master!AB$20),"",IF(AND(Master!I$5=Master!AC$3),ROUND((F11+G11)*0.1,0),""))</f>
        <v/>
      </c>
      <c r="N11" s="99" t="str">
        <f>IF(AND(N10=""),"",IF(AND(Master!$I$4=Master!$AB$20),"",N10))</f>
        <v/>
      </c>
      <c r="O11" s="95">
        <f t="shared" si="3"/>
        <v>23700</v>
      </c>
      <c r="P11" s="99" t="str">
        <f>IF(AND(Master!I$4=Master!AB$20),"",P10)</f>
        <v/>
      </c>
      <c r="Q11" s="99" t="str">
        <f>IF(AND(Master!I$4=Master!AB$20),"",IF(AND(Master!I$5=Master!AC$2),Q10,""))</f>
        <v/>
      </c>
      <c r="R11" s="272" t="str">
        <f>IF(AND(Master!I$4=Master!AB$20),"",IF(AND(Master!I$5=Master!AC$2),R10,""))</f>
        <v/>
      </c>
      <c r="S11" s="272">
        <f>IF(AND(Master!I$4=Master!AB$20),ROUND((F11)*0.1,0),IF(AND(Master!I$5=Master!AC$3),ROUND((F11+G11)*0.1,0),""))</f>
        <v>2370</v>
      </c>
      <c r="T11" s="99" t="str">
        <f>IF(AND(T10=""),"",IF(AND(Master!$I$4=Master!$AB$20),"",T10))</f>
        <v/>
      </c>
      <c r="U11" s="99" t="str">
        <f>IF(AND(U10=""),"",IF(AND(Master!$I$4=Master!$AB$20),"",U10))</f>
        <v/>
      </c>
      <c r="V11" s="99" t="str">
        <f>IF(AND(V10=""),"",IF(AND(Master!$I$4=Master!$AB$20),"",V10))</f>
        <v/>
      </c>
      <c r="W11" s="99" t="str">
        <f>IF(AND(W10=""),"",IF(AND(Master!$I$4=Master!$AB$20),"",W10))</f>
        <v/>
      </c>
      <c r="X11" s="99" t="str">
        <f>IF(AND(X10=""),"",IF(AND(Master!$I$4=Master!$AB$20),"",X10))</f>
        <v/>
      </c>
      <c r="Y11" s="99"/>
      <c r="Z11" s="99" t="str">
        <f>IF(AND(Z10=""),"",IF(AND(Master!$I$4=Master!$AB$20),"",Z10))</f>
        <v/>
      </c>
      <c r="AA11" s="34">
        <f t="shared" si="0"/>
        <v>2370</v>
      </c>
      <c r="AB11" s="33">
        <f t="shared" si="1"/>
        <v>21330</v>
      </c>
      <c r="AC11" s="9"/>
      <c r="AD11" s="253"/>
      <c r="AE11" s="19"/>
      <c r="AF11" s="19"/>
      <c r="AG11" s="19"/>
      <c r="AH11" s="19"/>
      <c r="AI11" s="19"/>
      <c r="AJ11" s="19"/>
      <c r="AK11" s="19"/>
      <c r="AL11" s="19"/>
      <c r="AM11" s="19"/>
      <c r="AN11" s="19"/>
      <c r="AO11" s="411">
        <f>IF(AND(E50=""),"",E50)</f>
        <v>23700</v>
      </c>
      <c r="AP11" s="19"/>
      <c r="AQ11" s="19"/>
      <c r="AR11" s="3" t="s">
        <v>277</v>
      </c>
      <c r="AS11" s="19"/>
      <c r="AT11" s="19"/>
      <c r="AU11" s="19"/>
      <c r="AV11" s="19"/>
      <c r="AW11" s="19"/>
      <c r="AX11" s="19"/>
      <c r="AY11" s="19" t="str">
        <f>IF(AND(Master!I$4=Master!AB$20),"",IF(AND(Master!E6=Master!AC2),"",IF(F16&lt;23101,620,IF(F16&gt;23100,1000))))</f>
        <v/>
      </c>
      <c r="AZ11" s="19" t="str">
        <f>IF(AND(Master!I$4=Master!AB$20),"",IF(AND(Master!E6=Master!AC2),"",IF(F16&lt;23101,320,IF(F16&gt;23100,620))))</f>
        <v/>
      </c>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row>
    <row r="12" spans="1:188" ht="16.5" customHeight="1">
      <c r="A12" s="56" t="s">
        <v>248</v>
      </c>
      <c r="B12" s="252">
        <v>6</v>
      </c>
      <c r="C12" s="94">
        <v>43313</v>
      </c>
      <c r="D12" s="7"/>
      <c r="E12" s="38"/>
      <c r="F12" s="282">
        <f t="shared" si="2"/>
        <v>23700</v>
      </c>
      <c r="G12" s="99" t="str">
        <f>IF(AND(Master!I$4=Master!AB$20),"",IF(AND(F12=K$1),ROUND(142%*F12,0),ROUND(7%*F12,0)))</f>
        <v/>
      </c>
      <c r="H12" s="92" t="str">
        <f>IF(AND(Master!I$4=Master!AB$20),"",IF(AND(F12=K$1),ROUND(10%*F12,0),ROUND(8%*F12,0)))</f>
        <v/>
      </c>
      <c r="I12" s="99" t="str">
        <f>IF(AND(I11=""),"",IF(AND(Master!$I$4=Master!$AB$20),"",I11))</f>
        <v/>
      </c>
      <c r="J12" s="99" t="str">
        <f>IF(AND(J11=""),"",IF(AND(Master!$I$4=Master!$AB$20),"",J11))</f>
        <v/>
      </c>
      <c r="K12" s="99"/>
      <c r="L12" s="99" t="str">
        <f>IF(AND(L11=""),"",IF(AND(Master!$I$4=Master!$AB$20),"",L11))</f>
        <v/>
      </c>
      <c r="M12" s="272" t="str">
        <f>IF(AND(Master!I$4=Master!AB$20),"",IF(AND(Master!I$5=Master!AC$3),ROUND((F12+G12)*0.1,0),""))</f>
        <v/>
      </c>
      <c r="N12" s="99"/>
      <c r="O12" s="95">
        <f t="shared" si="3"/>
        <v>23700</v>
      </c>
      <c r="P12" s="99" t="str">
        <f>IF(AND(Master!I$4=Master!AB$20),"",P11)</f>
        <v/>
      </c>
      <c r="Q12" s="99" t="str">
        <f>IF(AND(Master!I$4=Master!AB$20),"",IF(AND(Master!I$5=Master!AC$2),Q11,""))</f>
        <v/>
      </c>
      <c r="R12" s="272" t="str">
        <f>IF(AND(Master!I$4=Master!AB$20),"",IF(AND(Master!I$5=Master!AC$2),R11,""))</f>
        <v/>
      </c>
      <c r="S12" s="272">
        <f>IF(AND(Master!I$4=Master!AB$20),ROUND((F12)*0.1,0),IF(AND(Master!I$5=Master!AC$3),ROUND((F12+G12)*0.1,0),""))</f>
        <v>2370</v>
      </c>
      <c r="T12" s="99" t="str">
        <f>IF(AND(T11=""),"",IF(AND(Master!$I$4=Master!$AB$20),"",T11))</f>
        <v/>
      </c>
      <c r="U12" s="99" t="str">
        <f>IF(AND(U11=""),"",IF(AND(Master!$I$4=Master!$AB$20),"",U11))</f>
        <v/>
      </c>
      <c r="V12" s="99" t="str">
        <f>IF(AND(V11=""),"",IF(AND(Master!$I$4=Master!$AB$20),"",V11))</f>
        <v/>
      </c>
      <c r="W12" s="99" t="str">
        <f>IF(AND(W11=""),"",IF(AND(Master!$I$4=Master!$AB$20),"",W11))</f>
        <v/>
      </c>
      <c r="X12" s="99" t="str">
        <f>IF(AND(X11=""),"",IF(AND(Master!$I$4=Master!$AB$20),"",X11))</f>
        <v/>
      </c>
      <c r="Y12" s="99"/>
      <c r="Z12" s="99" t="str">
        <f>IF(AND(Z11=""),"",IF(AND(Master!$I$4=Master!$AB$20),"",Z11))</f>
        <v/>
      </c>
      <c r="AA12" s="34">
        <f t="shared" si="0"/>
        <v>2370</v>
      </c>
      <c r="AB12" s="33">
        <f t="shared" si="1"/>
        <v>21330</v>
      </c>
      <c r="AC12" s="9"/>
      <c r="AD12" s="253"/>
      <c r="AE12" s="19"/>
      <c r="AF12" s="19"/>
      <c r="AG12" s="19"/>
      <c r="AH12" s="19"/>
      <c r="AI12" s="19"/>
      <c r="AJ12" s="19"/>
      <c r="AK12" s="19"/>
      <c r="AL12" s="19"/>
      <c r="AM12" s="280">
        <v>43160</v>
      </c>
      <c r="AN12" s="4">
        <v>3</v>
      </c>
      <c r="AO12" s="4"/>
      <c r="AP12" s="412" t="str">
        <f>IF(AND($AO$16=$AM$12),"",IF(AND($AO$16=$AM$13),"",IF(AND($AO$16=$AM$14),"",IF(AND($AO$16=$AM$15),"",IF(AND($AO$16=$AM$16),"",IF(AND($AO$16=$AM$17),"",IF(AND($AO$16=$AM$18),"",IF(AND($AO$16=$AM$19),"",IF(AND($AO$16=$AM$20),"",IF(AND($AO$16=$AM$21),"",IF(AND($AO$16=$AM$22),"",IF(AND($AO$16=$AM$23),"",$AO$15))))))))))))</f>
        <v/>
      </c>
      <c r="AQ12" s="19"/>
      <c r="AR12" s="3" t="s">
        <v>278</v>
      </c>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row>
    <row r="13" spans="1:188" ht="16.5" customHeight="1">
      <c r="A13" s="30" t="s">
        <v>249</v>
      </c>
      <c r="B13" s="252">
        <v>7</v>
      </c>
      <c r="C13" s="94">
        <v>43344</v>
      </c>
      <c r="D13" s="7"/>
      <c r="E13" s="38"/>
      <c r="F13" s="282">
        <f t="shared" si="2"/>
        <v>23700</v>
      </c>
      <c r="G13" s="99" t="str">
        <f>IF(AND(Master!I$4=Master!AB$20),"",IF(AND(F13=K$1),ROUND(148%*F13,0),ROUND(9%*F13,0)))</f>
        <v/>
      </c>
      <c r="H13" s="92" t="str">
        <f>IF(AND(Master!I$4=Master!AB$20),"",IF(AND(F13=K$1),ROUND(10%*F13,0),ROUND(8%*F13,0)))</f>
        <v/>
      </c>
      <c r="I13" s="99" t="str">
        <f>IF(AND(I12=""),"",IF(AND(Master!$I$4=Master!$AB$20),"",I12))</f>
        <v/>
      </c>
      <c r="J13" s="99" t="str">
        <f>IF(AND(J12=""),"",IF(AND(Master!$I$4=Master!$AB$20),"",J12))</f>
        <v/>
      </c>
      <c r="K13" s="99"/>
      <c r="L13" s="99" t="str">
        <f>IF(AND(L12=""),"",IF(AND(Master!$I$4=Master!$AB$20),"",L12))</f>
        <v/>
      </c>
      <c r="M13" s="272" t="str">
        <f>IF(AND(Master!I$4=Master!AB$20),"",IF(AND(Master!I$5=Master!AC$3),ROUND((F13+G13)*0.1,0),""))</f>
        <v/>
      </c>
      <c r="N13" s="99" t="str">
        <f>IF(AND(N12=""),"",IF(AND(Master!$I$4=Master!$AB$20),"",N12))</f>
        <v/>
      </c>
      <c r="O13" s="95">
        <f t="shared" si="3"/>
        <v>23700</v>
      </c>
      <c r="P13" s="99" t="str">
        <f>IF(AND(Master!I$4=Master!AB$20),"",P12)</f>
        <v/>
      </c>
      <c r="Q13" s="99" t="str">
        <f>IF(AND(Master!I$4=Master!AB$20),"",IF(AND(Master!I$5=Master!AC$2),Q12,""))</f>
        <v/>
      </c>
      <c r="R13" s="272" t="str">
        <f>IF(AND(Master!I$4=Master!AB$20),"",IF(AND(Master!I$5=Master!AC$2),R12,""))</f>
        <v/>
      </c>
      <c r="S13" s="272">
        <f>IF(AND(Master!I$4=Master!AB$20),ROUND((F13)*0.1,0),IF(AND(Master!I$5=Master!AC$3),ROUND((F13+G13)*0.1,0),""))</f>
        <v>2370</v>
      </c>
      <c r="T13" s="99" t="str">
        <f>IF(AND(T12=""),"",IF(AND(Master!$I$4=Master!$AB$20),"",T12))</f>
        <v/>
      </c>
      <c r="U13" s="99" t="str">
        <f>IF(AND(U12=""),"",IF(AND(Master!$I$4=Master!$AB$20),"",U12))</f>
        <v/>
      </c>
      <c r="V13" s="99" t="str">
        <f>IF(AND(V12=""),"",IF(AND(Master!$I$4=Master!$AB$20),"",V12))</f>
        <v/>
      </c>
      <c r="W13" s="99" t="str">
        <f>IF(AND(W12=""),"",IF(AND(Master!$I$4=Master!$AB$20),"",W12))</f>
        <v/>
      </c>
      <c r="X13" s="99" t="str">
        <f>IF(AND(X12=""),"",IF(AND(Master!$I$4=Master!$AB$20),"",X12))</f>
        <v/>
      </c>
      <c r="Y13" s="99"/>
      <c r="Z13" s="99" t="str">
        <f>IF(AND(Z12=""),"",IF(AND(Master!$I$4=Master!$AB$20),"",Z12))</f>
        <v/>
      </c>
      <c r="AA13" s="34">
        <f t="shared" si="0"/>
        <v>2370</v>
      </c>
      <c r="AB13" s="33">
        <f t="shared" si="1"/>
        <v>21330</v>
      </c>
      <c r="AC13" s="9"/>
      <c r="AD13" s="253"/>
      <c r="AE13" s="19"/>
      <c r="AF13" s="19"/>
      <c r="AG13" s="19"/>
      <c r="AH13" s="19"/>
      <c r="AI13" s="19"/>
      <c r="AJ13" s="19"/>
      <c r="AK13" s="19"/>
      <c r="AL13" s="19"/>
      <c r="AM13" s="280">
        <v>43191</v>
      </c>
      <c r="AN13" s="4">
        <v>4</v>
      </c>
      <c r="AO13" s="4"/>
      <c r="AP13" s="412">
        <f>IF(AND($AO$16=$AM$13),"",IF(AND($AO$16=$AM$14),"",IF(AND($AO$16=$AM$15),"",IF(AND($AO$16=$AM$16),"",IF(AND($AO$16=$AM$17),"",IF(AND($AO$16=$AM$18),"",IF(AND($AO$16=$AM$19),"",IF(AND($AO$16=$AM$20),"",IF(AND($AO$16=$AM$21),"",IF(AND($AO$16=$AM$22),"",IF(AND($AO$16=$AM$23),"",$AO$15)))))))))))</f>
        <v>23700</v>
      </c>
      <c r="AQ13" s="19"/>
      <c r="AR13" s="3" t="s">
        <v>279</v>
      </c>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row>
    <row r="14" spans="1:188" ht="16.5" customHeight="1">
      <c r="A14" s="56" t="s">
        <v>250</v>
      </c>
      <c r="B14" s="252">
        <v>8</v>
      </c>
      <c r="C14" s="94">
        <v>43374</v>
      </c>
      <c r="D14" s="7"/>
      <c r="E14" s="38"/>
      <c r="F14" s="282">
        <f t="shared" si="2"/>
        <v>23700</v>
      </c>
      <c r="G14" s="99" t="str">
        <f>IF(AND(Master!I$4=Master!AB$20),"",IF(AND(F14=K$1),ROUND(148%*F14,0),ROUND(9%*F14,0)))</f>
        <v/>
      </c>
      <c r="H14" s="92" t="str">
        <f>IF(AND(Master!I$4=Master!AB$20),"",IF(AND(F14=K$1),ROUND(10%*F14,0),ROUND(8%*F14,0)))</f>
        <v/>
      </c>
      <c r="I14" s="99" t="str">
        <f>IF(AND(I13=""),"",IF(AND(Master!$I$4=Master!$AB$20),"",I13))</f>
        <v/>
      </c>
      <c r="J14" s="99" t="str">
        <f>IF(AND(J13=""),"",IF(AND(Master!$I$4=Master!$AB$20),"",J13))</f>
        <v/>
      </c>
      <c r="K14" s="99"/>
      <c r="L14" s="99" t="str">
        <f>IF(AND(L13=""),"",IF(AND(Master!$I$4=Master!$AB$20),"",L13))</f>
        <v/>
      </c>
      <c r="M14" s="272" t="str">
        <f>IF(AND(Master!I$4=Master!AB$20),"",IF(AND(Master!I$5=Master!AC$3),ROUND((F14+G14)*0.1,0),""))</f>
        <v/>
      </c>
      <c r="N14" s="99" t="str">
        <f>IF(AND(N13=""),"",IF(AND(Master!$I$4=Master!$AB$20),"",N13))</f>
        <v/>
      </c>
      <c r="O14" s="95">
        <f>IF(AND(C14=""),"",SUM(F14,G14,H14,I14,J14,K14,L14,N14))</f>
        <v>23700</v>
      </c>
      <c r="P14" s="99" t="str">
        <f>IF(AND(Master!I$4=Master!AB$20),"",P13)</f>
        <v/>
      </c>
      <c r="Q14" s="99" t="str">
        <f>IF(AND(Master!I$4=Master!AB$20),"",IF(AND(Master!I$5=Master!AC$2),Q13,""))</f>
        <v/>
      </c>
      <c r="R14" s="272" t="str">
        <f>IF(AND(Master!I$4=Master!AB$20),"",IF(AND(Master!I$5=Master!AC$3),"",IF(F6&lt;18001,228,IF(F6&lt;33501,379,IF(F6&lt;54001,568,755)))))</f>
        <v/>
      </c>
      <c r="S14" s="272">
        <f>IF(AND(Master!I$4=Master!AB$20),ROUND((F14)*0.1,0),IF(AND(Master!I$5=Master!AC$3),ROUND((F14+G14)*0.1,0),""))</f>
        <v>2370</v>
      </c>
      <c r="T14" s="99" t="str">
        <f>IF(AND(T13=""),"",IF(AND(Master!$I$4=Master!$AB$20),"",T13))</f>
        <v/>
      </c>
      <c r="U14" s="99" t="str">
        <f>IF(AND(U13=""),"",IF(AND(Master!$I$4=Master!$AB$20),"",U13))</f>
        <v/>
      </c>
      <c r="V14" s="99" t="str">
        <f>IF(AND(V13=""),"",IF(AND(Master!$I$4=Master!$AB$20),"",V13))</f>
        <v/>
      </c>
      <c r="W14" s="99" t="str">
        <f>IF(AND(W13=""),"",IF(AND(Master!$I$4=Master!$AB$20),"",W13))</f>
        <v/>
      </c>
      <c r="X14" s="99" t="str">
        <f>IF(AND(X13=""),"",IF(AND(Master!$I$4=Master!$AB$20),"",X13))</f>
        <v/>
      </c>
      <c r="Y14" s="99"/>
      <c r="Z14" s="99" t="str">
        <f>IF(AND(Z13=""),"",IF(AND(Master!$I$4=Master!$AB$20),"",Z13))</f>
        <v/>
      </c>
      <c r="AA14" s="34">
        <f t="shared" si="0"/>
        <v>2370</v>
      </c>
      <c r="AB14" s="33">
        <f t="shared" si="1"/>
        <v>21330</v>
      </c>
      <c r="AC14" s="9"/>
      <c r="AD14" s="253"/>
      <c r="AE14" s="19"/>
      <c r="AF14" s="19"/>
      <c r="AG14" s="19"/>
      <c r="AH14" s="19"/>
      <c r="AI14" s="19"/>
      <c r="AJ14" s="19"/>
      <c r="AK14" s="19"/>
      <c r="AL14" s="19"/>
      <c r="AM14" s="280">
        <v>43221</v>
      </c>
      <c r="AN14" s="4">
        <v>5</v>
      </c>
      <c r="AO14" s="4"/>
      <c r="AP14" s="412">
        <f>IF(AND($AO$16=$AM$14),"",IF(AND($AO$16=$AM$15),"",IF(AND($AO$16=$AM$16),"",IF(AND($AO$16=$AM$17),"",IF(AND($AO$16=$AM$18),"",IF(AND($AO$16=$AM$19),"",IF(AND($AO$16=$AM$20),"",IF(AND($AO$16=$AM$21),"",IF(AND($AO$16=$AM$22),"",IF(AND($AO$16=$AM$23),"",$AO$15))))))))))</f>
        <v>23700</v>
      </c>
      <c r="AQ14" s="19"/>
      <c r="AR14" s="3" t="s">
        <v>280</v>
      </c>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row>
    <row r="15" spans="1:188" ht="16.5" customHeight="1">
      <c r="A15" s="30" t="s">
        <v>251</v>
      </c>
      <c r="B15" s="252">
        <v>9</v>
      </c>
      <c r="C15" s="94">
        <v>43405</v>
      </c>
      <c r="D15" s="7"/>
      <c r="E15" s="38"/>
      <c r="F15" s="282">
        <f t="shared" si="2"/>
        <v>23700</v>
      </c>
      <c r="G15" s="99" t="str">
        <f>IF(AND(Master!I$4=Master!AB$20),"",IF(AND(F15=K$1),ROUND(148%*F15,0),ROUND(9%*F15,0)))</f>
        <v/>
      </c>
      <c r="H15" s="92" t="str">
        <f>IF(AND(Master!I$4=Master!AB$20),"",IF(AND(F15=K$1),ROUND(10%*F15,0),ROUND(8%*F15,0)))</f>
        <v/>
      </c>
      <c r="I15" s="99" t="str">
        <f>IF(AND(I14=""),"",IF(AND(Master!$I$4=Master!$AB$20),"",I14))</f>
        <v/>
      </c>
      <c r="J15" s="99" t="str">
        <f>IF(AND(J14=""),"",IF(AND(Master!$I$4=Master!$AB$20),"",J14))</f>
        <v/>
      </c>
      <c r="K15" s="99"/>
      <c r="L15" s="99" t="str">
        <f>IF(AND(L14=""),"",IF(AND(Master!$I$4=Master!$AB$20),"",L14))</f>
        <v/>
      </c>
      <c r="M15" s="272" t="str">
        <f>IF(AND(Master!I$4=Master!AB$20),"",IF(AND(Master!I$5=Master!AC$3),ROUND((F15+G15)*0.1,0),""))</f>
        <v/>
      </c>
      <c r="N15" s="99" t="str">
        <f>IF(AND(N14=""),"",IF(AND(Master!$I$4=Master!$AB$20),"",N14))</f>
        <v/>
      </c>
      <c r="O15" s="95">
        <f t="shared" si="3"/>
        <v>23700</v>
      </c>
      <c r="P15" s="99" t="str">
        <f>IF(AND(Master!I$4=Master!AB$20),"",P14)</f>
        <v/>
      </c>
      <c r="Q15" s="99" t="str">
        <f>IF(AND(Master!I$4=Master!AB$20),"",IF(AND(Master!I$5=Master!AC$2),Q14,""))</f>
        <v/>
      </c>
      <c r="R15" s="272" t="str">
        <f>IF(AND(Master!I$4=Master!AB$20),"",IF(AND(Master!I$5=Master!AC$2),R14,""))</f>
        <v/>
      </c>
      <c r="S15" s="272">
        <f>IF(AND(Master!I$4=Master!AB$20),ROUND((F15)*0.1,0),IF(AND(Master!I$5=Master!AC$3),ROUND((F15+G15)*0.1,0),""))</f>
        <v>2370</v>
      </c>
      <c r="T15" s="99" t="str">
        <f>IF(AND(T14=""),"",IF(AND(Master!$I$4=Master!$AB$20),"",T14))</f>
        <v/>
      </c>
      <c r="U15" s="99" t="str">
        <f>IF(AND(U14=""),"",IF(AND(Master!$I$4=Master!$AB$20),"",U14))</f>
        <v/>
      </c>
      <c r="V15" s="99" t="str">
        <f>IF(AND(V14=""),"",IF(AND(Master!$I$4=Master!$AB$20),"",V14))</f>
        <v/>
      </c>
      <c r="W15" s="99" t="str">
        <f>IF(AND(W14=""),"",IF(AND(Master!$I$4=Master!$AB$20),"",W14))</f>
        <v/>
      </c>
      <c r="X15" s="99" t="str">
        <f>IF(AND(X14=""),"",IF(AND(Master!$I$4=Master!$AB$20),"",X14))</f>
        <v/>
      </c>
      <c r="Y15" s="99"/>
      <c r="Z15" s="99" t="str">
        <f>IF(AND(Z14=""),"",IF(AND(Master!$I$4=Master!$AB$20),"",Z14))</f>
        <v/>
      </c>
      <c r="AA15" s="34">
        <f t="shared" si="0"/>
        <v>2370</v>
      </c>
      <c r="AB15" s="33">
        <f t="shared" si="1"/>
        <v>21330</v>
      </c>
      <c r="AC15" s="9"/>
      <c r="AD15" s="254"/>
      <c r="AE15" s="19"/>
      <c r="AF15" s="19"/>
      <c r="AG15" s="19"/>
      <c r="AH15" s="19"/>
      <c r="AI15" s="19"/>
      <c r="AJ15" s="19"/>
      <c r="AK15" s="19"/>
      <c r="AL15" s="19"/>
      <c r="AM15" s="280">
        <v>43252</v>
      </c>
      <c r="AN15" s="4">
        <v>6</v>
      </c>
      <c r="AO15" s="4">
        <f>IF(AND(E50=""),"",E50)</f>
        <v>23700</v>
      </c>
      <c r="AP15" s="412">
        <f>IF(AND($AO$16=$AM$15),"",IF(AND($AO$16=$AM$16),"",IF(AND($AO$16=$AM$17),"",IF(AND($AO$16=$AM$18),"",IF(AND($AO$16=$AM$19),"",IF(AND($AO$16=$AM$20),"",IF(AND($AO$16=$AM$21),"",IF(AND($AO$16=$AM$22),"",IF(AND($AO$16=$AM$23),"",$AO$15)))))))))</f>
        <v>23700</v>
      </c>
      <c r="AQ15" s="19"/>
      <c r="AR15" s="3">
        <v>3600</v>
      </c>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row>
    <row r="16" spans="1:188" ht="16.5" customHeight="1">
      <c r="A16" s="56" t="s">
        <v>252</v>
      </c>
      <c r="B16" s="252">
        <v>10</v>
      </c>
      <c r="C16" s="94">
        <v>43435</v>
      </c>
      <c r="D16" s="7"/>
      <c r="E16" s="38"/>
      <c r="F16" s="282">
        <f t="shared" si="2"/>
        <v>23700</v>
      </c>
      <c r="G16" s="99" t="str">
        <f>IF(AND(Master!I$4=Master!AB$20),"",IF(AND(F16=K$1),ROUND(148%*F16,0),ROUND(9%*F16,0)))</f>
        <v/>
      </c>
      <c r="H16" s="92" t="str">
        <f>IF(AND(Master!I$4=Master!AB$20),"",IF(AND(F16=K$1),ROUND(10%*F16,0),ROUND(8%*F16,0)))</f>
        <v/>
      </c>
      <c r="I16" s="99" t="str">
        <f>IF(AND(I15=""),"",IF(AND(Master!$I$4=Master!$AB$20),"",I15))</f>
        <v/>
      </c>
      <c r="J16" s="99" t="str">
        <f>IF(AND(J15=""),"",IF(AND(Master!$I$4=Master!$AB$20),"",J15))</f>
        <v/>
      </c>
      <c r="K16" s="99"/>
      <c r="L16" s="99" t="str">
        <f>IF(AND(L15=""),"",IF(AND(Master!$I$4=Master!$AB$20),"",L15))</f>
        <v/>
      </c>
      <c r="M16" s="272" t="str">
        <f>IF(AND(Master!I$4=Master!AB$20),"",IF(AND(Master!I$5=Master!AC$3),ROUND((F16+G16)*0.1,0),""))</f>
        <v/>
      </c>
      <c r="N16" s="99" t="str">
        <f>IF(AND(N15=""),"",IF(AND(Master!$I$4=Master!$AB$20),"",N15))</f>
        <v/>
      </c>
      <c r="O16" s="95">
        <f t="shared" si="3"/>
        <v>23700</v>
      </c>
      <c r="P16" s="99" t="str">
        <f>IF(AND(Master!I$4=Master!AB$20),"",P15)</f>
        <v/>
      </c>
      <c r="Q16" s="99" t="str">
        <f>IF(AND(Master!I$4=Master!AB$20),"",IF(AND(Master!I$5=Master!AC$2),Q15,""))</f>
        <v/>
      </c>
      <c r="R16" s="272" t="str">
        <f>IF(AND(Master!I$4=Master!AB$20),"",IF(AND(Master!I$5=Master!AC$2),R15,""))</f>
        <v/>
      </c>
      <c r="S16" s="272">
        <f>IF(AND(Master!I$4=Master!AB$20),ROUND((F16)*0.1,0),IF(AND(Master!I$5=Master!AC$3),ROUND((F16+G16)*0.1,0),""))</f>
        <v>2370</v>
      </c>
      <c r="T16" s="99" t="str">
        <f>IF(AND(T15=""),"",IF(AND(Master!$I$4=Master!$AB$20),"",T15))</f>
        <v/>
      </c>
      <c r="U16" s="99" t="str">
        <f>IF(AND(U15=""),"",IF(AND(Master!$I$4=Master!$AB$20),"",U15))</f>
        <v/>
      </c>
      <c r="V16" s="99" t="str">
        <f>IF(AND(V15=""),"",IF(AND(Master!$I$4=Master!$AB$20),"",V15))</f>
        <v/>
      </c>
      <c r="W16" s="99" t="str">
        <f>IF(AND(W15=""),"",IF(AND(Master!$I$4=Master!$AB$20),"",W15))</f>
        <v/>
      </c>
      <c r="X16" s="99" t="str">
        <f>IF(AND(X15=""),"",IF(AND(Master!$I$4=Master!$AB$20),"",X15))</f>
        <v/>
      </c>
      <c r="Y16" s="99"/>
      <c r="Z16" s="99" t="str">
        <f>IF(AND(Z15=""),"",IF(AND(Master!$I$4=Master!$AB$20),"",Z15))</f>
        <v/>
      </c>
      <c r="AA16" s="34">
        <f t="shared" si="0"/>
        <v>2370</v>
      </c>
      <c r="AB16" s="33">
        <f t="shared" si="1"/>
        <v>21330</v>
      </c>
      <c r="AC16" s="9"/>
      <c r="AD16" s="254"/>
      <c r="AE16" s="19"/>
      <c r="AF16" s="19"/>
      <c r="AG16" s="19"/>
      <c r="AH16" s="19"/>
      <c r="AI16" s="19"/>
      <c r="AJ16" s="19"/>
      <c r="AK16" s="19"/>
      <c r="AL16" s="19"/>
      <c r="AM16" s="280">
        <v>43282</v>
      </c>
      <c r="AN16" s="4">
        <v>7</v>
      </c>
      <c r="AO16" s="281">
        <f>E2</f>
        <v>43160</v>
      </c>
      <c r="AP16" s="412">
        <f>IF(AND($AO$16=$AM$16),"",IF(AND($AO$16=$AM$17),"",IF(AND($AO$16=$AM$18),"",IF(AND($AO$16=$AM$19),"",IF(AND($AO$16=$AM$20),"",IF(AND($AO$16=$AM$21),"",IF(AND($AO$16=$AM$22),"",IF(AND($AO$16=$AM$23),"",$AO$15))))))))</f>
        <v>23700</v>
      </c>
      <c r="AQ16" s="19"/>
      <c r="AR16" s="3">
        <v>4200</v>
      </c>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row>
    <row r="17" spans="1:188" ht="16.5" customHeight="1">
      <c r="A17" s="30" t="s">
        <v>253</v>
      </c>
      <c r="B17" s="252">
        <v>11</v>
      </c>
      <c r="C17" s="94">
        <v>43466</v>
      </c>
      <c r="D17" s="7"/>
      <c r="E17" s="38"/>
      <c r="F17" s="282">
        <f t="shared" si="2"/>
        <v>23700</v>
      </c>
      <c r="G17" s="99" t="str">
        <f>IF(AND(Master!I$4=Master!AB$20),"",IF(AND(F17=K$1),ROUND(148%*F17,0),ROUND(9%*F17,0)))</f>
        <v/>
      </c>
      <c r="H17" s="92" t="str">
        <f>IF(AND(Master!I$4=Master!AB$20),"",IF(AND(F17=K$1),ROUND(10%*F17,0),ROUND(8%*F17,0)))</f>
        <v/>
      </c>
      <c r="I17" s="99" t="str">
        <f>IF(AND(I16=""),"",IF(AND(Master!$I$4=Master!$AB$20),"",I16))</f>
        <v/>
      </c>
      <c r="J17" s="99" t="str">
        <f>IF(AND(J16=""),"",IF(AND(Master!$I$4=Master!$AB$20),"",J16))</f>
        <v/>
      </c>
      <c r="K17" s="99"/>
      <c r="L17" s="99" t="str">
        <f>IF(AND(L16=""),"",IF(AND(Master!$I$4=Master!$AB$20),"",L16))</f>
        <v/>
      </c>
      <c r="M17" s="272" t="str">
        <f>IF(AND(Master!I$4=Master!AB$20),"",IF(AND(Master!I$5=Master!AC$3),ROUND((F17+G17)*0.1,0),""))</f>
        <v/>
      </c>
      <c r="N17" s="99" t="str">
        <f>IF(AND(N16=""),"",IF(AND(Master!$I$4=Master!$AB$20),"",N16))</f>
        <v/>
      </c>
      <c r="O17" s="95">
        <f t="shared" si="3"/>
        <v>23700</v>
      </c>
      <c r="P17" s="99" t="str">
        <f>IF(AND(Master!I$4=Master!AB$20),"",P16)</f>
        <v/>
      </c>
      <c r="Q17" s="99" t="str">
        <f>IF(AND(Master!I$4=Master!AB$20),"",IF(AND(Master!I$5=Master!AC$2),Q16,""))</f>
        <v/>
      </c>
      <c r="R17" s="272" t="str">
        <f>IF(AND(Master!I$4=Master!AB$20),"",IF(AND(Master!I$5=Master!AC$2),R16,""))</f>
        <v/>
      </c>
      <c r="S17" s="272">
        <f>IF(AND(Master!I$4=Master!AB$20),ROUND((F17)*0.1,0),IF(AND(Master!I$5=Master!AC$3),ROUND((F17+G17)*0.1,0),""))</f>
        <v>2370</v>
      </c>
      <c r="T17" s="99" t="str">
        <f>IF(AND(T16=""),"",IF(AND(Master!$I$4=Master!$AB$20),"",T16))</f>
        <v/>
      </c>
      <c r="U17" s="99" t="str">
        <f>IF(AND(U16=""),"",IF(AND(Master!$I$4=Master!$AB$20),"",U16))</f>
        <v/>
      </c>
      <c r="V17" s="99" t="str">
        <f>IF(AND(V16=""),"",IF(AND(Master!$I$4=Master!$AB$20),"",V16))</f>
        <v/>
      </c>
      <c r="W17" s="99" t="str">
        <f>IF(AND(W16=""),"",IF(AND(Master!$I$4=Master!$AB$20),"",W16))</f>
        <v/>
      </c>
      <c r="X17" s="99" t="str">
        <f>IF(AND(X16=""),"",IF(AND(Master!$I$4=Master!$AB$20),"",X16))</f>
        <v/>
      </c>
      <c r="Y17" s="99"/>
      <c r="Z17" s="99" t="str">
        <f>IF(AND(Z16=""),"",IF(AND(Master!$I$4=Master!$AB$20),"",Z16))</f>
        <v/>
      </c>
      <c r="AA17" s="34">
        <f t="shared" si="0"/>
        <v>2370</v>
      </c>
      <c r="AB17" s="33">
        <f t="shared" si="1"/>
        <v>21330</v>
      </c>
      <c r="AC17" s="9"/>
      <c r="AD17" s="254"/>
      <c r="AE17" s="19"/>
      <c r="AF17" s="19"/>
      <c r="AG17" s="19"/>
      <c r="AH17" s="19"/>
      <c r="AI17" s="19"/>
      <c r="AJ17" s="19"/>
      <c r="AK17" s="19"/>
      <c r="AL17" s="19"/>
      <c r="AM17" s="280">
        <v>43313</v>
      </c>
      <c r="AN17" s="4">
        <v>8</v>
      </c>
      <c r="AO17" s="4"/>
      <c r="AP17" s="412">
        <f>IF(AND($AO$16=$AM$17),"",IF(AND($AO$16=$AM$18),"",IF(AND($AO$16=$AM$19),"",IF(AND($AO$16=$AM$20),"",IF(AND($AO$16=$AM$21),"",IF(AND($AO$16=$AM$22),"",IF(AND($AO$16=$AM$23),"",IF(AND(AP$5=AP$7),AO15,MROUND(AO15*1.03,100)))))))))</f>
        <v>23700</v>
      </c>
      <c r="AQ17" s="19">
        <f>IF(AND(AP$5=AP$7),AO15,MROUND(AO15*1.03,100))</f>
        <v>23700</v>
      </c>
      <c r="AR17" s="3">
        <v>4800</v>
      </c>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row>
    <row r="18" spans="1:188" ht="16.5" customHeight="1">
      <c r="A18" s="56" t="s">
        <v>254</v>
      </c>
      <c r="B18" s="252">
        <v>12</v>
      </c>
      <c r="C18" s="94">
        <v>43497</v>
      </c>
      <c r="D18" s="7"/>
      <c r="E18" s="38"/>
      <c r="F18" s="282">
        <f t="shared" si="2"/>
        <v>23700</v>
      </c>
      <c r="G18" s="99" t="str">
        <f>IF(AND(Master!I$4=Master!AB$20),"",IF(AND(F18=K$1),ROUND(148%*F18,0),ROUND(9%*F18,0)))</f>
        <v/>
      </c>
      <c r="H18" s="92" t="str">
        <f>IF(AND(Master!I$4=Master!AB$20),"",IF(AND(F18=K$1),ROUND(10%*F18,0),ROUND(8%*F18,0)))</f>
        <v/>
      </c>
      <c r="I18" s="99" t="str">
        <f>IF(AND(I17=""),"",IF(AND(Master!$I$4=Master!$AB$20),"",I17))</f>
        <v/>
      </c>
      <c r="J18" s="99" t="str">
        <f>IF(AND(J17=""),"",IF(AND(Master!$I$4=Master!$AB$20),"",J17))</f>
        <v/>
      </c>
      <c r="K18" s="99"/>
      <c r="L18" s="99" t="str">
        <f>IF(AND(L17=""),"",IF(AND(Master!$I$4=Master!$AB$20),"",L17))</f>
        <v/>
      </c>
      <c r="M18" s="272" t="str">
        <f>IF(AND(Master!I$4=Master!AB$20),"",IF(AND(Master!I$5=Master!AC$3),ROUND((F18+G18)*0.1,0),""))</f>
        <v/>
      </c>
      <c r="N18" s="99" t="str">
        <f>IF(AND(N17=""),"",IF(AND(Master!$I$4=Master!$AB$20),"",N17))</f>
        <v/>
      </c>
      <c r="O18" s="95">
        <f>IF(AND(C18=""),"",SUM(F18,G18,H18,I18,J18,K18,L18,N18))</f>
        <v>23700</v>
      </c>
      <c r="P18" s="99" t="str">
        <f>IF(AND(Master!I$4=Master!AB$20),"",P17)</f>
        <v/>
      </c>
      <c r="Q18" s="99" t="str">
        <f>IF(AND(Master!I$4=Master!AB$20),"",IF(AND(Master!I$5=Master!AC$2),Q17,""))</f>
        <v/>
      </c>
      <c r="R18" s="272" t="str">
        <f>IF(AND(Master!I$4=Master!AB$20),"",IF(AND(Master!I$5=Master!AC$2),R17,""))</f>
        <v/>
      </c>
      <c r="S18" s="272">
        <f>IF(AND(Master!I$4=Master!AB$20),ROUND((F18)*0.1,0),IF(AND(Master!I$5=Master!AC$3),ROUND((F18+G18)*0.1,0),""))</f>
        <v>2370</v>
      </c>
      <c r="T18" s="99" t="str">
        <f>IF(AND(T17=""),"",IF(AND(Master!$I$4=Master!$AB$20),"",T17))</f>
        <v/>
      </c>
      <c r="U18" s="99" t="str">
        <f>IF(AND(U17=""),"",IF(AND(Master!$I$4=Master!$AB$20),"",U17))</f>
        <v/>
      </c>
      <c r="V18" s="99" t="str">
        <f>IF(AND(V17=""),"",IF(AND(Master!$I$4=Master!$AB$20),"",V17))</f>
        <v/>
      </c>
      <c r="W18" s="99" t="str">
        <f>IF(AND(W17=""),"",IF(AND(Master!$I$4=Master!$AB$20),"",W17))</f>
        <v/>
      </c>
      <c r="X18" s="99" t="str">
        <f>IF(AND(X17=""),"",IF(AND(Master!$I$4=Master!$AB$20),"",X17))</f>
        <v/>
      </c>
      <c r="Y18" s="99"/>
      <c r="Z18" s="99" t="str">
        <f>IF(AND(Z17=""),"",IF(AND(Master!$I$4=Master!$AB$20),"",Z17))</f>
        <v/>
      </c>
      <c r="AA18" s="34">
        <f t="shared" si="0"/>
        <v>2370</v>
      </c>
      <c r="AB18" s="33">
        <f t="shared" si="1"/>
        <v>21330</v>
      </c>
      <c r="AC18" s="9"/>
      <c r="AD18" s="253"/>
      <c r="AE18" s="91"/>
      <c r="AF18" s="19"/>
      <c r="AG18" s="19"/>
      <c r="AH18" s="19"/>
      <c r="AI18" s="19"/>
      <c r="AJ18" s="19"/>
      <c r="AK18" s="19"/>
      <c r="AL18" s="19"/>
      <c r="AM18" s="280">
        <v>43344</v>
      </c>
      <c r="AN18" s="4">
        <v>9</v>
      </c>
      <c r="AO18" s="4"/>
      <c r="AP18" s="412">
        <f>IF(AND($AO$16=$AM$18),"",IF(AND($AO$16=$AM$19),"",IF(AND($AO$16=$AM$20),"",IF(AND($AO$16=$AM$21),"",IF(AND($AO$16=$AM$22),"",IF(AND($AO$16=$AM$23),"",AQ17))))))</f>
        <v>23700</v>
      </c>
      <c r="AQ18" s="19"/>
      <c r="AR18" s="3" t="s">
        <v>282</v>
      </c>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row>
    <row r="19" spans="1:188" s="45" customFormat="1" ht="16.5" customHeight="1">
      <c r="B19" s="252">
        <v>13</v>
      </c>
      <c r="C19" s="458" t="s">
        <v>12</v>
      </c>
      <c r="D19" s="28"/>
      <c r="E19" s="39"/>
      <c r="F19" s="273"/>
      <c r="G19" s="284"/>
      <c r="H19" s="283"/>
      <c r="I19" s="273"/>
      <c r="J19" s="273"/>
      <c r="K19" s="459" t="str">
        <f>IF(AND(Master!I3=""),"",IF(AND(Master!I3=Master!AB2),Master!J3,IF(AND(Master!I3=Master!AB2),"0","")))</f>
        <v/>
      </c>
      <c r="L19" s="273"/>
      <c r="M19" s="272" t="str">
        <f>IF(AND(Master!I$4=Master!AB$20),"",IF(AND(Master!I$5=Master!AC$3),ROUND((F19+G19)*0.1,0),""))</f>
        <v/>
      </c>
      <c r="N19" s="273"/>
      <c r="O19" s="95">
        <f>IF(AND(C19=""),"",SUM(F19,G19,H19,I19,J19,K19,L19,N19))</f>
        <v>0</v>
      </c>
      <c r="P19" s="273"/>
      <c r="Q19" s="273"/>
      <c r="R19" s="272"/>
      <c r="S19" s="272" t="str">
        <f>IF(AND(Master!I$4=Master!AB$20),"",IF(AND(Master!I$5=Master!AC$3),ROUND((F19+G19)*0.1,0),""))</f>
        <v/>
      </c>
      <c r="T19" s="273"/>
      <c r="U19" s="273"/>
      <c r="V19" s="273"/>
      <c r="W19" s="273"/>
      <c r="X19" s="274"/>
      <c r="Y19" s="273"/>
      <c r="Z19" s="285"/>
      <c r="AA19" s="34">
        <f t="shared" si="0"/>
        <v>0</v>
      </c>
      <c r="AB19" s="33">
        <f t="shared" si="1"/>
        <v>0</v>
      </c>
      <c r="AC19" s="43"/>
      <c r="AD19" s="255"/>
      <c r="AE19" s="20"/>
      <c r="AF19" s="20"/>
      <c r="AG19" s="20"/>
      <c r="AH19" s="20"/>
      <c r="AI19" s="20"/>
      <c r="AJ19" s="20"/>
      <c r="AK19" s="20"/>
      <c r="AL19" s="20"/>
      <c r="AM19" s="280">
        <v>43374</v>
      </c>
      <c r="AN19" s="4">
        <v>10</v>
      </c>
      <c r="AO19" s="4"/>
      <c r="AP19" s="412">
        <f>IF(AND($AO$16=$AM$19),"",IF(AND($AO$16=$AM$20),"",IF(AND($AO$16=$AM$21),"",IF(AND($AO$16=$AM$22),"",IF(AND($AO$16=$AM$23),"",AQ17)))))</f>
        <v>23700</v>
      </c>
      <c r="AQ19" s="20"/>
      <c r="AR19" s="3" t="s">
        <v>281</v>
      </c>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row>
    <row r="20" spans="1:188" s="37" customFormat="1" ht="16.5" customHeight="1">
      <c r="B20" s="252">
        <v>14</v>
      </c>
      <c r="C20" s="102" t="s">
        <v>509</v>
      </c>
      <c r="D20" s="28"/>
      <c r="E20" s="39"/>
      <c r="F20" s="63"/>
      <c r="G20" s="99" t="str">
        <f>IF(AND(Master!I4=Master!AB20),"",(ROUND(7%*F7,0)-ROUND(5%*F7,0))*3)</f>
        <v/>
      </c>
      <c r="H20" s="283"/>
      <c r="I20" s="273"/>
      <c r="J20" s="273"/>
      <c r="K20" s="273"/>
      <c r="L20" s="273"/>
      <c r="M20" s="272" t="str">
        <f>IF(AND(Master!I$4=Master!AB$20),"",IF(AND(Master!I$5=Master!AC$3),ROUND((F20+G20)*0.1,0),""))</f>
        <v/>
      </c>
      <c r="N20" s="273"/>
      <c r="O20" s="95">
        <f t="shared" ref="O19:O23" si="4">IF(AND(C20=""),"",SUM(F20,G20,H20,I20,J20,K20,L20,N20))</f>
        <v>0</v>
      </c>
      <c r="P20" s="273"/>
      <c r="Q20" s="272" t="str">
        <f>IF(AND(Master!I5=Master!AC$2),Bills!G20,"")</f>
        <v/>
      </c>
      <c r="R20" s="272"/>
      <c r="S20" s="272" t="str">
        <f>IF(AND(Master!I$4=Master!AB$20),"",IF(AND(Master!I$5=Master!AC$3),ROUND((F20+G20)*0.1,0),""))</f>
        <v/>
      </c>
      <c r="T20" s="273"/>
      <c r="U20" s="273"/>
      <c r="V20" s="273"/>
      <c r="W20" s="273"/>
      <c r="X20" s="274"/>
      <c r="Y20" s="273"/>
      <c r="Z20" s="285"/>
      <c r="AA20" s="34">
        <f t="shared" si="0"/>
        <v>0</v>
      </c>
      <c r="AB20" s="33">
        <f t="shared" si="1"/>
        <v>0</v>
      </c>
      <c r="AC20" s="5"/>
      <c r="AD20" s="256"/>
      <c r="AE20" s="21"/>
      <c r="AF20" s="21"/>
      <c r="AG20" s="21"/>
      <c r="AH20" s="21"/>
      <c r="AI20" s="21"/>
      <c r="AJ20" s="21"/>
      <c r="AK20" s="21"/>
      <c r="AL20" s="21"/>
      <c r="AM20" s="280">
        <v>43405</v>
      </c>
      <c r="AN20" s="4">
        <v>11</v>
      </c>
      <c r="AO20" s="4"/>
      <c r="AP20" s="412">
        <f>IF(AND($AO$16=$AM$20),"",IF(AND($AO$16=$AM$21),"",IF(AND($AO$16=$AM$22),"",IF(AND($AO$16=$AM$23),"",AQ17))))</f>
        <v>23700</v>
      </c>
      <c r="AQ20" s="21"/>
      <c r="AR20" s="3">
        <v>6000</v>
      </c>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row>
    <row r="21" spans="1:188" s="37" customFormat="1" ht="16.5" customHeight="1">
      <c r="B21" s="252">
        <v>15</v>
      </c>
      <c r="C21" s="102" t="s">
        <v>510</v>
      </c>
      <c r="D21" s="28"/>
      <c r="E21" s="39"/>
      <c r="F21" s="63"/>
      <c r="G21" s="99" t="str">
        <f>IF(AND(Master!I4=Master!AB20),"",(ROUND(9%*F11,0)-ROUND(7%*F11,0))*2)</f>
        <v/>
      </c>
      <c r="H21" s="283"/>
      <c r="I21" s="273"/>
      <c r="J21" s="273"/>
      <c r="K21" s="273"/>
      <c r="L21" s="273"/>
      <c r="M21" s="272" t="str">
        <f>IF(AND(Master!I$4=Master!AB$20),"",IF(AND(Master!I$5=Master!AC$3),ROUND((F21+G21)*0.1,0),""))</f>
        <v/>
      </c>
      <c r="N21" s="273"/>
      <c r="O21" s="95">
        <f t="shared" si="4"/>
        <v>0</v>
      </c>
      <c r="P21" s="273"/>
      <c r="Q21" s="272" t="str">
        <f>IF(AND(Master!I5=Master!AC$2),Bills!G21,"")</f>
        <v/>
      </c>
      <c r="R21" s="272"/>
      <c r="S21" s="272" t="str">
        <f>IF(AND(Master!I$4=Master!AB$20),"",IF(AND(Master!I$5=Master!AC$3),ROUND((F21+G21)*0.1,0),""))</f>
        <v/>
      </c>
      <c r="T21" s="273"/>
      <c r="U21" s="273"/>
      <c r="V21" s="273"/>
      <c r="W21" s="273"/>
      <c r="X21" s="274"/>
      <c r="Y21" s="273"/>
      <c r="Z21" s="285"/>
      <c r="AA21" s="34">
        <f t="shared" si="0"/>
        <v>0</v>
      </c>
      <c r="AB21" s="33">
        <f t="shared" si="1"/>
        <v>0</v>
      </c>
      <c r="AC21" s="5"/>
      <c r="AD21" s="256"/>
      <c r="AE21" s="21"/>
      <c r="AF21" s="21"/>
      <c r="AG21" s="21"/>
      <c r="AH21" s="21"/>
      <c r="AI21" s="21"/>
      <c r="AJ21" s="21"/>
      <c r="AK21" s="21"/>
      <c r="AL21" s="21"/>
      <c r="AM21" s="280">
        <v>43435</v>
      </c>
      <c r="AN21" s="4">
        <v>12</v>
      </c>
      <c r="AO21" s="4"/>
      <c r="AP21" s="412">
        <f>IF(AND($AO$16=$AM$21),"",IF(AND($AO$16=$AM$22),"",IF(AND($AO$16=$AM$23),"",AQ17)))</f>
        <v>23700</v>
      </c>
      <c r="AQ21" s="21"/>
      <c r="AR21" s="3">
        <v>6600</v>
      </c>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row>
    <row r="22" spans="1:188" ht="16.5" customHeight="1">
      <c r="B22" s="252">
        <v>16</v>
      </c>
      <c r="C22" s="460" t="s">
        <v>208</v>
      </c>
      <c r="D22" s="7"/>
      <c r="E22" s="38"/>
      <c r="F22" s="99" t="str">
        <f>IF(AND(Master!I4=Master!AB20),"",IF(Master!E2="NO",0,VLOOKUP(Master!I2,Bills!A7:G18,6,FALSE))/2)</f>
        <v/>
      </c>
      <c r="G22" s="99" t="str">
        <f>IF(AND(Master!I4=Master!AB20),"",IF(Master!E2="NO",0,VLOOKUP(Master!I2,Bills!A7:G18,7,FALSE))/2)</f>
        <v/>
      </c>
      <c r="H22" s="283"/>
      <c r="I22" s="284"/>
      <c r="J22" s="284"/>
      <c r="K22" s="284"/>
      <c r="L22" s="427"/>
      <c r="M22" s="426"/>
      <c r="N22" s="427"/>
      <c r="O22" s="95">
        <f t="shared" si="4"/>
        <v>0</v>
      </c>
      <c r="P22" s="427"/>
      <c r="Q22" s="426"/>
      <c r="R22" s="426"/>
      <c r="S22" s="426"/>
      <c r="T22" s="427"/>
      <c r="U22" s="427"/>
      <c r="V22" s="427"/>
      <c r="W22" s="427"/>
      <c r="X22" s="428"/>
      <c r="Y22" s="427"/>
      <c r="Z22" s="286"/>
      <c r="AA22" s="34">
        <f t="shared" si="0"/>
        <v>0</v>
      </c>
      <c r="AB22" s="33">
        <f t="shared" si="1"/>
        <v>0</v>
      </c>
      <c r="AC22" s="9"/>
      <c r="AD22" s="254"/>
      <c r="AE22" s="19"/>
      <c r="AF22" s="19"/>
      <c r="AG22" s="19"/>
      <c r="AH22" s="19"/>
      <c r="AI22" s="19"/>
      <c r="AJ22" s="19"/>
      <c r="AK22" s="19"/>
      <c r="AL22" s="19"/>
      <c r="AM22" s="280">
        <v>43466</v>
      </c>
      <c r="AN22" s="4">
        <v>1</v>
      </c>
      <c r="AO22" s="4"/>
      <c r="AP22" s="412">
        <f>IF(AND($AO$16=$AM$22),"",IF(AND($AO$16=$AM$23),"",AQ17))</f>
        <v>23700</v>
      </c>
      <c r="AQ22" s="19"/>
      <c r="AR22" s="3">
        <v>6800</v>
      </c>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row>
    <row r="23" spans="1:188" ht="16.5" customHeight="1">
      <c r="B23" s="252">
        <v>17</v>
      </c>
      <c r="C23" s="460" t="s">
        <v>511</v>
      </c>
      <c r="D23" s="7"/>
      <c r="E23" s="38"/>
      <c r="F23" s="100"/>
      <c r="G23" s="99"/>
      <c r="H23" s="92"/>
      <c r="I23" s="92"/>
      <c r="J23" s="92"/>
      <c r="K23" s="92"/>
      <c r="L23" s="92"/>
      <c r="M23" s="99" t="str">
        <f>IF(AND(F23=""),"",IF(AND(Master!I$4=Master!AB$20),"",IF(AND(Master!I$5=Master!AC$3),ROUND((F23+G23)*0.1,0),"")))</f>
        <v/>
      </c>
      <c r="N23" s="92"/>
      <c r="O23" s="95">
        <f t="shared" si="4"/>
        <v>0</v>
      </c>
      <c r="P23" s="327"/>
      <c r="Q23" s="100" t="str">
        <f>IF(AND(Master!I$4=Master!AB$20),"",IF(AND(Master!I$5=Master!AC$2),O23-X23,""))</f>
        <v/>
      </c>
      <c r="R23" s="99"/>
      <c r="S23" s="99" t="str">
        <f>IF(AND(O23=""),"",IF(AND(O23=0),"",IF(AND(Master!I$4=Master!AB$20),ROUND((F23)*0.1,0),IF(AND(Master!I$5=Master!AC$3),ROUND((F23+G23)*0.1,0),""))))</f>
        <v/>
      </c>
      <c r="T23" s="284"/>
      <c r="U23" s="284"/>
      <c r="V23" s="284"/>
      <c r="W23" s="284"/>
      <c r="X23" s="92" t="str">
        <f>IF(AND(Master!I$4=Master!AB$20),"",IF(AND(O23=0),"",IF(AND(O23=""),"",IF(AND(Master!I$5=Master!AB$3),ROUND((O23-S23)*0.1,0),ROUND(O23*0.1,0)))))</f>
        <v/>
      </c>
      <c r="Y23" s="284"/>
      <c r="Z23" s="275"/>
      <c r="AA23" s="34">
        <f t="shared" si="0"/>
        <v>0</v>
      </c>
      <c r="AB23" s="33">
        <f t="shared" si="1"/>
        <v>0</v>
      </c>
      <c r="AC23" s="9"/>
      <c r="AD23" s="254"/>
      <c r="AE23" s="19"/>
      <c r="AF23" s="19"/>
      <c r="AG23" s="19"/>
      <c r="AH23" s="19"/>
      <c r="AI23" s="19"/>
      <c r="AJ23" s="19"/>
      <c r="AK23" s="19"/>
      <c r="AL23" s="19"/>
      <c r="AM23" s="280">
        <v>43497</v>
      </c>
      <c r="AN23" s="4">
        <v>2</v>
      </c>
      <c r="AO23" s="4"/>
      <c r="AP23" s="412">
        <f>IF(AND($AO$16=$AM$23),"",AQ17)</f>
        <v>23700</v>
      </c>
      <c r="AQ23" s="19"/>
      <c r="AR23" s="3">
        <v>7200</v>
      </c>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row>
    <row r="24" spans="1:188" ht="16.5" customHeight="1">
      <c r="B24" s="252">
        <v>18</v>
      </c>
      <c r="C24" s="460" t="s">
        <v>511</v>
      </c>
      <c r="D24" s="7"/>
      <c r="E24" s="38"/>
      <c r="F24" s="100"/>
      <c r="G24" s="99"/>
      <c r="H24" s="98"/>
      <c r="I24" s="100"/>
      <c r="J24" s="100"/>
      <c r="K24" s="100"/>
      <c r="L24" s="100"/>
      <c r="M24" s="99" t="str">
        <f>IF(AND(F24=""),"",IF(AND(Master!I$4=Master!AB$20),"",IF(AND(Master!I$5=Master!AC$3),ROUND((F24+G24)*0.1,0),"")))</f>
        <v/>
      </c>
      <c r="N24" s="100"/>
      <c r="O24" s="95">
        <f>IF(AND(C24=""),"",SUM(F24,G24,H24,I24,J24,K24,L24,N24))</f>
        <v>0</v>
      </c>
      <c r="P24" s="327"/>
      <c r="Q24" s="100" t="str">
        <f>IF(AND(Master!I$4=Master!AB$20),"",IF(AND(Master!I$5=Master!AC$2),O24-X24,""))</f>
        <v/>
      </c>
      <c r="R24" s="99"/>
      <c r="S24" s="99" t="str">
        <f>IF(AND(O24=""),"",IF(AND(O24=0),"",IF(AND(Master!I$4=Master!AB$20),ROUND((F24)*0.1,0),IF(AND(Master!I$5=Master!AC$3),ROUND((F24+G24)*0.1,0),""))))</f>
        <v/>
      </c>
      <c r="T24" s="284"/>
      <c r="U24" s="284"/>
      <c r="V24" s="284"/>
      <c r="W24" s="284"/>
      <c r="X24" s="92" t="str">
        <f>IF(AND(Master!I$4=Master!AB$20),"",IF(AND(O24=0),"",IF(AND(O24=""),"",IF(AND(Master!I$5=Master!AB$3),ROUND((O24-S24)*0.1,0),ROUND(O24*0.1,0)))))</f>
        <v/>
      </c>
      <c r="Y24" s="284"/>
      <c r="Z24" s="275"/>
      <c r="AA24" s="34">
        <f t="shared" si="0"/>
        <v>0</v>
      </c>
      <c r="AB24" s="33">
        <f t="shared" si="1"/>
        <v>0</v>
      </c>
      <c r="AC24" s="9"/>
      <c r="AD24" s="254"/>
      <c r="AE24" s="19"/>
      <c r="AF24" s="19"/>
      <c r="AG24" s="19"/>
      <c r="AH24" s="19"/>
      <c r="AI24" s="19"/>
      <c r="AJ24" s="19"/>
      <c r="AK24" s="19"/>
      <c r="AL24" s="19"/>
      <c r="AM24" s="280"/>
      <c r="AN24" s="4"/>
      <c r="AO24" s="4"/>
      <c r="AP24" s="412">
        <f>IF(AND($AO$16=$AM$23),"",AQ17)</f>
        <v>23700</v>
      </c>
      <c r="AQ24" s="19"/>
      <c r="AR24" s="3">
        <v>7600</v>
      </c>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row>
    <row r="25" spans="1:188" ht="16.5" customHeight="1">
      <c r="B25" s="252">
        <v>19</v>
      </c>
      <c r="C25" s="460" t="s">
        <v>512</v>
      </c>
      <c r="D25" s="418"/>
      <c r="E25" s="419"/>
      <c r="F25" s="420"/>
      <c r="G25" s="421"/>
      <c r="H25" s="422"/>
      <c r="I25" s="420"/>
      <c r="J25" s="420"/>
      <c r="K25" s="420"/>
      <c r="L25" s="420"/>
      <c r="M25" s="99" t="str">
        <f>IF(AND(F25=""),"",IF(AND(Master!I$4=Master!AB$20),"",IF(AND(Master!I$5=Master!AC$3),ROUND((F25+G25)*0.1,0),"")))</f>
        <v/>
      </c>
      <c r="N25" s="420"/>
      <c r="O25" s="95">
        <f t="shared" ref="O25:O27" si="5">IF(AND(C25=""),"",SUM(F25,G25,H25,I25,J25,K25,L25,N25))</f>
        <v>0</v>
      </c>
      <c r="P25" s="423"/>
      <c r="Q25" s="100" t="str">
        <f>IF(AND(Master!I$4=Master!AB$20),"",IF(AND(Master!I$5=Master!AC$2),O25-X25,""))</f>
        <v/>
      </c>
      <c r="R25" s="421"/>
      <c r="S25" s="99" t="str">
        <f>IF(AND(O25=""),"",IF(AND(O25=0),"",IF(AND(Master!I$4=Master!AB$20),ROUND((F25)*0.1,0),IF(AND(Master!I$5=Master!AC$3),ROUND((F25+G25)*0.1,0),""))))</f>
        <v/>
      </c>
      <c r="T25" s="424"/>
      <c r="U25" s="424"/>
      <c r="V25" s="424"/>
      <c r="W25" s="424"/>
      <c r="X25" s="92" t="str">
        <f>IF(AND(Master!I$4=Master!AB$20),"",IF(AND(O25=0),"",IF(AND(O25=""),"",IF(AND(Master!I$5=Master!AB$3),ROUND((O25-S25)*0.1,0),ROUND(O25*0.1,0)))))</f>
        <v/>
      </c>
      <c r="Y25" s="424"/>
      <c r="Z25" s="275"/>
      <c r="AA25" s="34">
        <f t="shared" si="0"/>
        <v>0</v>
      </c>
      <c r="AB25" s="33">
        <f t="shared" si="1"/>
        <v>0</v>
      </c>
      <c r="AC25" s="425"/>
      <c r="AD25" s="254"/>
      <c r="AE25" s="19"/>
      <c r="AF25" s="19"/>
      <c r="AG25" s="19"/>
      <c r="AH25" s="19"/>
      <c r="AI25" s="19"/>
      <c r="AJ25" s="19"/>
      <c r="AK25" s="19"/>
      <c r="AL25" s="19"/>
      <c r="AM25" s="280"/>
      <c r="AN25" s="4"/>
      <c r="AO25" s="4"/>
      <c r="AP25" s="414"/>
      <c r="AQ25" s="19"/>
      <c r="AR25" s="3"/>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row>
    <row r="26" spans="1:188" ht="16.5" customHeight="1">
      <c r="B26" s="252">
        <v>20</v>
      </c>
      <c r="C26" s="460" t="s">
        <v>513</v>
      </c>
      <c r="D26" s="7"/>
      <c r="E26" s="38"/>
      <c r="F26" s="100"/>
      <c r="G26" s="99"/>
      <c r="H26" s="98"/>
      <c r="I26" s="100"/>
      <c r="J26" s="100"/>
      <c r="K26" s="100"/>
      <c r="L26" s="100"/>
      <c r="M26" s="99" t="str">
        <f>IF(AND(F26=""),"",IF(AND(Master!I$4=Master!AB$20),"",IF(AND(Master!I$5=Master!AC$3),ROUND((F26+G26)*0.1,0),"")))</f>
        <v/>
      </c>
      <c r="N26" s="100"/>
      <c r="O26" s="95">
        <f t="shared" si="5"/>
        <v>0</v>
      </c>
      <c r="P26" s="327"/>
      <c r="Q26" s="100"/>
      <c r="R26" s="99"/>
      <c r="S26" s="99" t="str">
        <f>IF(AND(O26=""),"",IF(AND(O26=0),"",IF(AND(Master!I$4=Master!AB$20),ROUND((F26)*0.1,0),IF(AND(Master!I$5=Master!AC$3),ROUND((F26+G26)*0.1,0),""))))</f>
        <v/>
      </c>
      <c r="T26" s="284"/>
      <c r="U26" s="284"/>
      <c r="V26" s="284"/>
      <c r="W26" s="284"/>
      <c r="X26" s="92" t="str">
        <f>IF(AND(Master!I$4=Master!AB$20),"",IF(AND(O26=0),"",IF(AND(O26=""),"",IF(AND(Master!I$5=Master!AB$3),ROUND((O26-S26)*0.1,0),ROUND(O26*0.1,0)))))</f>
        <v/>
      </c>
      <c r="Y26" s="284"/>
      <c r="Z26" s="275"/>
      <c r="AA26" s="34">
        <f t="shared" si="0"/>
        <v>0</v>
      </c>
      <c r="AB26" s="33">
        <f t="shared" si="1"/>
        <v>0</v>
      </c>
      <c r="AC26" s="9"/>
      <c r="AD26" s="254"/>
      <c r="AE26" s="19"/>
      <c r="AF26" s="19"/>
      <c r="AG26" s="19"/>
      <c r="AH26" s="19"/>
      <c r="AI26" s="19"/>
      <c r="AJ26" s="19"/>
      <c r="AK26" s="19"/>
      <c r="AL26" s="19"/>
      <c r="AM26" s="19"/>
      <c r="AN26" s="19"/>
      <c r="AO26" s="19"/>
      <c r="AP26" s="19"/>
      <c r="AQ26" s="19"/>
      <c r="AR26" s="3">
        <v>8200</v>
      </c>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row>
    <row r="27" spans="1:188" s="14" customFormat="1" ht="16.5" customHeight="1" thickBot="1">
      <c r="A27" s="239"/>
      <c r="B27" s="252">
        <v>21</v>
      </c>
      <c r="C27" s="93" t="s">
        <v>209</v>
      </c>
      <c r="D27" s="257"/>
      <c r="E27" s="258"/>
      <c r="F27" s="259"/>
      <c r="G27" s="259"/>
      <c r="H27" s="260"/>
      <c r="I27" s="259"/>
      <c r="J27" s="259"/>
      <c r="K27" s="259"/>
      <c r="L27" s="259"/>
      <c r="M27" s="99" t="str">
        <f>IF(AND(F27=""),"",IF(AND(Master!I$4=Master!AB$20),"",IF(AND(Master!I$5=Master!AC$3),ROUND((F27+G27)*0.1,0),"")))</f>
        <v/>
      </c>
      <c r="N27" s="259"/>
      <c r="O27" s="95">
        <f t="shared" si="5"/>
        <v>0</v>
      </c>
      <c r="P27" s="328"/>
      <c r="Q27" s="259"/>
      <c r="R27" s="374"/>
      <c r="S27" s="99" t="str">
        <f>IF(AND(O27=""),"",IF(AND(O27=0),"",IF(AND(Master!I$4=Master!AB$20),ROUND((F27)*0.1,0),IF(AND(Master!I$5=Master!AC$3),ROUND((F27+G27)*0.1,0),""))))</f>
        <v/>
      </c>
      <c r="T27" s="373"/>
      <c r="U27" s="373"/>
      <c r="V27" s="373"/>
      <c r="W27" s="373"/>
      <c r="X27" s="92" t="str">
        <f>IF(AND(Master!I$4=Master!AB$20),"",IF(AND(O27=0),"",IF(AND(O27=""),"",IF(AND(Master!I$5=Master!AB$3),ROUND((O27-S27)*0.1,0),ROUND(O27*0.1,0)))))</f>
        <v/>
      </c>
      <c r="Y27" s="373"/>
      <c r="Z27" s="276"/>
      <c r="AA27" s="34">
        <f t="shared" si="0"/>
        <v>0</v>
      </c>
      <c r="AB27" s="33">
        <f t="shared" si="1"/>
        <v>0</v>
      </c>
      <c r="AC27" s="261"/>
      <c r="AD27" s="262"/>
      <c r="AE27" s="91"/>
      <c r="AF27" s="91"/>
      <c r="AG27" s="91"/>
      <c r="AH27" s="91"/>
      <c r="AI27" s="91"/>
      <c r="AJ27" s="91"/>
      <c r="AK27" s="91"/>
      <c r="AL27" s="91"/>
      <c r="AM27" s="91"/>
      <c r="AN27" s="91"/>
      <c r="AO27" s="91"/>
      <c r="AP27" s="91"/>
      <c r="AQ27" s="91"/>
      <c r="AR27" s="3">
        <v>8700</v>
      </c>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row>
    <row r="28" spans="1:188" s="2" customFormat="1">
      <c r="B28" s="240"/>
      <c r="C28" s="241"/>
      <c r="D28" s="242"/>
      <c r="E28" s="243"/>
      <c r="F28" s="244"/>
      <c r="G28" s="242"/>
      <c r="H28" s="242"/>
      <c r="I28" s="242"/>
      <c r="J28" s="242"/>
      <c r="K28" s="242"/>
      <c r="L28" s="242"/>
      <c r="M28" s="242"/>
      <c r="N28" s="242"/>
      <c r="O28" s="245"/>
      <c r="P28" s="242"/>
      <c r="Q28" s="242"/>
      <c r="R28" s="242"/>
      <c r="S28" s="242"/>
      <c r="T28" s="242"/>
      <c r="U28" s="242"/>
      <c r="V28" s="242"/>
      <c r="W28" s="242"/>
      <c r="X28" s="242"/>
      <c r="Y28" s="242"/>
      <c r="Z28" s="244"/>
      <c r="AA28" s="245"/>
      <c r="AB28" s="245"/>
      <c r="AC28" s="246"/>
      <c r="AD28" s="246"/>
      <c r="AE28" s="17"/>
      <c r="AF28" s="17"/>
      <c r="AG28" s="17"/>
      <c r="AH28" s="17"/>
      <c r="AI28" s="19"/>
      <c r="AJ28" s="19"/>
      <c r="AK28" s="19"/>
      <c r="AL28" s="19"/>
      <c r="AM28" s="19"/>
      <c r="AN28" s="19"/>
      <c r="AO28" s="19"/>
      <c r="AP28" s="19"/>
      <c r="AQ28" s="19"/>
      <c r="AR28" s="3">
        <v>8900</v>
      </c>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row>
    <row r="29" spans="1:188" s="2" customFormat="1">
      <c r="B29" s="247"/>
      <c r="C29" s="241"/>
      <c r="D29" s="242"/>
      <c r="E29" s="243"/>
      <c r="F29" s="244"/>
      <c r="G29" s="242"/>
      <c r="H29" s="242"/>
      <c r="I29" s="242"/>
      <c r="J29" s="242"/>
      <c r="K29" s="242"/>
      <c r="L29" s="242"/>
      <c r="M29" s="242"/>
      <c r="N29" s="242"/>
      <c r="O29" s="245"/>
      <c r="P29" s="242"/>
      <c r="Q29" s="242"/>
      <c r="R29" s="242"/>
      <c r="S29" s="242"/>
      <c r="T29" s="242"/>
      <c r="U29" s="242"/>
      <c r="V29" s="242"/>
      <c r="W29" s="242"/>
      <c r="X29" s="242"/>
      <c r="Y29" s="242"/>
      <c r="Z29" s="244"/>
      <c r="AA29" s="245"/>
      <c r="AB29" s="245"/>
      <c r="AC29" s="246"/>
      <c r="AD29" s="246"/>
      <c r="AE29" s="17"/>
      <c r="AF29" s="17"/>
      <c r="AG29" s="17"/>
      <c r="AH29" s="17"/>
      <c r="AI29" s="19"/>
      <c r="AJ29" s="19"/>
      <c r="AK29" s="19"/>
      <c r="AL29" s="19"/>
      <c r="AM29" s="19"/>
      <c r="AN29" s="19"/>
      <c r="AO29" s="19"/>
      <c r="AP29" s="19"/>
      <c r="AQ29" s="19"/>
      <c r="AR29" s="3">
        <v>9500</v>
      </c>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row>
    <row r="30" spans="1:188" s="2" customFormat="1">
      <c r="B30" s="247"/>
      <c r="C30" s="241"/>
      <c r="D30" s="242"/>
      <c r="E30" s="243"/>
      <c r="F30" s="244"/>
      <c r="G30" s="242"/>
      <c r="H30" s="242"/>
      <c r="I30" s="242"/>
      <c r="J30" s="242"/>
      <c r="K30" s="242"/>
      <c r="L30" s="242"/>
      <c r="M30" s="242"/>
      <c r="N30" s="242"/>
      <c r="O30" s="245"/>
      <c r="P30" s="242"/>
      <c r="Q30" s="242"/>
      <c r="R30" s="242"/>
      <c r="S30" s="242"/>
      <c r="T30" s="242"/>
      <c r="U30" s="242"/>
      <c r="V30" s="242"/>
      <c r="W30" s="242"/>
      <c r="X30" s="242"/>
      <c r="Y30" s="242"/>
      <c r="Z30" s="244"/>
      <c r="AA30" s="245"/>
      <c r="AB30" s="245"/>
      <c r="AC30" s="246"/>
      <c r="AD30" s="246"/>
      <c r="AE30" s="17"/>
      <c r="AF30" s="17"/>
      <c r="AG30" s="17"/>
      <c r="AH30" s="17"/>
      <c r="AI30" s="19"/>
      <c r="AJ30" s="19"/>
      <c r="AK30" s="19"/>
      <c r="AL30" s="19"/>
      <c r="AM30" s="19"/>
      <c r="AN30" s="19"/>
      <c r="AO30" s="19"/>
      <c r="AP30" s="19"/>
      <c r="AQ30" s="19"/>
      <c r="AR30" s="3">
        <v>10000</v>
      </c>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row>
    <row r="31" spans="1:188" s="2" customFormat="1">
      <c r="B31" s="247"/>
      <c r="C31" s="241"/>
      <c r="D31" s="242"/>
      <c r="E31" s="243"/>
      <c r="F31" s="244"/>
      <c r="G31" s="242"/>
      <c r="H31" s="242"/>
      <c r="I31" s="242"/>
      <c r="J31" s="242"/>
      <c r="K31" s="242"/>
      <c r="L31" s="242"/>
      <c r="M31" s="242"/>
      <c r="N31" s="242"/>
      <c r="O31" s="245"/>
      <c r="P31" s="242"/>
      <c r="Q31" s="242"/>
      <c r="R31" s="242"/>
      <c r="S31" s="242"/>
      <c r="T31" s="242"/>
      <c r="U31" s="242"/>
      <c r="V31" s="242"/>
      <c r="W31" s="242"/>
      <c r="X31" s="242"/>
      <c r="Y31" s="242"/>
      <c r="Z31" s="244"/>
      <c r="AA31" s="245"/>
      <c r="AB31" s="245"/>
      <c r="AC31" s="246"/>
      <c r="AD31" s="246"/>
      <c r="AE31" s="17"/>
      <c r="AF31" s="17"/>
      <c r="AG31" s="17"/>
      <c r="AH31" s="17"/>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row>
    <row r="32" spans="1:188" s="2" customFormat="1">
      <c r="B32" s="22"/>
      <c r="C32" s="23"/>
      <c r="D32" s="24"/>
      <c r="E32" s="25"/>
      <c r="F32" s="26"/>
      <c r="G32" s="24"/>
      <c r="H32" s="24"/>
      <c r="I32" s="24"/>
      <c r="J32" s="24"/>
      <c r="K32" s="24"/>
      <c r="L32" s="24"/>
      <c r="M32" s="24"/>
      <c r="N32" s="24"/>
      <c r="O32" s="29"/>
      <c r="P32" s="24"/>
      <c r="Q32" s="24"/>
      <c r="R32" s="24"/>
      <c r="S32" s="24"/>
      <c r="T32" s="24"/>
      <c r="U32" s="24"/>
      <c r="V32" s="24"/>
      <c r="W32" s="24"/>
      <c r="X32" s="24"/>
      <c r="Y32" s="24"/>
      <c r="Z32" s="26"/>
      <c r="AA32" s="29"/>
      <c r="AB32" s="29"/>
      <c r="AC32" s="16"/>
      <c r="AD32" s="16"/>
      <c r="AE32" s="17"/>
      <c r="AF32" s="17"/>
      <c r="AG32" s="17"/>
      <c r="AH32" s="17"/>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row>
    <row r="33" spans="2:188" s="2" customFormat="1">
      <c r="B33" s="22"/>
      <c r="C33" s="23"/>
      <c r="D33" s="24"/>
      <c r="E33" s="25"/>
      <c r="F33" s="26"/>
      <c r="G33" s="24"/>
      <c r="H33" s="24"/>
      <c r="I33" s="24"/>
      <c r="J33" s="24"/>
      <c r="K33" s="24"/>
      <c r="L33" s="24"/>
      <c r="M33" s="24"/>
      <c r="N33" s="24"/>
      <c r="O33" s="29"/>
      <c r="P33" s="24"/>
      <c r="Q33" s="24"/>
      <c r="R33" s="24"/>
      <c r="S33" s="24"/>
      <c r="T33" s="24"/>
      <c r="U33" s="24"/>
      <c r="V33" s="24"/>
      <c r="W33" s="24"/>
      <c r="X33" s="24"/>
      <c r="Y33" s="24"/>
      <c r="Z33" s="26"/>
      <c r="AA33" s="29"/>
      <c r="AB33" s="29"/>
      <c r="AC33" s="16"/>
      <c r="AD33" s="16"/>
      <c r="AE33" s="17"/>
      <c r="AF33" s="17"/>
      <c r="AG33" s="17"/>
      <c r="AH33" s="17"/>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row>
    <row r="34" spans="2:188" s="2" customFormat="1">
      <c r="B34" s="22"/>
      <c r="C34" s="23"/>
      <c r="D34" s="24"/>
      <c r="E34" s="25"/>
      <c r="F34" s="26"/>
      <c r="G34" s="24"/>
      <c r="H34" s="24"/>
      <c r="I34" s="24"/>
      <c r="J34" s="24"/>
      <c r="K34" s="24"/>
      <c r="L34" s="24"/>
      <c r="M34" s="24"/>
      <c r="N34" s="24"/>
      <c r="O34" s="29"/>
      <c r="P34" s="24"/>
      <c r="Q34" s="24"/>
      <c r="R34" s="24"/>
      <c r="S34" s="24"/>
      <c r="T34" s="24"/>
      <c r="U34" s="24"/>
      <c r="V34" s="24"/>
      <c r="W34" s="24"/>
      <c r="X34" s="24"/>
      <c r="Y34" s="24"/>
      <c r="Z34" s="26"/>
      <c r="AA34" s="29"/>
      <c r="AB34" s="29"/>
      <c r="AC34" s="16"/>
      <c r="AD34" s="16"/>
      <c r="AE34" s="17"/>
      <c r="AF34" s="17"/>
      <c r="AG34" s="17"/>
      <c r="AH34" s="17"/>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row>
    <row r="35" spans="2:188" s="2" customFormat="1">
      <c r="B35" s="22"/>
      <c r="C35" s="23"/>
      <c r="D35" s="24"/>
      <c r="E35" s="25"/>
      <c r="F35" s="26"/>
      <c r="G35" s="24"/>
      <c r="H35" s="24"/>
      <c r="I35" s="24"/>
      <c r="J35" s="24"/>
      <c r="K35" s="24"/>
      <c r="L35" s="24"/>
      <c r="M35" s="24"/>
      <c r="N35" s="24"/>
      <c r="O35" s="29"/>
      <c r="P35" s="24"/>
      <c r="Q35" s="24"/>
      <c r="R35" s="24"/>
      <c r="S35" s="24"/>
      <c r="T35" s="24"/>
      <c r="U35" s="24"/>
      <c r="V35" s="24"/>
      <c r="W35" s="24"/>
      <c r="X35" s="24"/>
      <c r="Y35" s="24"/>
      <c r="Z35" s="26"/>
      <c r="AA35" s="29"/>
      <c r="AB35" s="29"/>
      <c r="AC35" s="16"/>
      <c r="AD35" s="16"/>
      <c r="AE35" s="17"/>
      <c r="AF35" s="17"/>
      <c r="AG35" s="17"/>
      <c r="AH35" s="17"/>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row>
    <row r="36" spans="2:188" s="2" customFormat="1">
      <c r="B36" s="22"/>
      <c r="C36" s="23"/>
      <c r="D36" s="24"/>
      <c r="E36" s="25"/>
      <c r="F36" s="26"/>
      <c r="G36" s="24"/>
      <c r="H36" s="24"/>
      <c r="I36" s="24"/>
      <c r="J36" s="24"/>
      <c r="K36" s="24"/>
      <c r="L36" s="24"/>
      <c r="M36" s="24"/>
      <c r="N36" s="24"/>
      <c r="O36" s="29"/>
      <c r="P36" s="24"/>
      <c r="Q36" s="24"/>
      <c r="R36" s="24"/>
      <c r="S36" s="24"/>
      <c r="T36" s="24"/>
      <c r="U36" s="24"/>
      <c r="V36" s="24"/>
      <c r="W36" s="24"/>
      <c r="X36" s="24"/>
      <c r="Y36" s="24"/>
      <c r="Z36" s="26"/>
      <c r="AA36" s="29"/>
      <c r="AB36" s="29"/>
      <c r="AC36" s="16"/>
      <c r="AD36" s="16"/>
      <c r="AE36" s="17"/>
      <c r="AF36" s="17"/>
      <c r="AG36" s="17"/>
      <c r="AH36" s="17"/>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row>
    <row r="37" spans="2:188" s="2" customFormat="1">
      <c r="B37" s="22"/>
      <c r="C37" s="23"/>
      <c r="D37" s="24"/>
      <c r="E37" s="25"/>
      <c r="F37" s="26"/>
      <c r="G37" s="24"/>
      <c r="H37" s="24"/>
      <c r="I37" s="24"/>
      <c r="J37" s="24"/>
      <c r="K37" s="24"/>
      <c r="L37" s="24"/>
      <c r="M37" s="24"/>
      <c r="N37" s="24"/>
      <c r="O37" s="29"/>
      <c r="P37" s="24"/>
      <c r="Q37" s="24"/>
      <c r="R37" s="24"/>
      <c r="S37" s="24"/>
      <c r="T37" s="24"/>
      <c r="U37" s="24"/>
      <c r="V37" s="24"/>
      <c r="W37" s="24"/>
      <c r="X37" s="24"/>
      <c r="Y37" s="24"/>
      <c r="Z37" s="26"/>
      <c r="AA37" s="29"/>
      <c r="AB37" s="29"/>
      <c r="AC37" s="16"/>
      <c r="AD37" s="16"/>
      <c r="AE37" s="17"/>
      <c r="AF37" s="17"/>
      <c r="AG37" s="17"/>
      <c r="AH37" s="17"/>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row>
    <row r="38" spans="2:188" s="2" customFormat="1">
      <c r="B38" s="22"/>
      <c r="C38" s="23"/>
      <c r="D38" s="24"/>
      <c r="E38" s="25"/>
      <c r="F38" s="26"/>
      <c r="G38" s="24"/>
      <c r="H38" s="24"/>
      <c r="I38" s="24"/>
      <c r="J38" s="24"/>
      <c r="K38" s="24"/>
      <c r="L38" s="24"/>
      <c r="M38" s="24"/>
      <c r="N38" s="24"/>
      <c r="O38" s="29"/>
      <c r="P38" s="24"/>
      <c r="Q38" s="24"/>
      <c r="R38" s="24"/>
      <c r="S38" s="24"/>
      <c r="T38" s="24"/>
      <c r="U38" s="24"/>
      <c r="V38" s="24"/>
      <c r="W38" s="24"/>
      <c r="X38" s="24"/>
      <c r="Y38" s="24"/>
      <c r="Z38" s="26"/>
      <c r="AA38" s="29"/>
      <c r="AB38" s="29"/>
      <c r="AC38" s="16"/>
      <c r="AD38" s="16"/>
      <c r="AE38" s="17"/>
      <c r="AF38" s="17"/>
      <c r="AG38" s="17"/>
      <c r="AH38" s="17"/>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row>
    <row r="39" spans="2:188" s="2" customFormat="1">
      <c r="B39" s="22"/>
      <c r="C39" s="23"/>
      <c r="D39" s="24"/>
      <c r="E39" s="25"/>
      <c r="F39" s="26"/>
      <c r="G39" s="24"/>
      <c r="H39" s="24"/>
      <c r="I39" s="24"/>
      <c r="J39" s="24"/>
      <c r="K39" s="24"/>
      <c r="L39" s="24"/>
      <c r="M39" s="24"/>
      <c r="N39" s="24"/>
      <c r="O39" s="29"/>
      <c r="P39" s="24"/>
      <c r="Q39" s="24"/>
      <c r="R39" s="24"/>
      <c r="S39" s="24"/>
      <c r="T39" s="24"/>
      <c r="U39" s="24"/>
      <c r="V39" s="24"/>
      <c r="W39" s="24"/>
      <c r="X39" s="24"/>
      <c r="Y39" s="24"/>
      <c r="Z39" s="26"/>
      <c r="AA39" s="29"/>
      <c r="AB39" s="29"/>
      <c r="AC39" s="16"/>
      <c r="AD39" s="16"/>
      <c r="AE39" s="17"/>
      <c r="AF39" s="17"/>
      <c r="AG39" s="17"/>
      <c r="AH39" s="17"/>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row>
    <row r="40" spans="2:188" s="2" customFormat="1">
      <c r="B40" s="22"/>
      <c r="C40" s="23"/>
      <c r="D40" s="24"/>
      <c r="E40" s="25"/>
      <c r="F40" s="26"/>
      <c r="G40" s="24"/>
      <c r="H40" s="24"/>
      <c r="I40" s="24"/>
      <c r="J40" s="24"/>
      <c r="K40" s="24"/>
      <c r="L40" s="24"/>
      <c r="M40" s="24"/>
      <c r="N40" s="24"/>
      <c r="O40" s="29"/>
      <c r="P40" s="24"/>
      <c r="Q40" s="24"/>
      <c r="R40" s="24"/>
      <c r="S40" s="24"/>
      <c r="T40" s="24"/>
      <c r="U40" s="24"/>
      <c r="V40" s="24"/>
      <c r="W40" s="24"/>
      <c r="X40" s="24"/>
      <c r="Y40" s="24"/>
      <c r="Z40" s="26"/>
      <c r="AA40" s="29"/>
      <c r="AB40" s="29"/>
      <c r="AC40" s="16"/>
      <c r="AD40" s="16"/>
      <c r="AE40" s="17"/>
      <c r="AF40" s="17"/>
      <c r="AG40" s="17"/>
      <c r="AH40" s="17"/>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row>
    <row r="41" spans="2:188" s="2" customFormat="1" hidden="1">
      <c r="B41" s="22"/>
      <c r="C41" s="23"/>
      <c r="D41" s="24"/>
      <c r="E41" s="25"/>
      <c r="F41" s="26"/>
      <c r="G41" s="24"/>
      <c r="H41" s="24"/>
      <c r="I41" s="24"/>
      <c r="J41" s="24"/>
      <c r="K41" s="24"/>
      <c r="L41" s="24"/>
      <c r="M41" s="24"/>
      <c r="N41" s="24"/>
      <c r="O41" s="29"/>
      <c r="P41" s="24"/>
      <c r="Q41" s="24"/>
      <c r="R41" s="24"/>
      <c r="S41" s="24"/>
      <c r="T41" s="24"/>
      <c r="U41" s="24"/>
      <c r="V41" s="24"/>
      <c r="W41" s="24"/>
      <c r="X41" s="24"/>
      <c r="Y41" s="24"/>
      <c r="Z41" s="26"/>
      <c r="AA41" s="29"/>
      <c r="AB41" s="29"/>
      <c r="AC41" s="16"/>
      <c r="AD41" s="16"/>
      <c r="AE41" s="17"/>
      <c r="AF41" s="17"/>
      <c r="AG41" s="17"/>
      <c r="AH41" s="17"/>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row>
    <row r="42" spans="2:188" s="2" customFormat="1" hidden="1">
      <c r="B42" s="22"/>
      <c r="C42" s="23"/>
      <c r="D42" s="24"/>
      <c r="E42" s="25"/>
      <c r="F42" s="26"/>
      <c r="G42" s="24"/>
      <c r="H42" s="24"/>
      <c r="I42" s="24"/>
      <c r="J42" s="24"/>
      <c r="K42" s="24"/>
      <c r="L42" s="24"/>
      <c r="M42" s="24"/>
      <c r="N42" s="24"/>
      <c r="O42" s="29"/>
      <c r="P42" s="24"/>
      <c r="Q42" s="24"/>
      <c r="R42" s="24"/>
      <c r="S42" s="24"/>
      <c r="T42" s="24"/>
      <c r="U42" s="24"/>
      <c r="V42" s="24"/>
      <c r="W42" s="24"/>
      <c r="X42" s="24"/>
      <c r="Y42" s="24"/>
      <c r="Z42" s="26"/>
      <c r="AA42" s="29"/>
      <c r="AB42" s="29"/>
      <c r="AC42" s="16"/>
      <c r="AD42" s="16"/>
      <c r="AE42" s="17"/>
      <c r="AF42" s="17"/>
      <c r="AG42" s="17"/>
      <c r="AH42" s="17"/>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row>
    <row r="43" spans="2:188" s="2" customFormat="1" hidden="1">
      <c r="B43" s="22"/>
      <c r="C43" s="23"/>
      <c r="D43" s="24"/>
      <c r="E43" s="25"/>
      <c r="F43" s="26"/>
      <c r="G43" s="24"/>
      <c r="H43" s="24"/>
      <c r="I43" s="24"/>
      <c r="J43" s="24"/>
      <c r="K43" s="24"/>
      <c r="L43" s="24"/>
      <c r="M43" s="24"/>
      <c r="N43" s="24"/>
      <c r="O43" s="29"/>
      <c r="P43" s="24"/>
      <c r="Q43" s="24"/>
      <c r="R43" s="24"/>
      <c r="S43" s="24"/>
      <c r="T43" s="24"/>
      <c r="U43" s="24"/>
      <c r="V43" s="24"/>
      <c r="W43" s="24"/>
      <c r="X43" s="24"/>
      <c r="Y43" s="24"/>
      <c r="Z43" s="26"/>
      <c r="AA43" s="29"/>
      <c r="AB43" s="29"/>
      <c r="AC43" s="16"/>
      <c r="AD43" s="16"/>
      <c r="AE43" s="17"/>
      <c r="AF43" s="17"/>
      <c r="AG43" s="17"/>
      <c r="AH43" s="17"/>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row>
    <row r="44" spans="2:188" ht="15" hidden="1" customHeight="1">
      <c r="B44" s="30"/>
      <c r="C44" s="30"/>
      <c r="D44" s="30"/>
      <c r="E44" s="30"/>
      <c r="F44" s="30"/>
      <c r="G44" s="30"/>
      <c r="H44" s="30"/>
      <c r="I44" s="30"/>
      <c r="J44" s="30"/>
      <c r="K44" s="556"/>
      <c r="L44" s="556"/>
      <c r="M44" s="556"/>
      <c r="N44" s="556"/>
      <c r="O44" s="556"/>
      <c r="P44" s="556"/>
      <c r="Q44" s="556"/>
      <c r="R44" s="556"/>
      <c r="S44" s="556"/>
      <c r="T44" s="557" t="s">
        <v>274</v>
      </c>
      <c r="U44" s="557"/>
      <c r="V44" s="557"/>
      <c r="W44" s="557"/>
      <c r="X44" s="557"/>
      <c r="Y44" s="557"/>
      <c r="Z44" s="557"/>
      <c r="AA44" s="558"/>
      <c r="AB44" s="558"/>
      <c r="AC44" s="558"/>
      <c r="AD44" s="558"/>
      <c r="AE44" s="30"/>
      <c r="AF44" s="30"/>
      <c r="AG44" s="4"/>
      <c r="AH44" s="4"/>
      <c r="AI44" s="4"/>
      <c r="AJ44" s="3"/>
      <c r="AK44" s="3"/>
      <c r="AL44" s="3"/>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row>
    <row r="45" spans="2:188" ht="15" hidden="1" customHeight="1">
      <c r="B45" s="4"/>
      <c r="C45" s="4"/>
      <c r="D45" s="4"/>
      <c r="E45" s="4"/>
      <c r="F45" s="4">
        <f>E3</f>
        <v>3600</v>
      </c>
      <c r="G45" s="65"/>
      <c r="H45" s="555" t="s">
        <v>275</v>
      </c>
      <c r="I45" s="555"/>
      <c r="J45" s="66"/>
      <c r="K45" s="67"/>
      <c r="L45" s="67"/>
      <c r="M45" s="68"/>
      <c r="N45" s="69"/>
      <c r="O45" s="69"/>
      <c r="P45" s="69"/>
      <c r="Q45" s="69"/>
      <c r="R45" s="70"/>
      <c r="S45" s="70"/>
      <c r="T45" s="71" t="s">
        <v>281</v>
      </c>
      <c r="U45" s="71">
        <v>6000</v>
      </c>
      <c r="V45" s="69">
        <v>6600</v>
      </c>
      <c r="W45" s="69">
        <v>6800</v>
      </c>
      <c r="X45" s="69">
        <v>7200</v>
      </c>
      <c r="Y45" s="71">
        <v>7600</v>
      </c>
      <c r="Z45" s="71">
        <v>8200</v>
      </c>
      <c r="AA45" s="69"/>
      <c r="AB45" s="69"/>
      <c r="AC45" s="69"/>
      <c r="AD45" s="70"/>
      <c r="AE45" s="30"/>
      <c r="AF45" s="30"/>
      <c r="AG45" s="4"/>
      <c r="AH45" s="4"/>
      <c r="AI45" s="4"/>
      <c r="AJ45" s="3"/>
      <c r="AK45" s="3"/>
      <c r="AL45" s="3"/>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row>
    <row r="46" spans="2:188" ht="15" hidden="1" customHeight="1">
      <c r="B46" s="4"/>
      <c r="C46" s="4"/>
      <c r="D46" s="4"/>
      <c r="E46" s="4"/>
      <c r="F46" s="4"/>
      <c r="G46" s="72">
        <v>4200</v>
      </c>
      <c r="H46" s="73">
        <v>4800</v>
      </c>
      <c r="I46" s="73">
        <v>3600</v>
      </c>
      <c r="J46" s="74" t="s">
        <v>282</v>
      </c>
      <c r="K46" s="75"/>
      <c r="L46" s="75"/>
      <c r="M46" s="75"/>
      <c r="N46" s="75"/>
      <c r="O46" s="75"/>
      <c r="P46" s="75"/>
      <c r="Q46" s="75"/>
      <c r="R46" s="75"/>
      <c r="S46" s="75"/>
      <c r="T46" s="75">
        <v>14</v>
      </c>
      <c r="U46" s="75">
        <v>15</v>
      </c>
      <c r="V46" s="75">
        <v>16</v>
      </c>
      <c r="W46" s="75">
        <v>17</v>
      </c>
      <c r="X46" s="75">
        <v>18</v>
      </c>
      <c r="Y46" s="69">
        <v>19</v>
      </c>
      <c r="Z46" s="69">
        <v>20</v>
      </c>
      <c r="AA46" s="69"/>
      <c r="AB46" s="69"/>
      <c r="AC46" s="69"/>
      <c r="AD46" s="69"/>
      <c r="AE46" s="30"/>
      <c r="AF46" s="30"/>
      <c r="AG46" s="4"/>
      <c r="AH46" s="4"/>
      <c r="AI46" s="4"/>
      <c r="AJ46" s="3"/>
      <c r="AK46" s="3"/>
      <c r="AL46" s="3"/>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row>
    <row r="47" spans="2:188" ht="15" hidden="1" customHeight="1">
      <c r="B47" s="4"/>
      <c r="C47" s="4"/>
      <c r="D47" s="4">
        <f t="shared" ref="D47:D86" si="6">F47</f>
        <v>23700</v>
      </c>
      <c r="E47" s="4">
        <f>J3*2.57</f>
        <v>45103.5</v>
      </c>
      <c r="F47" s="4">
        <f>IF($F$45=4200,G47,IF($F$45=4800,H47,IF($F$45="5400A",J47,IF($F$45=3600,I47,IF($F$45=1700,K47,IF($F$45=1750,L47,IF($F$45=1900,M47,IF($F$45=2000,N47,IF($F$45="2400A",O47,IF($F$45="2400B",P47,IF($F$45="2400C",Q47,IF($F$45="2800A",R47,IF($F$45="2800B",S47,IF($F$45="5400B",T47,IF($F$45=6000,U47,IF($F$45=6600,V47,IF($F$45=6800,W47,IF($F$45=7200,X47,IF($F$45=7600,Y47,IF($F$45=8200,Z47,IF($F$45=8700,AA47,IF($F$45=8900,IF($F$45=9500,AC47,IF($F$45=10000,AD47,""))))))))))))))))))))))))</f>
        <v>23700</v>
      </c>
      <c r="G47" s="4">
        <v>26500</v>
      </c>
      <c r="H47" s="4">
        <v>31100</v>
      </c>
      <c r="I47" s="4">
        <v>23700</v>
      </c>
      <c r="J47" s="4">
        <v>39300</v>
      </c>
      <c r="K47" s="76"/>
      <c r="L47" s="76"/>
      <c r="M47" s="77"/>
      <c r="N47" s="76"/>
      <c r="O47" s="77"/>
      <c r="P47" s="78"/>
      <c r="Q47" s="79"/>
      <c r="R47" s="80"/>
      <c r="S47" s="80"/>
      <c r="T47" s="81">
        <v>39300</v>
      </c>
      <c r="U47" s="81">
        <v>42500</v>
      </c>
      <c r="V47" s="77">
        <v>47200</v>
      </c>
      <c r="W47" s="77">
        <v>49700</v>
      </c>
      <c r="X47" s="77">
        <v>52800</v>
      </c>
      <c r="Y47" s="77">
        <v>58000</v>
      </c>
      <c r="Z47" s="77">
        <v>62300</v>
      </c>
      <c r="AA47" s="76"/>
      <c r="AB47" s="76"/>
      <c r="AC47" s="76"/>
      <c r="AD47" s="82"/>
      <c r="AE47" s="30"/>
      <c r="AF47" s="30"/>
      <c r="AG47" s="4"/>
      <c r="AH47" s="4"/>
      <c r="AI47" s="4"/>
      <c r="AJ47" s="3"/>
      <c r="AK47" s="3"/>
      <c r="AL47" s="3"/>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row>
    <row r="48" spans="2:188" ht="15" hidden="1" customHeight="1">
      <c r="B48" s="4"/>
      <c r="C48" s="4"/>
      <c r="D48" s="4">
        <f t="shared" si="6"/>
        <v>33800</v>
      </c>
      <c r="E48" s="4">
        <f>IF(AND(E47&lt;=F47),F47,INDEX($D$47:$D$86,MATCH(E47,$F$47:$F$86)+(LOOKUP(E47,$F$47:$F$86)&lt;&gt;E47)))</f>
        <v>45300</v>
      </c>
      <c r="F48" s="4">
        <f t="shared" ref="F48:F86" si="7">IF($F$45=4200,G48,IF($F$45=4800,H48,IF($F$45="5400A",J48,IF($F$45=3600,I48,IF($F$45=1700,K48,IF($F$45=1750,L48,IF($F$45=1900,M48,IF($F$45=2000,N48,IF($F$45="2400A",O48,IF($F$45="2400B",P48,IF($F$45="2400C",Q48,IF($F$45="2800A",R48,IF($F$45="2800B",S48,IF($F$45="5400B",T48,IF($F$45=6000,U48,IF($F$45=6600,V48,IF($F$45=6800,W48,IF($F$45=7200,X48,IF($F$45=7600,Y48,IF($F$45=8200,Z48,IF($F$45=8700,AA48,IF($F$45=8900,IF($F$45=9500,AC48,IF($F$45=10000,AD48,""))))))))))))))))))))))))</f>
        <v>33800</v>
      </c>
      <c r="G48" s="4">
        <v>37800</v>
      </c>
      <c r="H48" s="4">
        <v>44300</v>
      </c>
      <c r="I48" s="4">
        <v>33800</v>
      </c>
      <c r="J48" s="4">
        <v>53100</v>
      </c>
      <c r="K48" s="76"/>
      <c r="L48" s="76"/>
      <c r="M48" s="77"/>
      <c r="N48" s="76"/>
      <c r="O48" s="77"/>
      <c r="P48" s="78"/>
      <c r="Q48" s="79"/>
      <c r="R48" s="80"/>
      <c r="S48" s="80"/>
      <c r="T48" s="81">
        <v>56100</v>
      </c>
      <c r="U48" s="81">
        <v>60700</v>
      </c>
      <c r="V48" s="77">
        <v>67300</v>
      </c>
      <c r="W48" s="77">
        <v>71000</v>
      </c>
      <c r="X48" s="77">
        <v>75300</v>
      </c>
      <c r="Y48" s="77">
        <v>79900</v>
      </c>
      <c r="Z48" s="77">
        <v>88900</v>
      </c>
      <c r="AA48" s="76"/>
      <c r="AB48" s="76"/>
      <c r="AC48" s="76"/>
      <c r="AD48" s="82"/>
      <c r="AE48" s="30"/>
      <c r="AF48" s="30"/>
      <c r="AG48" s="4"/>
      <c r="AH48" s="4"/>
      <c r="AI48" s="4"/>
      <c r="AJ48" s="3"/>
      <c r="AK48" s="3"/>
      <c r="AL48" s="3"/>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row>
    <row r="49" spans="2:188" ht="15" hidden="1" customHeight="1">
      <c r="B49" s="4"/>
      <c r="C49" s="4">
        <f>IF(AND(E47&lt;=F47),F47,INDEX($D$47:$D$86,MATCH(E47,$F$47:$F$86)+(LOOKUP(E47,$F$47:$F$86)&lt;&gt;E47)))</f>
        <v>45300</v>
      </c>
      <c r="D49" s="4">
        <f t="shared" si="6"/>
        <v>34800</v>
      </c>
      <c r="E49" s="4"/>
      <c r="F49" s="4">
        <f t="shared" si="7"/>
        <v>34800</v>
      </c>
      <c r="G49" s="4">
        <v>38900</v>
      </c>
      <c r="H49" s="4">
        <v>45600</v>
      </c>
      <c r="I49" s="4">
        <v>34800</v>
      </c>
      <c r="J49" s="4">
        <v>54700</v>
      </c>
      <c r="K49" s="77"/>
      <c r="L49" s="77"/>
      <c r="M49" s="77"/>
      <c r="N49" s="77"/>
      <c r="O49" s="77"/>
      <c r="P49" s="78"/>
      <c r="Q49" s="79"/>
      <c r="R49" s="80"/>
      <c r="S49" s="80"/>
      <c r="T49" s="81">
        <v>57800</v>
      </c>
      <c r="U49" s="81">
        <v>62500</v>
      </c>
      <c r="V49" s="77">
        <v>69300</v>
      </c>
      <c r="W49" s="77">
        <v>73100</v>
      </c>
      <c r="X49" s="77">
        <v>77600</v>
      </c>
      <c r="Y49" s="77">
        <v>82300</v>
      </c>
      <c r="Z49" s="77">
        <v>91600</v>
      </c>
      <c r="AA49" s="76"/>
      <c r="AB49" s="76"/>
      <c r="AC49" s="76"/>
      <c r="AD49" s="82"/>
      <c r="AE49" s="30"/>
      <c r="AF49" s="30"/>
      <c r="AG49" s="4"/>
      <c r="AH49" s="4"/>
      <c r="AI49" s="4"/>
      <c r="AJ49" s="3"/>
      <c r="AK49" s="3"/>
      <c r="AL49" s="3"/>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row>
    <row r="50" spans="2:188" ht="15" hidden="1" customHeight="1">
      <c r="B50" s="4" t="s">
        <v>283</v>
      </c>
      <c r="C50" s="4"/>
      <c r="D50" s="4">
        <f t="shared" si="6"/>
        <v>35800</v>
      </c>
      <c r="E50" s="4">
        <f>IF(AND(Master!I$4=Master!AB$20),F47,E48)</f>
        <v>23700</v>
      </c>
      <c r="F50" s="4">
        <f t="shared" si="7"/>
        <v>35800</v>
      </c>
      <c r="G50" s="4">
        <v>40100</v>
      </c>
      <c r="H50" s="4">
        <v>47000</v>
      </c>
      <c r="I50" s="4">
        <v>35800</v>
      </c>
      <c r="J50" s="4">
        <v>56300</v>
      </c>
      <c r="K50" s="77"/>
      <c r="L50" s="77"/>
      <c r="M50" s="76"/>
      <c r="N50" s="81"/>
      <c r="O50" s="76"/>
      <c r="P50" s="83"/>
      <c r="Q50" s="79"/>
      <c r="R50" s="84"/>
      <c r="S50" s="84"/>
      <c r="T50" s="81">
        <v>59500</v>
      </c>
      <c r="U50" s="81">
        <v>64400</v>
      </c>
      <c r="V50" s="77">
        <v>71400</v>
      </c>
      <c r="W50" s="77">
        <v>75300</v>
      </c>
      <c r="X50" s="77">
        <v>79900</v>
      </c>
      <c r="Y50" s="77">
        <v>84800</v>
      </c>
      <c r="Z50" s="77">
        <v>94300</v>
      </c>
      <c r="AA50" s="76"/>
      <c r="AB50" s="82"/>
      <c r="AC50" s="82"/>
      <c r="AD50" s="76"/>
      <c r="AE50" s="30"/>
      <c r="AF50" s="30"/>
      <c r="AG50" s="4"/>
      <c r="AH50" s="4"/>
      <c r="AI50" s="4"/>
      <c r="AJ50" s="3"/>
      <c r="AK50" s="3"/>
      <c r="AL50" s="3"/>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row>
    <row r="51" spans="2:188" ht="15" hidden="1" customHeight="1">
      <c r="B51" s="4" t="s">
        <v>284</v>
      </c>
      <c r="C51" s="4"/>
      <c r="D51" s="4">
        <f t="shared" si="6"/>
        <v>36900</v>
      </c>
      <c r="E51" s="4"/>
      <c r="F51" s="4">
        <f t="shared" si="7"/>
        <v>36900</v>
      </c>
      <c r="G51" s="4">
        <v>41300</v>
      </c>
      <c r="H51" s="4">
        <v>48400</v>
      </c>
      <c r="I51" s="4">
        <v>36900</v>
      </c>
      <c r="J51" s="4">
        <v>58000</v>
      </c>
      <c r="K51" s="77"/>
      <c r="L51" s="77"/>
      <c r="M51" s="76"/>
      <c r="N51" s="81"/>
      <c r="O51" s="77"/>
      <c r="P51" s="78"/>
      <c r="Q51" s="79"/>
      <c r="R51" s="80"/>
      <c r="S51" s="80"/>
      <c r="T51" s="77">
        <v>61300</v>
      </c>
      <c r="U51" s="77">
        <v>66300</v>
      </c>
      <c r="V51" s="77">
        <v>73500</v>
      </c>
      <c r="W51" s="77">
        <v>77600</v>
      </c>
      <c r="X51" s="77">
        <v>82300</v>
      </c>
      <c r="Y51" s="77">
        <v>87300</v>
      </c>
      <c r="Z51" s="77">
        <v>97100</v>
      </c>
      <c r="AA51" s="81"/>
      <c r="AB51" s="82"/>
      <c r="AC51" s="82"/>
      <c r="AD51" s="76"/>
      <c r="AE51" s="30"/>
      <c r="AF51" s="30"/>
      <c r="AG51" s="4"/>
      <c r="AH51" s="4"/>
      <c r="AI51" s="4"/>
      <c r="AJ51" s="3"/>
      <c r="AK51" s="3"/>
      <c r="AL51" s="3"/>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row>
    <row r="52" spans="2:188" ht="15" hidden="1" customHeight="1">
      <c r="B52" s="4" t="s">
        <v>285</v>
      </c>
      <c r="C52" s="4"/>
      <c r="D52" s="4">
        <f t="shared" si="6"/>
        <v>38000</v>
      </c>
      <c r="E52" s="4"/>
      <c r="F52" s="4">
        <f t="shared" si="7"/>
        <v>38000</v>
      </c>
      <c r="G52" s="4">
        <v>42500</v>
      </c>
      <c r="H52" s="4">
        <v>49900</v>
      </c>
      <c r="I52" s="4">
        <v>38000</v>
      </c>
      <c r="J52" s="4">
        <v>59700</v>
      </c>
      <c r="K52" s="85"/>
      <c r="L52" s="85"/>
      <c r="M52" s="77"/>
      <c r="N52" s="81"/>
      <c r="O52" s="77"/>
      <c r="P52" s="78"/>
      <c r="Q52" s="79"/>
      <c r="R52" s="80"/>
      <c r="S52" s="80"/>
      <c r="T52" s="77">
        <v>63100</v>
      </c>
      <c r="U52" s="77">
        <v>68300</v>
      </c>
      <c r="V52" s="77">
        <v>75700</v>
      </c>
      <c r="W52" s="77">
        <v>79900</v>
      </c>
      <c r="X52" s="77">
        <v>84800</v>
      </c>
      <c r="Y52" s="77">
        <v>89900</v>
      </c>
      <c r="Z52" s="77">
        <v>100000</v>
      </c>
      <c r="AA52" s="76"/>
      <c r="AB52" s="82"/>
      <c r="AC52" s="82"/>
      <c r="AD52" s="82"/>
      <c r="AE52" s="30"/>
      <c r="AF52" s="30"/>
      <c r="AG52" s="4"/>
      <c r="AH52" s="4"/>
      <c r="AI52" s="4"/>
      <c r="AJ52" s="3"/>
      <c r="AK52" s="3"/>
      <c r="AL52" s="3"/>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row>
    <row r="53" spans="2:188" ht="15" hidden="1" customHeight="1">
      <c r="B53" s="4" t="s">
        <v>286</v>
      </c>
      <c r="C53" s="4"/>
      <c r="D53" s="4">
        <f t="shared" si="6"/>
        <v>39100</v>
      </c>
      <c r="E53" s="4"/>
      <c r="F53" s="4">
        <f t="shared" si="7"/>
        <v>39100</v>
      </c>
      <c r="G53" s="4">
        <v>43800</v>
      </c>
      <c r="H53" s="4">
        <v>51400</v>
      </c>
      <c r="I53" s="4">
        <v>39100</v>
      </c>
      <c r="J53" s="4">
        <v>61500</v>
      </c>
      <c r="K53" s="86"/>
      <c r="L53" s="86"/>
      <c r="M53" s="77"/>
      <c r="N53" s="81"/>
      <c r="O53" s="81"/>
      <c r="P53" s="87"/>
      <c r="Q53" s="79"/>
      <c r="R53" s="88"/>
      <c r="S53" s="89"/>
      <c r="T53" s="77">
        <v>65000</v>
      </c>
      <c r="U53" s="77">
        <v>70300</v>
      </c>
      <c r="V53" s="77">
        <v>78000</v>
      </c>
      <c r="W53" s="77">
        <v>82300</v>
      </c>
      <c r="X53" s="77">
        <v>87300</v>
      </c>
      <c r="Y53" s="77">
        <v>92600</v>
      </c>
      <c r="Z53" s="77">
        <v>103000</v>
      </c>
      <c r="AA53" s="76"/>
      <c r="AB53" s="82"/>
      <c r="AC53" s="82"/>
      <c r="AD53" s="82"/>
      <c r="AE53" s="30"/>
      <c r="AF53" s="30"/>
      <c r="AG53" s="4"/>
      <c r="AH53" s="4"/>
      <c r="AI53" s="4"/>
      <c r="AJ53" s="3"/>
      <c r="AK53" s="3"/>
      <c r="AL53" s="3"/>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row>
    <row r="54" spans="2:188" ht="15" hidden="1" customHeight="1">
      <c r="B54" s="4"/>
      <c r="C54" s="4"/>
      <c r="D54" s="4">
        <f t="shared" si="6"/>
        <v>40300</v>
      </c>
      <c r="E54" s="4"/>
      <c r="F54" s="4">
        <f t="shared" si="7"/>
        <v>40300</v>
      </c>
      <c r="G54" s="4">
        <v>45100</v>
      </c>
      <c r="H54" s="4">
        <v>52900</v>
      </c>
      <c r="I54" s="4">
        <v>40300</v>
      </c>
      <c r="J54" s="4">
        <v>63300</v>
      </c>
      <c r="K54" s="77"/>
      <c r="L54" s="77"/>
      <c r="M54" s="77"/>
      <c r="N54" s="81"/>
      <c r="O54" s="77"/>
      <c r="P54" s="78"/>
      <c r="Q54" s="79"/>
      <c r="R54" s="80"/>
      <c r="S54" s="88"/>
      <c r="T54" s="77">
        <v>67000</v>
      </c>
      <c r="U54" s="77">
        <v>72400</v>
      </c>
      <c r="V54" s="77">
        <v>80300</v>
      </c>
      <c r="W54" s="77">
        <v>84800</v>
      </c>
      <c r="X54" s="77">
        <v>89900</v>
      </c>
      <c r="Y54" s="77">
        <v>95400</v>
      </c>
      <c r="Z54" s="77">
        <v>106100</v>
      </c>
      <c r="AA54" s="76"/>
      <c r="AB54" s="82"/>
      <c r="AC54" s="82"/>
      <c r="AD54" s="76"/>
      <c r="AE54" s="30"/>
      <c r="AF54" s="30"/>
      <c r="AG54" s="4"/>
      <c r="AH54" s="4"/>
      <c r="AI54" s="4"/>
      <c r="AJ54" s="3"/>
      <c r="AK54" s="3"/>
      <c r="AL54" s="3"/>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row>
    <row r="55" spans="2:188" ht="15.75" hidden="1" customHeight="1">
      <c r="B55" s="4"/>
      <c r="C55" s="4"/>
      <c r="D55" s="4">
        <f t="shared" si="6"/>
        <v>41500</v>
      </c>
      <c r="E55" s="4"/>
      <c r="F55" s="4">
        <f t="shared" si="7"/>
        <v>41500</v>
      </c>
      <c r="G55" s="4">
        <v>46500</v>
      </c>
      <c r="H55" s="4">
        <v>54500</v>
      </c>
      <c r="I55" s="4">
        <v>41500</v>
      </c>
      <c r="J55" s="4">
        <v>65200</v>
      </c>
      <c r="K55" s="85"/>
      <c r="L55" s="85"/>
      <c r="M55" s="77"/>
      <c r="N55" s="81"/>
      <c r="O55" s="77"/>
      <c r="P55" s="78"/>
      <c r="Q55" s="79"/>
      <c r="R55" s="80"/>
      <c r="S55" s="80"/>
      <c r="T55" s="77">
        <v>69000</v>
      </c>
      <c r="U55" s="77">
        <v>74600</v>
      </c>
      <c r="V55" s="77">
        <v>82700</v>
      </c>
      <c r="W55" s="77">
        <v>87300</v>
      </c>
      <c r="X55" s="77">
        <v>92600</v>
      </c>
      <c r="Y55" s="77">
        <v>98300</v>
      </c>
      <c r="Z55" s="77">
        <v>109300</v>
      </c>
      <c r="AA55" s="76"/>
      <c r="AB55" s="82"/>
      <c r="AC55" s="82"/>
      <c r="AD55" s="76"/>
      <c r="AE55" s="30"/>
      <c r="AF55" s="30"/>
      <c r="AG55" s="4"/>
      <c r="AH55" s="4"/>
      <c r="AI55" s="4"/>
      <c r="AJ55" s="3"/>
      <c r="AK55" s="3"/>
      <c r="AL55" s="3"/>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row>
    <row r="56" spans="2:188" hidden="1">
      <c r="B56" s="4"/>
      <c r="C56" s="4"/>
      <c r="D56" s="4">
        <f t="shared" si="6"/>
        <v>42700</v>
      </c>
      <c r="E56" s="4"/>
      <c r="F56" s="4">
        <f t="shared" si="7"/>
        <v>42700</v>
      </c>
      <c r="G56" s="4">
        <v>47900</v>
      </c>
      <c r="H56" s="4">
        <v>56100</v>
      </c>
      <c r="I56" s="4">
        <v>42700</v>
      </c>
      <c r="J56" s="4">
        <v>67200</v>
      </c>
      <c r="K56" s="86"/>
      <c r="L56" s="86"/>
      <c r="M56" s="77"/>
      <c r="N56" s="81"/>
      <c r="O56" s="77"/>
      <c r="P56" s="78"/>
      <c r="Q56" s="79"/>
      <c r="R56" s="80"/>
      <c r="S56" s="80"/>
      <c r="T56" s="76">
        <v>71100</v>
      </c>
      <c r="U56" s="76">
        <v>76800</v>
      </c>
      <c r="V56" s="77">
        <v>85200</v>
      </c>
      <c r="W56" s="77">
        <v>89900</v>
      </c>
      <c r="X56" s="77">
        <v>95400</v>
      </c>
      <c r="Y56" s="77">
        <v>101200</v>
      </c>
      <c r="Z56" s="77">
        <v>112600</v>
      </c>
      <c r="AA56" s="76"/>
      <c r="AB56" s="82"/>
      <c r="AC56" s="82"/>
      <c r="AD56" s="76"/>
      <c r="AE56" s="30"/>
      <c r="AF56" s="30"/>
      <c r="AG56" s="4"/>
      <c r="AH56" s="4"/>
      <c r="AI56" s="4"/>
      <c r="AJ56" s="3"/>
      <c r="AK56" s="3"/>
      <c r="AL56" s="3"/>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row>
    <row r="57" spans="2:188" hidden="1">
      <c r="B57" s="4"/>
      <c r="C57" s="4"/>
      <c r="D57" s="4">
        <f t="shared" si="6"/>
        <v>44000</v>
      </c>
      <c r="E57" s="4"/>
      <c r="F57" s="4">
        <f t="shared" si="7"/>
        <v>44000</v>
      </c>
      <c r="G57" s="4">
        <v>49300</v>
      </c>
      <c r="H57" s="4">
        <v>57800</v>
      </c>
      <c r="I57" s="4">
        <v>44000</v>
      </c>
      <c r="J57" s="4">
        <v>69200</v>
      </c>
      <c r="K57" s="77"/>
      <c r="L57" s="77"/>
      <c r="M57" s="81"/>
      <c r="N57" s="81"/>
      <c r="O57" s="77"/>
      <c r="P57" s="78"/>
      <c r="Q57" s="79"/>
      <c r="R57" s="80"/>
      <c r="S57" s="80"/>
      <c r="T57" s="77">
        <v>73200</v>
      </c>
      <c r="U57" s="77">
        <v>79100</v>
      </c>
      <c r="V57" s="77">
        <v>87800</v>
      </c>
      <c r="W57" s="77">
        <v>92600</v>
      </c>
      <c r="X57" s="77">
        <v>98300</v>
      </c>
      <c r="Y57" s="82">
        <v>104200</v>
      </c>
      <c r="Z57" s="82">
        <v>116000</v>
      </c>
      <c r="AA57" s="76"/>
      <c r="AB57" s="76"/>
      <c r="AC57" s="76"/>
      <c r="AD57" s="76"/>
      <c r="AE57" s="30"/>
      <c r="AF57" s="30"/>
      <c r="AG57" s="4"/>
      <c r="AH57" s="4"/>
      <c r="AI57" s="4"/>
      <c r="AJ57" s="3"/>
      <c r="AK57" s="3"/>
      <c r="AL57" s="3"/>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row>
    <row r="58" spans="2:188" hidden="1">
      <c r="B58" s="4"/>
      <c r="C58" s="4"/>
      <c r="D58" s="4">
        <f t="shared" si="6"/>
        <v>45300</v>
      </c>
      <c r="E58" s="4"/>
      <c r="F58" s="4">
        <f t="shared" si="7"/>
        <v>45300</v>
      </c>
      <c r="G58" s="4">
        <v>50800</v>
      </c>
      <c r="H58" s="4">
        <v>59500</v>
      </c>
      <c r="I58" s="4">
        <v>45300</v>
      </c>
      <c r="J58" s="4">
        <v>71300</v>
      </c>
      <c r="K58" s="76"/>
      <c r="L58" s="76"/>
      <c r="M58" s="81"/>
      <c r="N58" s="81"/>
      <c r="O58" s="77"/>
      <c r="P58" s="78"/>
      <c r="Q58" s="79"/>
      <c r="R58" s="80"/>
      <c r="S58" s="80"/>
      <c r="T58" s="77">
        <v>75400</v>
      </c>
      <c r="U58" s="77">
        <v>81500</v>
      </c>
      <c r="V58" s="76">
        <v>90400</v>
      </c>
      <c r="W58" s="76">
        <v>95400</v>
      </c>
      <c r="X58" s="76">
        <v>101200</v>
      </c>
      <c r="Y58" s="82">
        <v>107300</v>
      </c>
      <c r="Z58" s="82">
        <v>119500</v>
      </c>
      <c r="AA58" s="76"/>
      <c r="AB58" s="82"/>
      <c r="AC58" s="82"/>
      <c r="AD58" s="82"/>
      <c r="AE58" s="30"/>
      <c r="AF58" s="30"/>
      <c r="AG58" s="4"/>
      <c r="AH58" s="4"/>
      <c r="AI58" s="4"/>
      <c r="AJ58" s="3"/>
      <c r="AK58" s="3"/>
      <c r="AL58" s="3"/>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row>
    <row r="59" spans="2:188" hidden="1">
      <c r="B59" s="4"/>
      <c r="C59" s="4"/>
      <c r="D59" s="4">
        <f t="shared" si="6"/>
        <v>46700</v>
      </c>
      <c r="E59" s="4"/>
      <c r="F59" s="4">
        <f t="shared" si="7"/>
        <v>46700</v>
      </c>
      <c r="G59" s="4">
        <v>52300</v>
      </c>
      <c r="H59" s="4">
        <v>61300</v>
      </c>
      <c r="I59" s="4">
        <v>46700</v>
      </c>
      <c r="J59" s="4">
        <v>73400</v>
      </c>
      <c r="K59" s="77"/>
      <c r="L59" s="77"/>
      <c r="M59" s="77"/>
      <c r="N59" s="77"/>
      <c r="O59" s="77"/>
      <c r="P59" s="78"/>
      <c r="Q59" s="79"/>
      <c r="R59" s="80"/>
      <c r="S59" s="80"/>
      <c r="T59" s="77">
        <v>77700</v>
      </c>
      <c r="U59" s="77">
        <v>83900</v>
      </c>
      <c r="V59" s="77">
        <v>93100</v>
      </c>
      <c r="W59" s="77">
        <v>98300</v>
      </c>
      <c r="X59" s="77">
        <v>104200</v>
      </c>
      <c r="Y59" s="82">
        <v>110500</v>
      </c>
      <c r="Z59" s="82">
        <v>123100</v>
      </c>
      <c r="AA59" s="76"/>
      <c r="AB59" s="76"/>
      <c r="AC59" s="76"/>
      <c r="AD59" s="82"/>
      <c r="AE59" s="30"/>
      <c r="AF59" s="30"/>
      <c r="AG59" s="4"/>
      <c r="AH59" s="4"/>
      <c r="AI59" s="4"/>
      <c r="AJ59" s="3"/>
      <c r="AK59" s="3"/>
      <c r="AL59" s="3"/>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row>
    <row r="60" spans="2:188" hidden="1">
      <c r="B60" s="4"/>
      <c r="C60" s="4"/>
      <c r="D60" s="4">
        <f t="shared" si="6"/>
        <v>48100</v>
      </c>
      <c r="E60" s="4"/>
      <c r="F60" s="4">
        <f t="shared" si="7"/>
        <v>48100</v>
      </c>
      <c r="G60" s="4">
        <v>53900</v>
      </c>
      <c r="H60" s="4">
        <v>63100</v>
      </c>
      <c r="I60" s="4">
        <v>48100</v>
      </c>
      <c r="J60" s="4">
        <v>75600</v>
      </c>
      <c r="K60" s="77"/>
      <c r="L60" s="77"/>
      <c r="M60" s="81"/>
      <c r="N60" s="76"/>
      <c r="O60" s="77"/>
      <c r="P60" s="78"/>
      <c r="Q60" s="79"/>
      <c r="R60" s="80"/>
      <c r="S60" s="80"/>
      <c r="T60" s="77">
        <v>80000</v>
      </c>
      <c r="U60" s="77">
        <v>86400</v>
      </c>
      <c r="V60" s="76">
        <v>95900</v>
      </c>
      <c r="W60" s="76">
        <v>101200</v>
      </c>
      <c r="X60" s="76">
        <v>107300</v>
      </c>
      <c r="Y60" s="76">
        <v>113800</v>
      </c>
      <c r="Z60" s="76">
        <v>126800</v>
      </c>
      <c r="AA60" s="76"/>
      <c r="AB60" s="76"/>
      <c r="AC60" s="76"/>
      <c r="AD60" s="77"/>
      <c r="AE60" s="30"/>
      <c r="AF60" s="30"/>
      <c r="AG60" s="4"/>
      <c r="AH60" s="4"/>
      <c r="AI60" s="4"/>
      <c r="AJ60" s="3"/>
      <c r="AK60" s="3"/>
      <c r="AL60" s="3"/>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row>
    <row r="61" spans="2:188" hidden="1">
      <c r="B61" s="4"/>
      <c r="C61" s="4"/>
      <c r="D61" s="4">
        <f t="shared" si="6"/>
        <v>49500</v>
      </c>
      <c r="E61" s="4"/>
      <c r="F61" s="4">
        <f t="shared" si="7"/>
        <v>49500</v>
      </c>
      <c r="G61" s="4">
        <v>55500</v>
      </c>
      <c r="H61" s="4">
        <v>65000</v>
      </c>
      <c r="I61" s="4">
        <v>49500</v>
      </c>
      <c r="J61" s="4">
        <v>77900</v>
      </c>
      <c r="K61" s="77"/>
      <c r="L61" s="77"/>
      <c r="M61" s="81"/>
      <c r="N61" s="77"/>
      <c r="O61" s="77"/>
      <c r="P61" s="78"/>
      <c r="Q61" s="79"/>
      <c r="R61" s="80"/>
      <c r="S61" s="80"/>
      <c r="T61" s="77">
        <v>82400</v>
      </c>
      <c r="U61" s="77">
        <v>89000</v>
      </c>
      <c r="V61" s="77">
        <v>98800</v>
      </c>
      <c r="W61" s="77">
        <v>104200</v>
      </c>
      <c r="X61" s="77">
        <v>110500</v>
      </c>
      <c r="Y61" s="82">
        <v>117200</v>
      </c>
      <c r="Z61" s="82">
        <v>130600</v>
      </c>
      <c r="AA61" s="76"/>
      <c r="AB61" s="82"/>
      <c r="AC61" s="82"/>
      <c r="AD61" s="76"/>
      <c r="AE61" s="30"/>
      <c r="AF61" s="30"/>
      <c r="AG61" s="4"/>
      <c r="AH61" s="4"/>
      <c r="AI61" s="4"/>
      <c r="AJ61" s="3"/>
      <c r="AK61" s="3"/>
      <c r="AL61" s="3"/>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row>
    <row r="62" spans="2:188" hidden="1">
      <c r="B62" s="4"/>
      <c r="C62" s="4"/>
      <c r="D62" s="4">
        <f t="shared" si="6"/>
        <v>51000</v>
      </c>
      <c r="E62" s="4"/>
      <c r="F62" s="4">
        <f t="shared" si="7"/>
        <v>51000</v>
      </c>
      <c r="G62" s="4">
        <v>57200</v>
      </c>
      <c r="H62" s="4">
        <v>67000</v>
      </c>
      <c r="I62" s="4">
        <v>51000</v>
      </c>
      <c r="J62" s="4">
        <v>80200</v>
      </c>
      <c r="K62" s="77"/>
      <c r="L62" s="77"/>
      <c r="M62" s="77"/>
      <c r="N62" s="77"/>
      <c r="O62" s="77"/>
      <c r="P62" s="78"/>
      <c r="Q62" s="79"/>
      <c r="R62" s="80"/>
      <c r="S62" s="80"/>
      <c r="T62" s="77">
        <v>84900</v>
      </c>
      <c r="U62" s="77">
        <v>91700</v>
      </c>
      <c r="V62" s="82">
        <v>101800</v>
      </c>
      <c r="W62" s="82">
        <v>107300</v>
      </c>
      <c r="X62" s="82">
        <v>113800</v>
      </c>
      <c r="Y62" s="76">
        <v>120700</v>
      </c>
      <c r="Z62" s="76">
        <v>134500</v>
      </c>
      <c r="AA62" s="76"/>
      <c r="AB62" s="82"/>
      <c r="AC62" s="82"/>
      <c r="AD62" s="76"/>
      <c r="AE62" s="30"/>
      <c r="AF62" s="30"/>
      <c r="AG62" s="4"/>
      <c r="AH62" s="4"/>
      <c r="AI62" s="4"/>
      <c r="AJ62" s="3"/>
      <c r="AK62" s="3"/>
      <c r="AL62" s="3"/>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row>
    <row r="63" spans="2:188" hidden="1">
      <c r="B63" s="4"/>
      <c r="C63" s="4"/>
      <c r="D63" s="4">
        <f t="shared" si="6"/>
        <v>52500</v>
      </c>
      <c r="E63" s="4"/>
      <c r="F63" s="4">
        <f t="shared" si="7"/>
        <v>52500</v>
      </c>
      <c r="G63" s="4">
        <v>58900</v>
      </c>
      <c r="H63" s="4">
        <v>69000</v>
      </c>
      <c r="I63" s="4">
        <v>52500</v>
      </c>
      <c r="J63" s="4">
        <v>82600</v>
      </c>
      <c r="K63" s="77"/>
      <c r="L63" s="77"/>
      <c r="M63" s="76"/>
      <c r="N63" s="77"/>
      <c r="O63" s="77"/>
      <c r="P63" s="78"/>
      <c r="Q63" s="79"/>
      <c r="R63" s="80"/>
      <c r="S63" s="80"/>
      <c r="T63" s="77">
        <v>87400</v>
      </c>
      <c r="U63" s="77">
        <v>94500</v>
      </c>
      <c r="V63" s="82">
        <v>104900</v>
      </c>
      <c r="W63" s="82">
        <v>110500</v>
      </c>
      <c r="X63" s="82">
        <v>117200</v>
      </c>
      <c r="Y63" s="82">
        <v>124300</v>
      </c>
      <c r="Z63" s="82">
        <v>138500</v>
      </c>
      <c r="AA63" s="76"/>
      <c r="AB63" s="77"/>
      <c r="AC63" s="77"/>
      <c r="AD63" s="90"/>
      <c r="AE63" s="30"/>
      <c r="AF63" s="30"/>
      <c r="AG63" s="4"/>
      <c r="AH63" s="4"/>
      <c r="AI63" s="4"/>
      <c r="AJ63" s="3"/>
      <c r="AK63" s="3"/>
      <c r="AL63" s="3"/>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row>
    <row r="64" spans="2:188" hidden="1">
      <c r="B64" s="4"/>
      <c r="C64" s="4"/>
      <c r="D64" s="4">
        <f t="shared" si="6"/>
        <v>54100</v>
      </c>
      <c r="E64" s="4"/>
      <c r="F64" s="4">
        <f t="shared" si="7"/>
        <v>54100</v>
      </c>
      <c r="G64" s="4">
        <v>60700</v>
      </c>
      <c r="H64" s="4">
        <v>71100</v>
      </c>
      <c r="I64" s="4">
        <v>54100</v>
      </c>
      <c r="J64" s="4">
        <v>85100</v>
      </c>
      <c r="K64" s="77"/>
      <c r="L64" s="77"/>
      <c r="M64" s="77"/>
      <c r="N64" s="77"/>
      <c r="O64" s="77"/>
      <c r="P64" s="78"/>
      <c r="Q64" s="79"/>
      <c r="R64" s="80"/>
      <c r="S64" s="80"/>
      <c r="T64" s="77">
        <v>90000</v>
      </c>
      <c r="U64" s="77">
        <v>97300</v>
      </c>
      <c r="V64" s="82">
        <v>108000</v>
      </c>
      <c r="W64" s="82">
        <v>113800</v>
      </c>
      <c r="X64" s="82">
        <v>120700</v>
      </c>
      <c r="Y64" s="82">
        <v>128000</v>
      </c>
      <c r="Z64" s="82">
        <v>142700</v>
      </c>
      <c r="AA64" s="76"/>
      <c r="AB64" s="76"/>
      <c r="AC64" s="76"/>
      <c r="AD64" s="90"/>
      <c r="AE64" s="30"/>
      <c r="AF64" s="30"/>
      <c r="AG64" s="4"/>
      <c r="AH64" s="4"/>
      <c r="AI64" s="4"/>
      <c r="AJ64" s="3"/>
      <c r="AK64" s="3"/>
      <c r="AL64" s="3"/>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row>
    <row r="65" spans="2:188" hidden="1">
      <c r="B65" s="4"/>
      <c r="C65" s="4"/>
      <c r="D65" s="4">
        <f t="shared" si="6"/>
        <v>55700</v>
      </c>
      <c r="E65" s="4"/>
      <c r="F65" s="4">
        <f t="shared" si="7"/>
        <v>55700</v>
      </c>
      <c r="G65" s="4">
        <v>62500</v>
      </c>
      <c r="H65" s="4">
        <v>73200</v>
      </c>
      <c r="I65" s="4">
        <v>55700</v>
      </c>
      <c r="J65" s="4">
        <v>87700</v>
      </c>
      <c r="K65" s="77"/>
      <c r="L65" s="77"/>
      <c r="M65" s="77"/>
      <c r="N65" s="77"/>
      <c r="O65" s="77"/>
      <c r="P65" s="78"/>
      <c r="Q65" s="79"/>
      <c r="R65" s="80"/>
      <c r="S65" s="80"/>
      <c r="T65" s="77">
        <v>92700</v>
      </c>
      <c r="U65" s="77">
        <v>100200</v>
      </c>
      <c r="V65" s="76">
        <v>111200</v>
      </c>
      <c r="W65" s="76">
        <v>117200</v>
      </c>
      <c r="X65" s="76">
        <v>124300</v>
      </c>
      <c r="Y65" s="82">
        <v>131800</v>
      </c>
      <c r="Z65" s="82">
        <v>147000</v>
      </c>
      <c r="AA65" s="81"/>
      <c r="AB65" s="76"/>
      <c r="AC65" s="76"/>
      <c r="AD65" s="90"/>
      <c r="AE65" s="30"/>
      <c r="AF65" s="30"/>
      <c r="AG65" s="4"/>
      <c r="AH65" s="4"/>
      <c r="AI65" s="4"/>
      <c r="AJ65" s="3"/>
      <c r="AK65" s="3"/>
      <c r="AL65" s="3"/>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row>
    <row r="66" spans="2:188" hidden="1">
      <c r="B66" s="4"/>
      <c r="C66" s="4"/>
      <c r="D66" s="4">
        <f t="shared" si="6"/>
        <v>57400</v>
      </c>
      <c r="E66" s="4"/>
      <c r="F66" s="4">
        <f t="shared" si="7"/>
        <v>57400</v>
      </c>
      <c r="G66" s="4">
        <v>64400</v>
      </c>
      <c r="H66" s="4">
        <v>75400</v>
      </c>
      <c r="I66" s="4">
        <v>57400</v>
      </c>
      <c r="J66" s="4">
        <v>90300</v>
      </c>
      <c r="K66" s="77"/>
      <c r="L66" s="77"/>
      <c r="M66" s="77"/>
      <c r="N66" s="77"/>
      <c r="O66" s="77"/>
      <c r="P66" s="78"/>
      <c r="Q66" s="79"/>
      <c r="R66" s="80"/>
      <c r="S66" s="80"/>
      <c r="T66" s="77">
        <v>95500</v>
      </c>
      <c r="U66" s="77">
        <v>103200</v>
      </c>
      <c r="V66" s="76">
        <v>114500</v>
      </c>
      <c r="W66" s="76">
        <v>120700</v>
      </c>
      <c r="X66" s="76">
        <v>128000</v>
      </c>
      <c r="Y66" s="76">
        <v>135800</v>
      </c>
      <c r="Z66" s="76">
        <v>151400</v>
      </c>
      <c r="AA66" s="81"/>
      <c r="AB66" s="90"/>
      <c r="AC66" s="90"/>
      <c r="AD66" s="90"/>
      <c r="AE66" s="30"/>
      <c r="AF66" s="30"/>
      <c r="AG66" s="4"/>
      <c r="AH66" s="4"/>
      <c r="AI66" s="4"/>
      <c r="AJ66" s="3"/>
      <c r="AK66" s="3"/>
      <c r="AL66" s="3"/>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row>
    <row r="67" spans="2:188" hidden="1">
      <c r="B67" s="4"/>
      <c r="C67" s="4"/>
      <c r="D67" s="4">
        <f t="shared" si="6"/>
        <v>59100</v>
      </c>
      <c r="E67" s="4"/>
      <c r="F67" s="4">
        <f t="shared" si="7"/>
        <v>59100</v>
      </c>
      <c r="G67" s="4">
        <v>66300</v>
      </c>
      <c r="H67" s="4">
        <v>77700</v>
      </c>
      <c r="I67" s="4">
        <v>59100</v>
      </c>
      <c r="J67" s="4">
        <v>93000</v>
      </c>
      <c r="K67" s="81"/>
      <c r="L67" s="81"/>
      <c r="M67" s="77"/>
      <c r="N67" s="77"/>
      <c r="O67" s="77"/>
      <c r="P67" s="78"/>
      <c r="Q67" s="79"/>
      <c r="R67" s="80"/>
      <c r="S67" s="80"/>
      <c r="T67" s="77">
        <v>98400</v>
      </c>
      <c r="U67" s="77">
        <v>106300</v>
      </c>
      <c r="V67" s="76">
        <v>117900</v>
      </c>
      <c r="W67" s="76">
        <v>124300</v>
      </c>
      <c r="X67" s="76">
        <v>131800</v>
      </c>
      <c r="Y67" s="82">
        <v>139900</v>
      </c>
      <c r="Z67" s="82">
        <v>155900</v>
      </c>
      <c r="AA67" s="76"/>
      <c r="AB67" s="90"/>
      <c r="AC67" s="90"/>
      <c r="AD67" s="90"/>
      <c r="AE67" s="30"/>
      <c r="AF67" s="30"/>
      <c r="AG67" s="4"/>
      <c r="AH67" s="4"/>
      <c r="AI67" s="4"/>
      <c r="AJ67" s="3"/>
      <c r="AK67" s="3"/>
      <c r="AL67" s="3"/>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row>
    <row r="68" spans="2:188" hidden="1">
      <c r="B68" s="4"/>
      <c r="C68" s="4"/>
      <c r="D68" s="4">
        <f t="shared" si="6"/>
        <v>60900</v>
      </c>
      <c r="E68" s="4"/>
      <c r="F68" s="4">
        <f t="shared" si="7"/>
        <v>60900</v>
      </c>
      <c r="G68" s="77">
        <v>68300</v>
      </c>
      <c r="H68" s="83">
        <v>80000</v>
      </c>
      <c r="I68" s="76">
        <v>60900</v>
      </c>
      <c r="J68" s="77">
        <v>95800</v>
      </c>
      <c r="K68" s="81"/>
      <c r="L68" s="81"/>
      <c r="M68" s="77"/>
      <c r="N68" s="77"/>
      <c r="O68" s="76"/>
      <c r="P68" s="83"/>
      <c r="Q68" s="79"/>
      <c r="R68" s="84"/>
      <c r="S68" s="84"/>
      <c r="T68" s="82">
        <v>101400</v>
      </c>
      <c r="U68" s="82">
        <v>109500</v>
      </c>
      <c r="V68" s="82">
        <v>121400</v>
      </c>
      <c r="W68" s="82">
        <v>128000</v>
      </c>
      <c r="X68" s="82">
        <v>135800</v>
      </c>
      <c r="Y68" s="82">
        <v>144100</v>
      </c>
      <c r="Z68" s="82">
        <v>160600</v>
      </c>
      <c r="AA68" s="90"/>
      <c r="AB68" s="90"/>
      <c r="AC68" s="90"/>
      <c r="AD68" s="90"/>
      <c r="AE68" s="30"/>
      <c r="AF68" s="30"/>
      <c r="AG68" s="4"/>
      <c r="AH68" s="4"/>
      <c r="AI68" s="4"/>
      <c r="AJ68" s="3"/>
      <c r="AK68" s="3"/>
      <c r="AL68" s="3"/>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row>
    <row r="69" spans="2:188" hidden="1">
      <c r="B69" s="4"/>
      <c r="C69" s="4"/>
      <c r="D69" s="4">
        <f t="shared" si="6"/>
        <v>62700</v>
      </c>
      <c r="E69" s="4"/>
      <c r="F69" s="4">
        <f t="shared" si="7"/>
        <v>62700</v>
      </c>
      <c r="G69" s="77">
        <v>70300</v>
      </c>
      <c r="H69" s="78">
        <v>82400</v>
      </c>
      <c r="I69" s="77">
        <v>62700</v>
      </c>
      <c r="J69" s="77">
        <v>98700</v>
      </c>
      <c r="K69" s="77"/>
      <c r="L69" s="77"/>
      <c r="M69" s="77"/>
      <c r="N69" s="77"/>
      <c r="O69" s="77"/>
      <c r="P69" s="78"/>
      <c r="Q69" s="79"/>
      <c r="R69" s="80"/>
      <c r="S69" s="80"/>
      <c r="T69" s="82">
        <v>104400</v>
      </c>
      <c r="U69" s="82">
        <v>112800</v>
      </c>
      <c r="V69" s="82">
        <v>125000</v>
      </c>
      <c r="W69" s="82">
        <v>131800</v>
      </c>
      <c r="X69" s="82">
        <v>139900</v>
      </c>
      <c r="Y69" s="82">
        <v>148400</v>
      </c>
      <c r="Z69" s="82">
        <v>165400</v>
      </c>
      <c r="AA69" s="90"/>
      <c r="AB69" s="90"/>
      <c r="AC69" s="90"/>
      <c r="AD69" s="90"/>
      <c r="AE69" s="30"/>
      <c r="AF69" s="30"/>
      <c r="AG69" s="4"/>
      <c r="AH69" s="4"/>
      <c r="AI69" s="4"/>
      <c r="AJ69" s="3"/>
      <c r="AK69" s="3"/>
      <c r="AL69" s="3"/>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row>
    <row r="70" spans="2:188" hidden="1">
      <c r="B70" s="4"/>
      <c r="C70" s="4"/>
      <c r="D70" s="4">
        <f t="shared" si="6"/>
        <v>64600</v>
      </c>
      <c r="E70" s="4"/>
      <c r="F70" s="4">
        <f t="shared" si="7"/>
        <v>64600</v>
      </c>
      <c r="G70" s="76">
        <v>72400</v>
      </c>
      <c r="H70" s="83">
        <v>84900</v>
      </c>
      <c r="I70" s="77">
        <v>64600</v>
      </c>
      <c r="J70" s="82">
        <v>101700</v>
      </c>
      <c r="K70" s="77"/>
      <c r="L70" s="77"/>
      <c r="M70" s="77"/>
      <c r="N70" s="76"/>
      <c r="O70" s="77"/>
      <c r="P70" s="78"/>
      <c r="Q70" s="79"/>
      <c r="R70" s="80"/>
      <c r="S70" s="80"/>
      <c r="T70" s="82">
        <v>107500</v>
      </c>
      <c r="U70" s="82">
        <v>116200</v>
      </c>
      <c r="V70" s="76">
        <v>128800</v>
      </c>
      <c r="W70" s="76">
        <v>135800</v>
      </c>
      <c r="X70" s="76">
        <v>144100</v>
      </c>
      <c r="Y70" s="76">
        <v>152900</v>
      </c>
      <c r="Z70" s="76">
        <v>170400</v>
      </c>
      <c r="AA70" s="30"/>
      <c r="AB70" s="30"/>
      <c r="AC70" s="30"/>
      <c r="AD70" s="30"/>
      <c r="AE70" s="30"/>
      <c r="AF70" s="30"/>
      <c r="AG70" s="4"/>
      <c r="AH70" s="4"/>
      <c r="AI70" s="4"/>
      <c r="AJ70" s="3"/>
      <c r="AK70" s="3"/>
      <c r="AL70" s="3"/>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row>
    <row r="71" spans="2:188" hidden="1">
      <c r="B71" s="4"/>
      <c r="C71" s="4"/>
      <c r="D71" s="4">
        <f t="shared" si="6"/>
        <v>66500</v>
      </c>
      <c r="E71" s="4"/>
      <c r="F71" s="4">
        <f t="shared" si="7"/>
        <v>66500</v>
      </c>
      <c r="G71" s="77">
        <v>74600</v>
      </c>
      <c r="H71" s="83">
        <v>87400</v>
      </c>
      <c r="I71" s="77">
        <v>66500</v>
      </c>
      <c r="J71" s="82">
        <v>104800</v>
      </c>
      <c r="K71" s="77"/>
      <c r="L71" s="77"/>
      <c r="M71" s="77"/>
      <c r="N71" s="77"/>
      <c r="O71" s="81"/>
      <c r="P71" s="87"/>
      <c r="Q71" s="79"/>
      <c r="R71" s="88"/>
      <c r="S71" s="88"/>
      <c r="T71" s="76">
        <v>110700</v>
      </c>
      <c r="U71" s="76">
        <v>119700</v>
      </c>
      <c r="V71" s="82">
        <v>132700</v>
      </c>
      <c r="W71" s="82">
        <v>139900</v>
      </c>
      <c r="X71" s="82">
        <v>148400</v>
      </c>
      <c r="Y71" s="76">
        <v>157500</v>
      </c>
      <c r="Z71" s="76">
        <v>175500</v>
      </c>
      <c r="AA71" s="30"/>
      <c r="AB71" s="30"/>
      <c r="AC71" s="30"/>
      <c r="AD71" s="30"/>
      <c r="AE71" s="30"/>
      <c r="AF71" s="30"/>
      <c r="AG71" s="4"/>
      <c r="AH71" s="4"/>
      <c r="AI71" s="4"/>
      <c r="AJ71" s="3"/>
      <c r="AK71" s="3"/>
      <c r="AL71" s="3"/>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row>
    <row r="72" spans="2:188" hidden="1">
      <c r="B72" s="4"/>
      <c r="C72" s="4"/>
      <c r="D72" s="4">
        <f t="shared" si="6"/>
        <v>68500</v>
      </c>
      <c r="E72" s="4"/>
      <c r="F72" s="4">
        <f t="shared" si="7"/>
        <v>68500</v>
      </c>
      <c r="G72" s="77">
        <v>76800</v>
      </c>
      <c r="H72" s="78">
        <v>90000</v>
      </c>
      <c r="I72" s="76">
        <v>68500</v>
      </c>
      <c r="J72" s="82">
        <v>107900</v>
      </c>
      <c r="K72" s="77"/>
      <c r="L72" s="77"/>
      <c r="M72" s="77"/>
      <c r="N72" s="77"/>
      <c r="O72" s="81"/>
      <c r="P72" s="87"/>
      <c r="Q72" s="79"/>
      <c r="R72" s="88"/>
      <c r="S72" s="88"/>
      <c r="T72" s="76">
        <v>114000</v>
      </c>
      <c r="U72" s="76">
        <v>123300</v>
      </c>
      <c r="V72" s="76">
        <v>136700</v>
      </c>
      <c r="W72" s="76">
        <v>144100</v>
      </c>
      <c r="X72" s="76">
        <v>152900</v>
      </c>
      <c r="Y72" s="82">
        <v>162200</v>
      </c>
      <c r="Z72" s="82">
        <v>180800</v>
      </c>
      <c r="AA72" s="30"/>
      <c r="AB72" s="30"/>
      <c r="AC72" s="30"/>
      <c r="AD72" s="30"/>
      <c r="AE72" s="30"/>
      <c r="AF72" s="30"/>
      <c r="AG72" s="4"/>
      <c r="AH72" s="4"/>
      <c r="AI72" s="4"/>
      <c r="AJ72" s="3"/>
      <c r="AK72" s="3"/>
      <c r="AL72" s="3"/>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row>
    <row r="73" spans="2:188" hidden="1">
      <c r="B73" s="4"/>
      <c r="C73" s="4"/>
      <c r="D73" s="4">
        <f t="shared" si="6"/>
        <v>70600</v>
      </c>
      <c r="E73" s="4"/>
      <c r="F73" s="4">
        <f t="shared" si="7"/>
        <v>70600</v>
      </c>
      <c r="G73" s="76">
        <v>79100</v>
      </c>
      <c r="H73" s="78">
        <v>92700</v>
      </c>
      <c r="I73" s="77">
        <v>70600</v>
      </c>
      <c r="J73" s="76">
        <v>111100</v>
      </c>
      <c r="K73" s="81"/>
      <c r="L73" s="81"/>
      <c r="M73" s="76"/>
      <c r="N73" s="77"/>
      <c r="O73" s="81"/>
      <c r="P73" s="87"/>
      <c r="Q73" s="79"/>
      <c r="R73" s="88"/>
      <c r="S73" s="88"/>
      <c r="T73" s="76">
        <v>117400</v>
      </c>
      <c r="U73" s="76">
        <v>127000</v>
      </c>
      <c r="V73" s="82">
        <v>140800</v>
      </c>
      <c r="W73" s="82">
        <v>148400</v>
      </c>
      <c r="X73" s="82">
        <v>157500</v>
      </c>
      <c r="Y73" s="82">
        <v>167100</v>
      </c>
      <c r="Z73" s="82">
        <v>186200</v>
      </c>
      <c r="AA73" s="30"/>
      <c r="AB73" s="30"/>
      <c r="AC73" s="30"/>
      <c r="AD73" s="30"/>
      <c r="AE73" s="30"/>
      <c r="AF73" s="30"/>
      <c r="AG73" s="4"/>
      <c r="AH73" s="4"/>
      <c r="AI73" s="4"/>
      <c r="AJ73" s="3"/>
      <c r="AK73" s="3"/>
      <c r="AL73" s="3"/>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row>
    <row r="74" spans="2:188" hidden="1">
      <c r="B74" s="4"/>
      <c r="C74" s="4"/>
      <c r="D74" s="4">
        <f t="shared" si="6"/>
        <v>72700</v>
      </c>
      <c r="E74" s="4"/>
      <c r="F74" s="4">
        <f t="shared" si="7"/>
        <v>72700</v>
      </c>
      <c r="G74" s="76">
        <v>81500</v>
      </c>
      <c r="H74" s="83">
        <v>95500</v>
      </c>
      <c r="I74" s="77">
        <v>72700</v>
      </c>
      <c r="J74" s="76">
        <v>114400</v>
      </c>
      <c r="K74" s="81"/>
      <c r="L74" s="81"/>
      <c r="M74" s="77"/>
      <c r="N74" s="77"/>
      <c r="O74" s="76"/>
      <c r="P74" s="83"/>
      <c r="Q74" s="79"/>
      <c r="R74" s="84"/>
      <c r="S74" s="84"/>
      <c r="T74" s="82">
        <v>120900</v>
      </c>
      <c r="U74" s="82">
        <v>130800</v>
      </c>
      <c r="V74" s="82">
        <v>145000</v>
      </c>
      <c r="W74" s="82">
        <v>152900</v>
      </c>
      <c r="X74" s="82">
        <v>162200</v>
      </c>
      <c r="Y74" s="76">
        <v>172100</v>
      </c>
      <c r="Z74" s="76">
        <v>191800</v>
      </c>
      <c r="AA74" s="30"/>
      <c r="AB74" s="30"/>
      <c r="AC74" s="30"/>
      <c r="AD74" s="30"/>
      <c r="AE74" s="30"/>
      <c r="AF74" s="30"/>
      <c r="AG74" s="4"/>
      <c r="AH74" s="4"/>
      <c r="AI74" s="4"/>
      <c r="AJ74" s="3"/>
      <c r="AK74" s="3"/>
      <c r="AL74" s="3"/>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row>
    <row r="75" spans="2:188" hidden="1">
      <c r="B75" s="4"/>
      <c r="C75" s="4"/>
      <c r="D75" s="4">
        <f t="shared" si="6"/>
        <v>74900</v>
      </c>
      <c r="E75" s="4"/>
      <c r="F75" s="4">
        <f t="shared" si="7"/>
        <v>74900</v>
      </c>
      <c r="G75" s="77">
        <v>83900</v>
      </c>
      <c r="H75" s="83">
        <v>98400</v>
      </c>
      <c r="I75" s="77">
        <v>74900</v>
      </c>
      <c r="J75" s="76">
        <v>117800</v>
      </c>
      <c r="K75" s="81"/>
      <c r="L75" s="81"/>
      <c r="M75" s="77"/>
      <c r="N75" s="77"/>
      <c r="O75" s="81"/>
      <c r="P75" s="87"/>
      <c r="Q75" s="79"/>
      <c r="R75" s="88"/>
      <c r="S75" s="88"/>
      <c r="T75" s="82">
        <v>124500</v>
      </c>
      <c r="U75" s="82">
        <v>134700</v>
      </c>
      <c r="V75" s="82">
        <v>149400</v>
      </c>
      <c r="W75" s="82">
        <v>157500</v>
      </c>
      <c r="X75" s="82">
        <v>167100</v>
      </c>
      <c r="Y75" s="76">
        <v>177300</v>
      </c>
      <c r="Z75" s="76">
        <v>197600</v>
      </c>
      <c r="AA75" s="30"/>
      <c r="AB75" s="30"/>
      <c r="AC75" s="30"/>
      <c r="AD75" s="30"/>
      <c r="AE75" s="30"/>
      <c r="AF75" s="30"/>
      <c r="AG75" s="4"/>
      <c r="AH75" s="4"/>
      <c r="AI75" s="4"/>
      <c r="AJ75" s="3"/>
      <c r="AK75" s="3"/>
      <c r="AL75" s="3"/>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row>
    <row r="76" spans="2:188" hidden="1">
      <c r="B76" s="4"/>
      <c r="C76" s="4"/>
      <c r="D76" s="4">
        <f t="shared" si="6"/>
        <v>77100</v>
      </c>
      <c r="E76" s="4"/>
      <c r="F76" s="4">
        <f t="shared" si="7"/>
        <v>77100</v>
      </c>
      <c r="G76" s="76">
        <v>86400</v>
      </c>
      <c r="H76" s="83">
        <v>101400</v>
      </c>
      <c r="I76" s="77">
        <v>77100</v>
      </c>
      <c r="J76" s="82">
        <v>121300</v>
      </c>
      <c r="K76" s="77"/>
      <c r="L76" s="77"/>
      <c r="M76" s="77"/>
      <c r="N76" s="77"/>
      <c r="O76" s="81"/>
      <c r="P76" s="87"/>
      <c r="Q76" s="79"/>
      <c r="R76" s="88"/>
      <c r="S76" s="88"/>
      <c r="T76" s="82">
        <v>128200</v>
      </c>
      <c r="U76" s="82">
        <v>138700</v>
      </c>
      <c r="V76" s="76">
        <v>153900</v>
      </c>
      <c r="W76" s="76">
        <v>162200</v>
      </c>
      <c r="X76" s="76">
        <v>172100</v>
      </c>
      <c r="Y76" s="76">
        <v>182600</v>
      </c>
      <c r="Z76" s="76">
        <v>203500</v>
      </c>
      <c r="AA76" s="30"/>
      <c r="AB76" s="30"/>
      <c r="AC76" s="30"/>
      <c r="AD76" s="30"/>
      <c r="AE76" s="30"/>
      <c r="AF76" s="30"/>
      <c r="AG76" s="4"/>
      <c r="AH76" s="4"/>
      <c r="AI76" s="4"/>
      <c r="AJ76" s="3"/>
      <c r="AK76" s="3"/>
      <c r="AL76" s="3"/>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row>
    <row r="77" spans="2:188" hidden="1">
      <c r="B77" s="4"/>
      <c r="C77" s="4"/>
      <c r="D77" s="4">
        <f t="shared" si="6"/>
        <v>79400</v>
      </c>
      <c r="E77" s="4"/>
      <c r="F77" s="4">
        <f t="shared" si="7"/>
        <v>79400</v>
      </c>
      <c r="G77" s="76">
        <v>89000</v>
      </c>
      <c r="H77" s="83">
        <v>104400</v>
      </c>
      <c r="I77" s="77">
        <v>79400</v>
      </c>
      <c r="J77" s="82">
        <v>124900</v>
      </c>
      <c r="K77" s="77"/>
      <c r="L77" s="77"/>
      <c r="M77" s="77"/>
      <c r="N77" s="76"/>
      <c r="O77" s="77"/>
      <c r="P77" s="78"/>
      <c r="Q77" s="79"/>
      <c r="R77" s="80"/>
      <c r="S77" s="80"/>
      <c r="T77" s="76">
        <v>132000</v>
      </c>
      <c r="U77" s="76">
        <v>142900</v>
      </c>
      <c r="V77" s="82">
        <v>158500</v>
      </c>
      <c r="W77" s="82">
        <v>167100</v>
      </c>
      <c r="X77" s="82">
        <v>177300</v>
      </c>
      <c r="Y77" s="76">
        <v>188100</v>
      </c>
      <c r="Z77" s="76"/>
      <c r="AA77" s="30"/>
      <c r="AB77" s="30"/>
      <c r="AC77" s="30"/>
      <c r="AD77" s="30"/>
      <c r="AE77" s="30"/>
      <c r="AF77" s="30"/>
      <c r="AG77" s="4"/>
      <c r="AH77" s="4"/>
      <c r="AI77" s="4"/>
      <c r="AJ77" s="3"/>
      <c r="AK77" s="3"/>
      <c r="AL77" s="3"/>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row>
    <row r="78" spans="2:188" hidden="1">
      <c r="B78" s="4"/>
      <c r="C78" s="4"/>
      <c r="D78" s="4">
        <f t="shared" si="6"/>
        <v>81800</v>
      </c>
      <c r="E78" s="4"/>
      <c r="F78" s="4">
        <f t="shared" si="7"/>
        <v>81800</v>
      </c>
      <c r="G78" s="76">
        <v>91700</v>
      </c>
      <c r="H78" s="83">
        <v>107500</v>
      </c>
      <c r="I78" s="76">
        <v>81800</v>
      </c>
      <c r="J78" s="82">
        <v>128600</v>
      </c>
      <c r="K78" s="77"/>
      <c r="L78" s="77"/>
      <c r="M78" s="77"/>
      <c r="N78" s="77"/>
      <c r="O78" s="76"/>
      <c r="P78" s="83"/>
      <c r="Q78" s="79"/>
      <c r="R78" s="84"/>
      <c r="S78" s="84"/>
      <c r="T78" s="82">
        <v>136000</v>
      </c>
      <c r="U78" s="82">
        <v>147200</v>
      </c>
      <c r="V78" s="82">
        <v>163300</v>
      </c>
      <c r="W78" s="82">
        <v>172100</v>
      </c>
      <c r="X78" s="82">
        <v>182600</v>
      </c>
      <c r="Y78" s="76">
        <v>193700</v>
      </c>
      <c r="Z78" s="76"/>
      <c r="AA78" s="30"/>
      <c r="AB78" s="30"/>
      <c r="AC78" s="30"/>
      <c r="AD78" s="30"/>
      <c r="AE78" s="30"/>
      <c r="AF78" s="30"/>
      <c r="AG78" s="4"/>
      <c r="AH78" s="4"/>
      <c r="AI78" s="4"/>
      <c r="AJ78" s="3"/>
      <c r="AK78" s="3"/>
      <c r="AL78" s="3"/>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row>
    <row r="79" spans="2:188" hidden="1">
      <c r="B79" s="4"/>
      <c r="C79" s="4"/>
      <c r="D79" s="4">
        <f t="shared" si="6"/>
        <v>84300</v>
      </c>
      <c r="E79" s="4"/>
      <c r="F79" s="4">
        <f t="shared" si="7"/>
        <v>84300</v>
      </c>
      <c r="G79" s="76">
        <v>94500</v>
      </c>
      <c r="H79" s="83">
        <v>110700</v>
      </c>
      <c r="I79" s="77">
        <v>84300</v>
      </c>
      <c r="J79" s="76">
        <v>132500</v>
      </c>
      <c r="K79" s="77"/>
      <c r="L79" s="77"/>
      <c r="M79" s="81"/>
      <c r="N79" s="77"/>
      <c r="O79" s="77"/>
      <c r="P79" s="78"/>
      <c r="Q79" s="79"/>
      <c r="R79" s="80"/>
      <c r="S79" s="80"/>
      <c r="T79" s="82">
        <v>140100</v>
      </c>
      <c r="U79" s="82">
        <v>151600</v>
      </c>
      <c r="V79" s="82">
        <v>168200</v>
      </c>
      <c r="W79" s="82">
        <v>177300</v>
      </c>
      <c r="X79" s="82">
        <v>188100</v>
      </c>
      <c r="Y79" s="82">
        <v>199500</v>
      </c>
      <c r="Z79" s="82"/>
      <c r="AA79" s="30"/>
      <c r="AB79" s="30"/>
      <c r="AC79" s="30"/>
      <c r="AD79" s="30"/>
      <c r="AE79" s="30"/>
      <c r="AF79" s="30"/>
      <c r="AG79" s="4"/>
      <c r="AH79" s="4"/>
      <c r="AI79" s="4"/>
      <c r="AJ79" s="3"/>
      <c r="AK79" s="3"/>
      <c r="AL79" s="3"/>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row>
    <row r="80" spans="2:188" hidden="1">
      <c r="B80" s="4"/>
      <c r="C80" s="4"/>
      <c r="D80" s="4">
        <f t="shared" si="6"/>
        <v>86800</v>
      </c>
      <c r="E80" s="4"/>
      <c r="F80" s="4">
        <f t="shared" si="7"/>
        <v>86800</v>
      </c>
      <c r="G80" s="76">
        <v>97300</v>
      </c>
      <c r="H80" s="83">
        <v>114000</v>
      </c>
      <c r="I80" s="77">
        <v>86800</v>
      </c>
      <c r="J80" s="76">
        <v>136500</v>
      </c>
      <c r="K80" s="77"/>
      <c r="L80" s="77"/>
      <c r="M80" s="76"/>
      <c r="N80" s="77"/>
      <c r="O80" s="77"/>
      <c r="P80" s="78"/>
      <c r="Q80" s="79"/>
      <c r="R80" s="80"/>
      <c r="S80" s="80"/>
      <c r="T80" s="82">
        <v>144300</v>
      </c>
      <c r="U80" s="82">
        <v>156100</v>
      </c>
      <c r="V80" s="82">
        <v>173200</v>
      </c>
      <c r="W80" s="82">
        <v>182600</v>
      </c>
      <c r="X80" s="82">
        <v>193700</v>
      </c>
      <c r="Y80" s="77"/>
      <c r="Z80" s="77"/>
      <c r="AA80" s="30"/>
      <c r="AB80" s="30"/>
      <c r="AC80" s="30"/>
      <c r="AD80" s="30"/>
      <c r="AE80" s="30"/>
      <c r="AF80" s="30"/>
      <c r="AG80" s="4"/>
      <c r="AH80" s="4"/>
      <c r="AI80" s="4"/>
      <c r="AJ80" s="3"/>
      <c r="AK80" s="3"/>
      <c r="AL80" s="3"/>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row>
    <row r="81" spans="2:188" hidden="1">
      <c r="B81" s="4"/>
      <c r="C81" s="4"/>
      <c r="D81" s="4">
        <f t="shared" si="6"/>
        <v>89400</v>
      </c>
      <c r="E81" s="4"/>
      <c r="F81" s="4">
        <f t="shared" si="7"/>
        <v>89400</v>
      </c>
      <c r="G81" s="76">
        <v>100200</v>
      </c>
      <c r="H81" s="83">
        <v>117400</v>
      </c>
      <c r="I81" s="76">
        <v>89400</v>
      </c>
      <c r="J81" s="82">
        <v>140600</v>
      </c>
      <c r="K81" s="77"/>
      <c r="L81" s="77"/>
      <c r="M81" s="81"/>
      <c r="N81" s="77"/>
      <c r="O81" s="77"/>
      <c r="P81" s="78"/>
      <c r="Q81" s="79"/>
      <c r="R81" s="80"/>
      <c r="S81" s="80"/>
      <c r="T81" s="82">
        <v>148600</v>
      </c>
      <c r="U81" s="82">
        <v>160800</v>
      </c>
      <c r="V81" s="76">
        <v>178400</v>
      </c>
      <c r="W81" s="76">
        <v>188100</v>
      </c>
      <c r="X81" s="76">
        <v>199500</v>
      </c>
      <c r="Y81" s="77"/>
      <c r="Z81" s="77"/>
      <c r="AA81" s="30"/>
      <c r="AB81" s="30"/>
      <c r="AC81" s="30"/>
      <c r="AD81" s="30"/>
      <c r="AE81" s="30"/>
      <c r="AF81" s="30"/>
      <c r="AG81" s="4"/>
      <c r="AH81" s="4"/>
      <c r="AI81" s="4"/>
      <c r="AJ81" s="3"/>
      <c r="AK81" s="3"/>
      <c r="AL81" s="3"/>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row>
    <row r="82" spans="2:188" hidden="1">
      <c r="B82" s="4"/>
      <c r="C82" s="4"/>
      <c r="D82" s="4">
        <f t="shared" si="6"/>
        <v>92100</v>
      </c>
      <c r="E82" s="4"/>
      <c r="F82" s="4">
        <f t="shared" si="7"/>
        <v>92100</v>
      </c>
      <c r="G82" s="76">
        <v>103200</v>
      </c>
      <c r="H82" s="83">
        <v>120900</v>
      </c>
      <c r="I82" s="76">
        <v>92100</v>
      </c>
      <c r="J82" s="82">
        <v>144800</v>
      </c>
      <c r="K82" s="77"/>
      <c r="L82" s="77"/>
      <c r="M82" s="81"/>
      <c r="N82" s="77"/>
      <c r="O82" s="77"/>
      <c r="P82" s="78"/>
      <c r="Q82" s="79"/>
      <c r="R82" s="80"/>
      <c r="S82" s="80"/>
      <c r="T82" s="82">
        <v>153100</v>
      </c>
      <c r="U82" s="82">
        <v>165600</v>
      </c>
      <c r="V82" s="82">
        <v>183800</v>
      </c>
      <c r="W82" s="82">
        <v>193700</v>
      </c>
      <c r="X82" s="82"/>
      <c r="Y82" s="90"/>
      <c r="Z82" s="90"/>
      <c r="AA82" s="30"/>
      <c r="AB82" s="30"/>
      <c r="AC82" s="30"/>
      <c r="AD82" s="30"/>
      <c r="AE82" s="30"/>
      <c r="AF82" s="30"/>
      <c r="AG82" s="4"/>
      <c r="AH82" s="4"/>
      <c r="AI82" s="4"/>
      <c r="AJ82" s="3"/>
      <c r="AK82" s="3"/>
      <c r="AL82" s="3"/>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row>
    <row r="83" spans="2:188" hidden="1">
      <c r="B83" s="4"/>
      <c r="C83" s="4"/>
      <c r="D83" s="4">
        <f t="shared" si="6"/>
        <v>94900</v>
      </c>
      <c r="E83" s="4"/>
      <c r="F83" s="4">
        <f t="shared" si="7"/>
        <v>94900</v>
      </c>
      <c r="G83" s="76">
        <v>106300</v>
      </c>
      <c r="H83" s="87">
        <v>124500</v>
      </c>
      <c r="I83" s="77">
        <v>94900</v>
      </c>
      <c r="J83" s="82">
        <v>149100</v>
      </c>
      <c r="K83" s="77"/>
      <c r="L83" s="77"/>
      <c r="M83" s="81"/>
      <c r="N83" s="76"/>
      <c r="O83" s="77"/>
      <c r="P83" s="78"/>
      <c r="Q83" s="79"/>
      <c r="R83" s="80"/>
      <c r="S83" s="80"/>
      <c r="T83" s="82">
        <v>157700</v>
      </c>
      <c r="U83" s="82">
        <v>170600</v>
      </c>
      <c r="V83" s="76">
        <v>189300</v>
      </c>
      <c r="W83" s="76">
        <v>199500</v>
      </c>
      <c r="X83" s="76"/>
      <c r="Y83" s="90"/>
      <c r="Z83" s="90"/>
      <c r="AA83" s="30"/>
      <c r="AB83" s="30"/>
      <c r="AC83" s="30"/>
      <c r="AD83" s="30"/>
      <c r="AE83" s="30"/>
      <c r="AF83" s="30"/>
      <c r="AG83" s="4"/>
      <c r="AH83" s="4"/>
      <c r="AI83" s="4"/>
      <c r="AJ83" s="3"/>
      <c r="AK83" s="3"/>
      <c r="AL83" s="3"/>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row>
    <row r="84" spans="2:188" hidden="1">
      <c r="B84" s="4"/>
      <c r="C84" s="4"/>
      <c r="D84" s="4">
        <f t="shared" si="6"/>
        <v>97700</v>
      </c>
      <c r="E84" s="4"/>
      <c r="F84" s="4">
        <f t="shared" si="7"/>
        <v>97700</v>
      </c>
      <c r="G84" s="76">
        <v>109500</v>
      </c>
      <c r="H84" s="83">
        <v>128200</v>
      </c>
      <c r="I84" s="76">
        <v>97700</v>
      </c>
      <c r="J84" s="76">
        <v>153600</v>
      </c>
      <c r="K84" s="77"/>
      <c r="L84" s="77"/>
      <c r="M84" s="81"/>
      <c r="N84" s="86"/>
      <c r="O84" s="77"/>
      <c r="P84" s="78"/>
      <c r="Q84" s="79"/>
      <c r="R84" s="80"/>
      <c r="S84" s="80"/>
      <c r="T84" s="82">
        <v>162400</v>
      </c>
      <c r="U84" s="82">
        <v>175700</v>
      </c>
      <c r="V84" s="82">
        <v>195000</v>
      </c>
      <c r="W84" s="82"/>
      <c r="X84" s="82"/>
      <c r="Y84" s="90"/>
      <c r="Z84" s="90"/>
      <c r="AA84" s="30"/>
      <c r="AB84" s="30"/>
      <c r="AC84" s="30"/>
      <c r="AD84" s="30"/>
      <c r="AE84" s="30"/>
      <c r="AF84" s="30"/>
      <c r="AG84" s="4"/>
      <c r="AH84" s="4"/>
      <c r="AI84" s="4"/>
      <c r="AJ84" s="3"/>
      <c r="AK84" s="3"/>
      <c r="AL84" s="3"/>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row>
    <row r="85" spans="2:188" hidden="1">
      <c r="B85" s="30"/>
      <c r="C85" s="30"/>
      <c r="D85" s="4">
        <f t="shared" si="6"/>
        <v>100600</v>
      </c>
      <c r="E85" s="30"/>
      <c r="F85" s="4">
        <f>IF($F$45=4200,G85,IF($F$45=4800,H85,IF($F$45="5400A",J85,IF($F$45=3600,I85,IF($F$45=1700,K85,IF($F$45=1750,L85,IF($F$45=1900,M85,IF($F$45=2000,N85,IF($F$45="2400A",O85,IF($F$45="2400B",P85,IF($F$45="2400C",Q85,IF($F$45="2800A",R85,IF($F$45="2800B",S85,IF($F$45="5400B",T85,IF($F$45=6000,U85,IF($F$45=6600,V85,IF($F$45=6800,W85,IF($F$45=7200,X85,IF($F$45=7600,Y85,IF($F$45=8200,Z85,IF($F$45=8700,AA85,IF($F$45=8900,IF($F$45=9500,AC85,IF($F$45=10000,AD85,""))))))))))))))))))))))))</f>
        <v>100600</v>
      </c>
      <c r="G85" s="81">
        <v>112800</v>
      </c>
      <c r="H85" s="83">
        <v>132000</v>
      </c>
      <c r="I85" s="76">
        <v>100600</v>
      </c>
      <c r="J85" s="76">
        <v>158200</v>
      </c>
      <c r="K85" s="77"/>
      <c r="L85" s="77"/>
      <c r="M85" s="81"/>
      <c r="N85" s="86"/>
      <c r="O85" s="77"/>
      <c r="P85" s="78"/>
      <c r="Q85" s="79"/>
      <c r="R85" s="80"/>
      <c r="S85" s="80"/>
      <c r="T85" s="82">
        <v>167300</v>
      </c>
      <c r="U85" s="82">
        <v>181000</v>
      </c>
      <c r="V85" s="77"/>
      <c r="W85" s="77"/>
      <c r="X85" s="77"/>
      <c r="Y85" s="90"/>
      <c r="Z85" s="90"/>
      <c r="AA85" s="30"/>
      <c r="AB85" s="30"/>
      <c r="AC85" s="30"/>
      <c r="AD85" s="30"/>
      <c r="AE85" s="30"/>
      <c r="AF85" s="30"/>
      <c r="AG85" s="4"/>
      <c r="AH85" s="4"/>
      <c r="AI85" s="4"/>
      <c r="AJ85" s="3"/>
      <c r="AK85" s="3"/>
      <c r="AL85" s="3"/>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row>
    <row r="86" spans="2:188" hidden="1">
      <c r="B86" s="30"/>
      <c r="C86" s="30"/>
      <c r="D86" s="4">
        <f t="shared" si="6"/>
        <v>103600</v>
      </c>
      <c r="E86" s="30"/>
      <c r="F86" s="4">
        <f t="shared" si="7"/>
        <v>103600</v>
      </c>
      <c r="G86" s="76">
        <v>116200</v>
      </c>
      <c r="H86" s="83">
        <v>136000</v>
      </c>
      <c r="I86" s="76">
        <v>103600</v>
      </c>
      <c r="J86" s="82">
        <v>162900</v>
      </c>
      <c r="K86" s="77"/>
      <c r="L86" s="77"/>
      <c r="M86" s="77"/>
      <c r="N86" s="86"/>
      <c r="O86" s="77"/>
      <c r="P86" s="78"/>
      <c r="Q86" s="79"/>
      <c r="R86" s="80"/>
      <c r="S86" s="80"/>
      <c r="T86" s="82">
        <v>172300</v>
      </c>
      <c r="U86" s="82">
        <v>186400</v>
      </c>
      <c r="V86" s="77"/>
      <c r="W86" s="77"/>
      <c r="X86" s="77"/>
      <c r="Y86" s="90"/>
      <c r="Z86" s="90"/>
      <c r="AA86" s="30"/>
      <c r="AB86" s="30"/>
      <c r="AC86" s="30"/>
      <c r="AD86" s="30"/>
      <c r="AE86" s="30"/>
      <c r="AF86" s="30"/>
      <c r="AG86" s="4"/>
      <c r="AH86" s="4"/>
      <c r="AI86" s="4"/>
      <c r="AJ86" s="3"/>
      <c r="AK86" s="3"/>
      <c r="AL86" s="3"/>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row>
    <row r="87" spans="2:188" s="2" customFormat="1" hidden="1">
      <c r="B87" s="22"/>
      <c r="C87" s="23"/>
      <c r="D87" s="24"/>
      <c r="E87" s="25"/>
      <c r="F87" s="26"/>
      <c r="G87" s="24"/>
      <c r="H87" s="24"/>
      <c r="I87" s="24"/>
      <c r="J87" s="24"/>
      <c r="K87" s="24"/>
      <c r="L87" s="24"/>
      <c r="M87" s="24"/>
      <c r="N87" s="24"/>
      <c r="O87" s="29"/>
      <c r="P87" s="26"/>
      <c r="Q87" s="26"/>
      <c r="R87" s="26"/>
      <c r="S87" s="26"/>
      <c r="T87" s="26"/>
      <c r="U87" s="26"/>
      <c r="V87" s="26"/>
      <c r="W87" s="26"/>
      <c r="X87" s="26"/>
      <c r="Y87" s="26"/>
      <c r="Z87" s="26"/>
      <c r="AA87" s="29"/>
      <c r="AB87" s="29"/>
      <c r="AC87" s="16"/>
      <c r="AD87" s="16"/>
      <c r="AE87" s="17"/>
      <c r="AF87" s="17"/>
      <c r="AG87" s="17"/>
      <c r="AH87" s="17"/>
      <c r="AI87" s="19"/>
      <c r="AJ87" s="19"/>
      <c r="AK87" s="19"/>
      <c r="AL87" s="19"/>
      <c r="AM87" s="19"/>
      <c r="AN87" s="19"/>
      <c r="AO87" s="19"/>
      <c r="AP87" s="19"/>
      <c r="AQ87" s="19"/>
      <c r="AR87" s="19"/>
      <c r="AS87" s="19"/>
    </row>
    <row r="88" spans="2:188" s="2" customFormat="1" hidden="1">
      <c r="B88" s="22"/>
      <c r="C88" s="23"/>
      <c r="D88" s="24"/>
      <c r="E88" s="25"/>
      <c r="F88" s="26"/>
      <c r="G88" s="26"/>
      <c r="H88" s="26"/>
      <c r="I88" s="26"/>
      <c r="J88" s="26"/>
      <c r="K88" s="26"/>
      <c r="L88" s="26"/>
      <c r="M88" s="26"/>
      <c r="N88" s="26"/>
      <c r="O88" s="29"/>
      <c r="P88" s="26"/>
      <c r="Q88" s="26"/>
      <c r="R88" s="26"/>
      <c r="S88" s="26"/>
      <c r="T88" s="26"/>
      <c r="U88" s="26"/>
      <c r="V88" s="26"/>
      <c r="W88" s="26"/>
      <c r="X88" s="26"/>
      <c r="Y88" s="26"/>
      <c r="Z88" s="26"/>
      <c r="AA88" s="29"/>
      <c r="AB88" s="29"/>
      <c r="AC88" s="16"/>
      <c r="AD88" s="16"/>
      <c r="AE88" s="17"/>
      <c r="AF88" s="17"/>
      <c r="AG88" s="17"/>
      <c r="AH88" s="17"/>
      <c r="AI88" s="19"/>
      <c r="AJ88" s="19"/>
      <c r="AK88" s="19"/>
      <c r="AL88" s="19"/>
      <c r="AM88" s="19"/>
      <c r="AN88" s="19"/>
      <c r="AO88" s="19"/>
      <c r="AP88" s="19"/>
      <c r="AQ88" s="19"/>
      <c r="AR88" s="19"/>
      <c r="AS88" s="19"/>
    </row>
    <row r="89" spans="2:188" s="2" customFormat="1">
      <c r="B89" s="22"/>
      <c r="C89" s="23"/>
      <c r="D89" s="24"/>
      <c r="E89" s="25"/>
      <c r="F89" s="26"/>
      <c r="G89" s="26"/>
      <c r="H89" s="26"/>
      <c r="I89" s="26"/>
      <c r="J89" s="26"/>
      <c r="K89" s="26"/>
      <c r="L89" s="26"/>
      <c r="M89" s="26"/>
      <c r="N89" s="26"/>
      <c r="O89" s="29"/>
      <c r="P89" s="26"/>
      <c r="Q89" s="26"/>
      <c r="R89" s="26"/>
      <c r="S89" s="26"/>
      <c r="T89" s="26"/>
      <c r="U89" s="26"/>
      <c r="V89" s="26"/>
      <c r="W89" s="26"/>
      <c r="X89" s="26"/>
      <c r="Y89" s="26"/>
      <c r="Z89" s="26"/>
      <c r="AA89" s="29"/>
      <c r="AB89" s="29"/>
      <c r="AC89" s="16"/>
      <c r="AD89" s="16"/>
      <c r="AE89" s="17"/>
      <c r="AF89" s="17"/>
      <c r="AG89" s="17"/>
      <c r="AH89" s="17"/>
      <c r="AI89" s="19"/>
      <c r="AJ89" s="19"/>
      <c r="AK89" s="19"/>
      <c r="AL89" s="19"/>
      <c r="AM89" s="19"/>
      <c r="AN89" s="19"/>
      <c r="AO89" s="19"/>
      <c r="AP89" s="19"/>
      <c r="AQ89" s="19"/>
      <c r="AR89" s="19"/>
      <c r="AS89" s="19"/>
    </row>
    <row r="90" spans="2:188" s="2" customFormat="1">
      <c r="B90" s="22"/>
      <c r="C90" s="23"/>
      <c r="D90" s="24"/>
      <c r="E90" s="25"/>
      <c r="F90" s="26"/>
      <c r="G90" s="26"/>
      <c r="H90" s="26"/>
      <c r="I90" s="26"/>
      <c r="J90" s="26"/>
      <c r="K90" s="26"/>
      <c r="L90" s="26"/>
      <c r="M90" s="26"/>
      <c r="N90" s="26"/>
      <c r="O90" s="29"/>
      <c r="P90" s="26"/>
      <c r="Q90" s="26"/>
      <c r="R90" s="26"/>
      <c r="S90" s="26"/>
      <c r="T90" s="26"/>
      <c r="U90" s="26"/>
      <c r="V90" s="26"/>
      <c r="W90" s="26"/>
      <c r="X90" s="26"/>
      <c r="Y90" s="26"/>
      <c r="Z90" s="26"/>
      <c r="AA90" s="29"/>
      <c r="AB90" s="29"/>
      <c r="AC90" s="16"/>
      <c r="AD90" s="16"/>
      <c r="AE90" s="17"/>
      <c r="AF90" s="17"/>
      <c r="AG90" s="17"/>
      <c r="AH90" s="17"/>
      <c r="AI90" s="19"/>
      <c r="AJ90" s="19"/>
      <c r="AK90" s="19"/>
      <c r="AL90" s="19"/>
      <c r="AM90" s="19"/>
      <c r="AN90" s="19"/>
      <c r="AO90" s="19"/>
      <c r="AP90" s="19"/>
      <c r="AQ90" s="19"/>
      <c r="AR90" s="19"/>
      <c r="AS90" s="19"/>
    </row>
    <row r="91" spans="2:188" s="2" customFormat="1">
      <c r="B91" s="22"/>
      <c r="C91" s="23"/>
      <c r="D91" s="24"/>
      <c r="E91" s="25"/>
      <c r="F91" s="26"/>
      <c r="G91" s="26"/>
      <c r="H91" s="26"/>
      <c r="I91" s="26"/>
      <c r="J91" s="26"/>
      <c r="K91" s="26"/>
      <c r="L91" s="26"/>
      <c r="M91" s="26"/>
      <c r="N91" s="26"/>
      <c r="O91" s="29"/>
      <c r="P91" s="26"/>
      <c r="Q91" s="26"/>
      <c r="R91" s="26"/>
      <c r="S91" s="26"/>
      <c r="T91" s="26"/>
      <c r="U91" s="26"/>
      <c r="V91" s="26"/>
      <c r="W91" s="26"/>
      <c r="X91" s="26"/>
      <c r="Y91" s="26"/>
      <c r="Z91" s="26"/>
      <c r="AA91" s="29"/>
      <c r="AB91" s="29"/>
      <c r="AC91" s="16"/>
      <c r="AD91" s="16"/>
      <c r="AE91" s="17"/>
      <c r="AF91" s="17"/>
      <c r="AG91" s="17"/>
      <c r="AH91" s="17"/>
      <c r="AI91" s="19"/>
      <c r="AJ91" s="19"/>
      <c r="AK91" s="19"/>
      <c r="AL91" s="19"/>
      <c r="AM91" s="19"/>
      <c r="AN91" s="19"/>
      <c r="AO91" s="19"/>
      <c r="AP91" s="19"/>
      <c r="AQ91" s="19"/>
      <c r="AR91" s="19"/>
      <c r="AS91" s="19"/>
    </row>
    <row r="92" spans="2:188" s="2" customFormat="1">
      <c r="B92" s="22"/>
      <c r="C92" s="23"/>
      <c r="D92" s="24"/>
      <c r="E92" s="25"/>
      <c r="F92" s="26"/>
      <c r="G92" s="26"/>
      <c r="H92" s="26"/>
      <c r="I92" s="26"/>
      <c r="J92" s="26"/>
      <c r="K92" s="26"/>
      <c r="L92" s="26"/>
      <c r="M92" s="26"/>
      <c r="N92" s="26"/>
      <c r="O92" s="29"/>
      <c r="P92" s="26"/>
      <c r="Q92" s="26"/>
      <c r="R92" s="26"/>
      <c r="S92" s="26"/>
      <c r="T92" s="26"/>
      <c r="U92" s="26"/>
      <c r="V92" s="26"/>
      <c r="W92" s="26"/>
      <c r="X92" s="26"/>
      <c r="Y92" s="26"/>
      <c r="Z92" s="26"/>
      <c r="AA92" s="29"/>
      <c r="AB92" s="29"/>
      <c r="AC92" s="16"/>
      <c r="AD92" s="16"/>
      <c r="AE92" s="17"/>
      <c r="AF92" s="17"/>
      <c r="AG92" s="17"/>
      <c r="AH92" s="17"/>
      <c r="AI92" s="19"/>
      <c r="AJ92" s="19"/>
      <c r="AK92" s="19"/>
      <c r="AL92" s="19"/>
      <c r="AM92" s="19"/>
      <c r="AN92" s="19"/>
      <c r="AO92" s="19"/>
      <c r="AP92" s="19"/>
      <c r="AQ92" s="19"/>
      <c r="AR92" s="19"/>
      <c r="AS92" s="19"/>
    </row>
    <row r="93" spans="2:188" s="2" customFormat="1">
      <c r="B93" s="22"/>
      <c r="C93" s="23"/>
      <c r="D93" s="24"/>
      <c r="E93" s="25"/>
      <c r="F93" s="26"/>
      <c r="G93" s="26"/>
      <c r="H93" s="26"/>
      <c r="I93" s="26"/>
      <c r="J93" s="26"/>
      <c r="K93" s="26"/>
      <c r="L93" s="26"/>
      <c r="M93" s="26"/>
      <c r="N93" s="26"/>
      <c r="O93" s="29"/>
      <c r="P93" s="26"/>
      <c r="Q93" s="26"/>
      <c r="R93" s="26"/>
      <c r="S93" s="26"/>
      <c r="T93" s="26"/>
      <c r="U93" s="26"/>
      <c r="V93" s="26"/>
      <c r="W93" s="26"/>
      <c r="X93" s="26"/>
      <c r="Y93" s="26"/>
      <c r="Z93" s="26"/>
      <c r="AA93" s="29"/>
      <c r="AB93" s="29"/>
      <c r="AC93" s="16"/>
      <c r="AD93" s="16"/>
      <c r="AE93" s="17"/>
      <c r="AF93" s="17"/>
      <c r="AG93" s="17"/>
      <c r="AH93" s="17"/>
      <c r="AI93" s="19"/>
      <c r="AJ93" s="19"/>
      <c r="AK93" s="19"/>
      <c r="AL93" s="19"/>
      <c r="AM93" s="19"/>
      <c r="AN93" s="19"/>
      <c r="AO93" s="19"/>
      <c r="AP93" s="19"/>
      <c r="AQ93" s="19"/>
      <c r="AR93" s="19"/>
      <c r="AS93" s="19"/>
    </row>
    <row r="94" spans="2:188" s="2" customFormat="1">
      <c r="B94" s="22"/>
      <c r="C94" s="23"/>
      <c r="D94" s="24"/>
      <c r="E94" s="25"/>
      <c r="F94" s="26"/>
      <c r="G94" s="26"/>
      <c r="H94" s="26"/>
      <c r="I94" s="26"/>
      <c r="J94" s="26"/>
      <c r="K94" s="26"/>
      <c r="L94" s="26"/>
      <c r="M94" s="26"/>
      <c r="N94" s="26"/>
      <c r="O94" s="29"/>
      <c r="P94" s="26"/>
      <c r="Q94" s="26"/>
      <c r="R94" s="26"/>
      <c r="S94" s="26"/>
      <c r="T94" s="26"/>
      <c r="U94" s="26"/>
      <c r="V94" s="26"/>
      <c r="W94" s="26"/>
      <c r="X94" s="26"/>
      <c r="Y94" s="26"/>
      <c r="Z94" s="26"/>
      <c r="AA94" s="29"/>
      <c r="AB94" s="29"/>
      <c r="AC94" s="16"/>
      <c r="AD94" s="16"/>
      <c r="AE94" s="17"/>
      <c r="AF94" s="17"/>
      <c r="AG94" s="17"/>
      <c r="AH94" s="17"/>
      <c r="AI94" s="19"/>
      <c r="AJ94" s="19"/>
      <c r="AK94" s="19"/>
      <c r="AL94" s="19"/>
      <c r="AM94" s="19"/>
      <c r="AN94" s="19"/>
      <c r="AO94" s="19"/>
      <c r="AP94" s="19"/>
      <c r="AQ94" s="19"/>
      <c r="AR94" s="19"/>
      <c r="AS94" s="19"/>
    </row>
    <row r="95" spans="2:188" s="2" customFormat="1">
      <c r="B95" s="22"/>
      <c r="C95" s="23"/>
      <c r="D95" s="24"/>
      <c r="E95" s="25"/>
      <c r="F95" s="26"/>
      <c r="G95" s="26"/>
      <c r="H95" s="26"/>
      <c r="I95" s="26"/>
      <c r="J95" s="26"/>
      <c r="K95" s="26"/>
      <c r="L95" s="26"/>
      <c r="M95" s="26"/>
      <c r="N95" s="26"/>
      <c r="O95" s="29"/>
      <c r="P95" s="26"/>
      <c r="Q95" s="26"/>
      <c r="R95" s="26"/>
      <c r="S95" s="26"/>
      <c r="T95" s="26"/>
      <c r="U95" s="26"/>
      <c r="V95" s="26"/>
      <c r="W95" s="26"/>
      <c r="X95" s="26"/>
      <c r="Y95" s="26"/>
      <c r="Z95" s="26"/>
      <c r="AA95" s="29"/>
      <c r="AB95" s="29"/>
      <c r="AC95" s="16"/>
      <c r="AD95" s="16"/>
      <c r="AE95" s="17"/>
      <c r="AF95" s="17"/>
      <c r="AG95" s="17"/>
      <c r="AH95" s="17"/>
      <c r="AI95" s="19"/>
      <c r="AJ95" s="19"/>
      <c r="AK95" s="19"/>
      <c r="AL95" s="19"/>
      <c r="AM95" s="19"/>
      <c r="AN95" s="19"/>
      <c r="AO95" s="19"/>
      <c r="AP95" s="19"/>
      <c r="AQ95" s="19"/>
      <c r="AR95" s="19"/>
      <c r="AS95" s="19"/>
    </row>
    <row r="96" spans="2:188" s="2" customFormat="1">
      <c r="B96" s="22"/>
      <c r="C96" s="23"/>
      <c r="D96" s="24"/>
      <c r="E96" s="25"/>
      <c r="F96" s="26"/>
      <c r="G96" s="26"/>
      <c r="H96" s="26"/>
      <c r="I96" s="26"/>
      <c r="J96" s="26"/>
      <c r="K96" s="26"/>
      <c r="L96" s="26"/>
      <c r="M96" s="26"/>
      <c r="N96" s="26"/>
      <c r="O96" s="29"/>
      <c r="P96" s="26"/>
      <c r="Q96" s="26"/>
      <c r="R96" s="26"/>
      <c r="S96" s="26"/>
      <c r="T96" s="26"/>
      <c r="U96" s="26"/>
      <c r="V96" s="26"/>
      <c r="W96" s="26"/>
      <c r="X96" s="26"/>
      <c r="Y96" s="26"/>
      <c r="Z96" s="26"/>
      <c r="AA96" s="29"/>
      <c r="AB96" s="29"/>
      <c r="AC96" s="16"/>
      <c r="AD96" s="16"/>
      <c r="AE96" s="17"/>
      <c r="AF96" s="17"/>
      <c r="AG96" s="17"/>
      <c r="AH96" s="17"/>
      <c r="AI96" s="19"/>
      <c r="AJ96" s="19"/>
      <c r="AK96" s="19"/>
      <c r="AL96" s="19"/>
      <c r="AM96" s="19"/>
      <c r="AN96" s="19"/>
      <c r="AO96" s="19"/>
      <c r="AP96" s="19"/>
      <c r="AQ96" s="19"/>
      <c r="AR96" s="19"/>
      <c r="AS96" s="19"/>
    </row>
    <row r="97" spans="2:45" s="2" customFormat="1">
      <c r="B97" s="22"/>
      <c r="C97" s="23"/>
      <c r="D97" s="24"/>
      <c r="E97" s="25"/>
      <c r="F97" s="26"/>
      <c r="G97" s="26"/>
      <c r="H97" s="26"/>
      <c r="I97" s="26"/>
      <c r="J97" s="26"/>
      <c r="K97" s="26"/>
      <c r="L97" s="26"/>
      <c r="M97" s="26"/>
      <c r="N97" s="26"/>
      <c r="O97" s="29"/>
      <c r="P97" s="26"/>
      <c r="Q97" s="26"/>
      <c r="R97" s="26"/>
      <c r="S97" s="26"/>
      <c r="T97" s="26"/>
      <c r="U97" s="26"/>
      <c r="V97" s="26"/>
      <c r="W97" s="26"/>
      <c r="X97" s="26"/>
      <c r="Y97" s="26"/>
      <c r="Z97" s="26"/>
      <c r="AA97" s="29"/>
      <c r="AB97" s="29"/>
      <c r="AC97" s="16"/>
      <c r="AD97" s="16"/>
      <c r="AE97" s="17"/>
      <c r="AF97" s="17"/>
      <c r="AG97" s="17"/>
      <c r="AH97" s="17"/>
      <c r="AI97" s="19"/>
      <c r="AJ97" s="19"/>
      <c r="AK97" s="19"/>
      <c r="AL97" s="19"/>
      <c r="AM97" s="19"/>
      <c r="AN97" s="19"/>
      <c r="AO97" s="19"/>
      <c r="AP97" s="19"/>
      <c r="AQ97" s="19"/>
      <c r="AR97" s="19"/>
      <c r="AS97" s="19"/>
    </row>
    <row r="98" spans="2:45" s="2" customFormat="1">
      <c r="B98" s="22"/>
      <c r="C98" s="23"/>
      <c r="D98" s="24"/>
      <c r="E98" s="25"/>
      <c r="F98" s="26"/>
      <c r="G98" s="26"/>
      <c r="H98" s="26"/>
      <c r="I98" s="26"/>
      <c r="J98" s="26"/>
      <c r="K98" s="26"/>
      <c r="L98" s="26"/>
      <c r="M98" s="26"/>
      <c r="N98" s="26"/>
      <c r="O98" s="29"/>
      <c r="P98" s="26"/>
      <c r="Q98" s="26"/>
      <c r="R98" s="26"/>
      <c r="S98" s="26"/>
      <c r="T98" s="26"/>
      <c r="U98" s="26"/>
      <c r="V98" s="26"/>
      <c r="W98" s="26"/>
      <c r="X98" s="26"/>
      <c r="Y98" s="26"/>
      <c r="Z98" s="26"/>
      <c r="AA98" s="29"/>
      <c r="AB98" s="29"/>
      <c r="AC98" s="16"/>
      <c r="AD98" s="16"/>
      <c r="AE98" s="17"/>
      <c r="AF98" s="17"/>
      <c r="AG98" s="17"/>
      <c r="AH98" s="17"/>
      <c r="AI98" s="19"/>
      <c r="AJ98" s="19"/>
      <c r="AK98" s="19"/>
      <c r="AL98" s="19"/>
      <c r="AM98" s="19"/>
      <c r="AN98" s="19"/>
      <c r="AO98" s="19"/>
      <c r="AP98" s="19"/>
      <c r="AQ98" s="19"/>
      <c r="AR98" s="19"/>
      <c r="AS98" s="19"/>
    </row>
    <row r="99" spans="2:45" s="2" customFormat="1">
      <c r="B99" s="22"/>
      <c r="C99" s="23"/>
      <c r="D99" s="24"/>
      <c r="E99" s="25"/>
      <c r="F99" s="26"/>
      <c r="G99" s="26"/>
      <c r="H99" s="26"/>
      <c r="I99" s="26"/>
      <c r="J99" s="26"/>
      <c r="K99" s="26"/>
      <c r="L99" s="26"/>
      <c r="M99" s="26"/>
      <c r="N99" s="26"/>
      <c r="O99" s="29"/>
      <c r="P99" s="26"/>
      <c r="Q99" s="26"/>
      <c r="R99" s="26"/>
      <c r="S99" s="26"/>
      <c r="T99" s="26"/>
      <c r="U99" s="26"/>
      <c r="V99" s="26"/>
      <c r="W99" s="26"/>
      <c r="X99" s="26"/>
      <c r="Y99" s="26"/>
      <c r="Z99" s="26"/>
      <c r="AA99" s="29"/>
      <c r="AB99" s="29"/>
      <c r="AC99" s="16"/>
      <c r="AD99" s="16"/>
      <c r="AE99" s="17"/>
      <c r="AF99" s="17"/>
      <c r="AG99" s="17"/>
      <c r="AH99" s="17"/>
      <c r="AI99" s="19"/>
      <c r="AJ99" s="19"/>
      <c r="AK99" s="19"/>
      <c r="AL99" s="19"/>
      <c r="AM99" s="19"/>
      <c r="AN99" s="19"/>
      <c r="AO99" s="19"/>
      <c r="AP99" s="19"/>
      <c r="AQ99" s="19"/>
      <c r="AR99" s="19"/>
      <c r="AS99" s="19"/>
    </row>
    <row r="100" spans="2:45" s="2" customFormat="1">
      <c r="B100" s="22"/>
      <c r="C100" s="23"/>
      <c r="D100" s="24"/>
      <c r="E100" s="25"/>
      <c r="F100" s="26"/>
      <c r="G100" s="26"/>
      <c r="H100" s="26"/>
      <c r="I100" s="26"/>
      <c r="J100" s="26"/>
      <c r="K100" s="26"/>
      <c r="L100" s="26"/>
      <c r="M100" s="26"/>
      <c r="N100" s="26"/>
      <c r="O100" s="29"/>
      <c r="P100" s="26"/>
      <c r="Q100" s="26"/>
      <c r="R100" s="26"/>
      <c r="S100" s="26"/>
      <c r="T100" s="26"/>
      <c r="U100" s="26"/>
      <c r="V100" s="26"/>
      <c r="W100" s="26"/>
      <c r="X100" s="26"/>
      <c r="Y100" s="26"/>
      <c r="Z100" s="26"/>
      <c r="AA100" s="29"/>
      <c r="AB100" s="29"/>
      <c r="AC100" s="16"/>
      <c r="AD100" s="16"/>
      <c r="AE100" s="17"/>
      <c r="AF100" s="17"/>
      <c r="AG100" s="17"/>
      <c r="AH100" s="17"/>
      <c r="AI100" s="19"/>
      <c r="AJ100" s="19"/>
      <c r="AK100" s="19"/>
      <c r="AL100" s="19"/>
      <c r="AM100" s="19"/>
      <c r="AN100" s="19"/>
      <c r="AO100" s="19"/>
      <c r="AP100" s="19"/>
      <c r="AQ100" s="19"/>
      <c r="AR100" s="19"/>
      <c r="AS100" s="19"/>
    </row>
    <row r="101" spans="2:45" s="2" customFormat="1">
      <c r="B101" s="22"/>
      <c r="C101" s="23"/>
      <c r="D101" s="24"/>
      <c r="E101" s="25"/>
      <c r="F101" s="26"/>
      <c r="G101" s="26"/>
      <c r="H101" s="26"/>
      <c r="I101" s="26"/>
      <c r="J101" s="26"/>
      <c r="K101" s="26"/>
      <c r="L101" s="26"/>
      <c r="M101" s="26"/>
      <c r="N101" s="26"/>
      <c r="O101" s="29"/>
      <c r="P101" s="26"/>
      <c r="Q101" s="26"/>
      <c r="R101" s="26"/>
      <c r="S101" s="26"/>
      <c r="T101" s="26"/>
      <c r="U101" s="26"/>
      <c r="V101" s="26"/>
      <c r="W101" s="26"/>
      <c r="X101" s="26"/>
      <c r="Y101" s="26"/>
      <c r="Z101" s="26"/>
      <c r="AA101" s="29"/>
      <c r="AB101" s="29"/>
      <c r="AC101" s="16"/>
      <c r="AD101" s="16"/>
      <c r="AE101" s="17"/>
      <c r="AF101" s="17"/>
      <c r="AG101" s="17"/>
      <c r="AH101" s="17"/>
      <c r="AI101" s="19"/>
      <c r="AJ101" s="19"/>
      <c r="AK101" s="19"/>
      <c r="AL101" s="19"/>
      <c r="AM101" s="19"/>
      <c r="AN101" s="19"/>
      <c r="AO101" s="19"/>
      <c r="AP101" s="19"/>
      <c r="AQ101" s="19"/>
      <c r="AR101" s="19"/>
      <c r="AS101" s="19"/>
    </row>
    <row r="102" spans="2:45" s="2" customFormat="1">
      <c r="B102" s="22"/>
      <c r="C102" s="23"/>
      <c r="D102" s="24"/>
      <c r="E102" s="25"/>
      <c r="F102" s="26"/>
      <c r="G102" s="26"/>
      <c r="H102" s="26"/>
      <c r="I102" s="26"/>
      <c r="J102" s="26"/>
      <c r="K102" s="26"/>
      <c r="L102" s="26"/>
      <c r="M102" s="26"/>
      <c r="N102" s="26"/>
      <c r="O102" s="29"/>
      <c r="P102" s="26"/>
      <c r="Q102" s="26"/>
      <c r="R102" s="26"/>
      <c r="S102" s="26"/>
      <c r="T102" s="26"/>
      <c r="U102" s="26"/>
      <c r="V102" s="26"/>
      <c r="W102" s="26"/>
      <c r="X102" s="26"/>
      <c r="Y102" s="26"/>
      <c r="Z102" s="26"/>
      <c r="AA102" s="29"/>
      <c r="AB102" s="29"/>
      <c r="AC102" s="16"/>
      <c r="AD102" s="16"/>
      <c r="AE102" s="17"/>
      <c r="AF102" s="17"/>
      <c r="AG102" s="17"/>
      <c r="AH102" s="17"/>
      <c r="AI102" s="19"/>
      <c r="AJ102" s="19"/>
      <c r="AK102" s="19"/>
      <c r="AL102" s="19"/>
      <c r="AM102" s="19"/>
      <c r="AN102" s="19"/>
      <c r="AO102" s="19"/>
      <c r="AP102" s="19"/>
      <c r="AQ102" s="19"/>
      <c r="AR102" s="19"/>
      <c r="AS102" s="19"/>
    </row>
    <row r="103" spans="2:45" s="2" customFormat="1">
      <c r="B103" s="22"/>
      <c r="C103" s="23"/>
      <c r="D103" s="24"/>
      <c r="E103" s="25"/>
      <c r="F103" s="26"/>
      <c r="G103" s="26"/>
      <c r="H103" s="26"/>
      <c r="I103" s="26"/>
      <c r="J103" s="26"/>
      <c r="K103" s="26"/>
      <c r="L103" s="26"/>
      <c r="M103" s="26"/>
      <c r="N103" s="26"/>
      <c r="O103" s="29"/>
      <c r="P103" s="26"/>
      <c r="Q103" s="26"/>
      <c r="R103" s="26"/>
      <c r="S103" s="26"/>
      <c r="T103" s="26"/>
      <c r="U103" s="26"/>
      <c r="V103" s="26"/>
      <c r="W103" s="26"/>
      <c r="X103" s="26"/>
      <c r="Y103" s="26"/>
      <c r="Z103" s="26"/>
      <c r="AA103" s="29"/>
      <c r="AB103" s="29"/>
      <c r="AC103" s="16"/>
      <c r="AD103" s="16"/>
      <c r="AE103" s="17"/>
      <c r="AF103" s="17"/>
      <c r="AG103" s="17"/>
      <c r="AH103" s="17"/>
      <c r="AI103" s="19"/>
      <c r="AJ103" s="19"/>
      <c r="AK103" s="19"/>
      <c r="AL103" s="19"/>
      <c r="AM103" s="19"/>
      <c r="AN103" s="19"/>
      <c r="AO103" s="19"/>
      <c r="AP103" s="19"/>
      <c r="AQ103" s="19"/>
      <c r="AR103" s="19"/>
      <c r="AS103" s="19"/>
    </row>
    <row r="104" spans="2:45" s="2" customFormat="1">
      <c r="B104" s="22"/>
      <c r="C104" s="23"/>
      <c r="D104" s="24"/>
      <c r="E104" s="25"/>
      <c r="F104" s="26"/>
      <c r="G104" s="26"/>
      <c r="H104" s="26"/>
      <c r="I104" s="26"/>
      <c r="J104" s="26"/>
      <c r="K104" s="26"/>
      <c r="L104" s="26"/>
      <c r="M104" s="26"/>
      <c r="N104" s="26"/>
      <c r="O104" s="29"/>
      <c r="P104" s="26"/>
      <c r="Q104" s="26"/>
      <c r="R104" s="26"/>
      <c r="S104" s="26"/>
      <c r="T104" s="26"/>
      <c r="U104" s="26"/>
      <c r="V104" s="26"/>
      <c r="W104" s="26"/>
      <c r="X104" s="26"/>
      <c r="Y104" s="26"/>
      <c r="Z104" s="26"/>
      <c r="AA104" s="29"/>
      <c r="AB104" s="29"/>
      <c r="AC104" s="16"/>
      <c r="AD104" s="16"/>
      <c r="AE104" s="17"/>
      <c r="AF104" s="17"/>
      <c r="AG104" s="17"/>
      <c r="AH104" s="17"/>
      <c r="AI104" s="19"/>
      <c r="AJ104" s="19"/>
      <c r="AK104" s="19"/>
      <c r="AL104" s="19"/>
      <c r="AM104" s="19"/>
      <c r="AN104" s="19"/>
      <c r="AO104" s="19"/>
      <c r="AP104" s="19"/>
      <c r="AQ104" s="19"/>
      <c r="AR104" s="19"/>
      <c r="AS104" s="19"/>
    </row>
    <row r="105" spans="2:45" s="2" customFormat="1">
      <c r="B105" s="22"/>
      <c r="C105" s="23"/>
      <c r="D105" s="24"/>
      <c r="E105" s="25"/>
      <c r="F105" s="26"/>
      <c r="G105" s="26"/>
      <c r="H105" s="26"/>
      <c r="I105" s="26"/>
      <c r="J105" s="26"/>
      <c r="K105" s="26"/>
      <c r="L105" s="26"/>
      <c r="M105" s="26"/>
      <c r="N105" s="26"/>
      <c r="O105" s="29"/>
      <c r="P105" s="26"/>
      <c r="Q105" s="26"/>
      <c r="R105" s="26"/>
      <c r="S105" s="26"/>
      <c r="T105" s="26"/>
      <c r="U105" s="26"/>
      <c r="V105" s="26"/>
      <c r="W105" s="26"/>
      <c r="X105" s="26"/>
      <c r="Y105" s="26"/>
      <c r="Z105" s="26"/>
      <c r="AA105" s="29"/>
      <c r="AB105" s="29"/>
      <c r="AC105" s="16"/>
      <c r="AD105" s="16"/>
      <c r="AE105" s="17"/>
      <c r="AF105" s="17"/>
      <c r="AG105" s="17"/>
      <c r="AH105" s="17"/>
      <c r="AI105" s="19"/>
      <c r="AJ105" s="19"/>
      <c r="AK105" s="19"/>
      <c r="AL105" s="19"/>
      <c r="AM105" s="19"/>
      <c r="AN105" s="19"/>
      <c r="AO105" s="19"/>
      <c r="AP105" s="19"/>
      <c r="AQ105" s="19"/>
      <c r="AR105" s="19"/>
      <c r="AS105" s="19"/>
    </row>
    <row r="106" spans="2:45" s="2" customFormat="1">
      <c r="B106" s="22"/>
      <c r="C106" s="23"/>
      <c r="D106" s="24"/>
      <c r="E106" s="25"/>
      <c r="F106" s="26"/>
      <c r="G106" s="26"/>
      <c r="H106" s="26"/>
      <c r="I106" s="26"/>
      <c r="J106" s="26"/>
      <c r="K106" s="26"/>
      <c r="L106" s="26"/>
      <c r="M106" s="26"/>
      <c r="N106" s="26"/>
      <c r="O106" s="29"/>
      <c r="P106" s="26"/>
      <c r="Q106" s="26"/>
      <c r="R106" s="26"/>
      <c r="S106" s="26"/>
      <c r="T106" s="26"/>
      <c r="U106" s="26"/>
      <c r="V106" s="26"/>
      <c r="W106" s="26"/>
      <c r="X106" s="26"/>
      <c r="Y106" s="26"/>
      <c r="Z106" s="26"/>
      <c r="AA106" s="29"/>
      <c r="AB106" s="29"/>
      <c r="AC106" s="16"/>
      <c r="AD106" s="16"/>
      <c r="AE106" s="17"/>
      <c r="AF106" s="17"/>
      <c r="AG106" s="17"/>
      <c r="AH106" s="17"/>
      <c r="AI106" s="19"/>
      <c r="AJ106" s="19"/>
      <c r="AK106" s="19"/>
      <c r="AL106" s="19"/>
      <c r="AM106" s="19"/>
      <c r="AN106" s="19"/>
      <c r="AO106" s="19"/>
      <c r="AP106" s="19"/>
      <c r="AQ106" s="19"/>
      <c r="AR106" s="19"/>
      <c r="AS106" s="19"/>
    </row>
    <row r="107" spans="2:45" s="2" customFormat="1">
      <c r="B107" s="22"/>
      <c r="C107" s="23"/>
      <c r="D107" s="24"/>
      <c r="E107" s="25"/>
      <c r="F107" s="26"/>
      <c r="G107" s="26"/>
      <c r="H107" s="26"/>
      <c r="I107" s="26"/>
      <c r="J107" s="26"/>
      <c r="K107" s="26"/>
      <c r="L107" s="26"/>
      <c r="M107" s="26"/>
      <c r="N107" s="26"/>
      <c r="O107" s="29"/>
      <c r="P107" s="26"/>
      <c r="Q107" s="26"/>
      <c r="R107" s="26"/>
      <c r="S107" s="26"/>
      <c r="T107" s="26"/>
      <c r="U107" s="26"/>
      <c r="V107" s="26"/>
      <c r="W107" s="26"/>
      <c r="X107" s="26"/>
      <c r="Y107" s="26"/>
      <c r="Z107" s="26"/>
      <c r="AA107" s="29"/>
      <c r="AB107" s="29"/>
      <c r="AC107" s="16"/>
      <c r="AD107" s="16"/>
      <c r="AE107" s="17"/>
      <c r="AF107" s="17"/>
      <c r="AG107" s="17"/>
      <c r="AH107" s="17"/>
      <c r="AI107" s="19"/>
      <c r="AJ107" s="19"/>
      <c r="AK107" s="19"/>
      <c r="AL107" s="19"/>
      <c r="AM107" s="19"/>
      <c r="AN107" s="19"/>
      <c r="AO107" s="19"/>
      <c r="AP107" s="19"/>
      <c r="AQ107" s="19"/>
      <c r="AR107" s="19"/>
      <c r="AS107" s="19"/>
    </row>
    <row r="108" spans="2:45" s="2" customFormat="1">
      <c r="B108" s="22"/>
      <c r="C108" s="23"/>
      <c r="D108" s="24"/>
      <c r="E108" s="25"/>
      <c r="F108" s="26"/>
      <c r="G108" s="26"/>
      <c r="H108" s="26"/>
      <c r="I108" s="26"/>
      <c r="J108" s="26"/>
      <c r="K108" s="26"/>
      <c r="L108" s="26"/>
      <c r="M108" s="26"/>
      <c r="N108" s="26"/>
      <c r="O108" s="29"/>
      <c r="P108" s="26"/>
      <c r="Q108" s="26"/>
      <c r="R108" s="26"/>
      <c r="S108" s="26"/>
      <c r="T108" s="26"/>
      <c r="U108" s="26"/>
      <c r="V108" s="26"/>
      <c r="W108" s="26"/>
      <c r="X108" s="26"/>
      <c r="Y108" s="26"/>
      <c r="Z108" s="26"/>
      <c r="AA108" s="29"/>
      <c r="AB108" s="29"/>
      <c r="AC108" s="16"/>
      <c r="AD108" s="16"/>
      <c r="AE108" s="17"/>
      <c r="AF108" s="17"/>
      <c r="AG108" s="17"/>
      <c r="AH108" s="17"/>
      <c r="AI108" s="19"/>
      <c r="AJ108" s="19"/>
      <c r="AK108" s="19"/>
      <c r="AL108" s="19"/>
      <c r="AM108" s="19"/>
      <c r="AN108" s="19"/>
      <c r="AO108" s="19"/>
      <c r="AP108" s="19"/>
      <c r="AQ108" s="19"/>
      <c r="AR108" s="19"/>
      <c r="AS108" s="19"/>
    </row>
    <row r="109" spans="2:45" s="2" customFormat="1">
      <c r="B109" s="22"/>
      <c r="C109" s="23"/>
      <c r="D109" s="24"/>
      <c r="E109" s="25"/>
      <c r="F109" s="26"/>
      <c r="G109" s="26"/>
      <c r="H109" s="26"/>
      <c r="I109" s="26"/>
      <c r="J109" s="26"/>
      <c r="K109" s="26"/>
      <c r="L109" s="26"/>
      <c r="M109" s="26"/>
      <c r="N109" s="26"/>
      <c r="O109" s="29"/>
      <c r="P109" s="26"/>
      <c r="Q109" s="26"/>
      <c r="R109" s="26"/>
      <c r="S109" s="26"/>
      <c r="T109" s="26"/>
      <c r="U109" s="26"/>
      <c r="V109" s="26"/>
      <c r="W109" s="26"/>
      <c r="X109" s="26"/>
      <c r="Y109" s="26"/>
      <c r="Z109" s="26"/>
      <c r="AA109" s="29"/>
      <c r="AB109" s="29"/>
      <c r="AC109" s="16"/>
      <c r="AD109" s="16"/>
      <c r="AE109" s="17"/>
      <c r="AF109" s="17"/>
      <c r="AG109" s="17"/>
      <c r="AH109" s="17"/>
      <c r="AI109" s="19"/>
      <c r="AJ109" s="19"/>
      <c r="AK109" s="19"/>
      <c r="AL109" s="19"/>
      <c r="AM109" s="19"/>
      <c r="AN109" s="19"/>
      <c r="AO109" s="19"/>
      <c r="AP109" s="19"/>
      <c r="AQ109" s="19"/>
      <c r="AR109" s="19"/>
      <c r="AS109" s="19"/>
    </row>
    <row r="110" spans="2:45" s="2" customFormat="1">
      <c r="B110" s="22"/>
      <c r="C110" s="23"/>
      <c r="D110" s="24"/>
      <c r="E110" s="25"/>
      <c r="F110" s="26"/>
      <c r="G110" s="26"/>
      <c r="H110" s="26"/>
      <c r="I110" s="26"/>
      <c r="J110" s="26"/>
      <c r="K110" s="26"/>
      <c r="L110" s="26"/>
      <c r="M110" s="26"/>
      <c r="N110" s="26"/>
      <c r="O110" s="29"/>
      <c r="P110" s="26"/>
      <c r="Q110" s="26"/>
      <c r="R110" s="26"/>
      <c r="S110" s="26"/>
      <c r="T110" s="26"/>
      <c r="U110" s="26"/>
      <c r="V110" s="26"/>
      <c r="W110" s="26"/>
      <c r="X110" s="26"/>
      <c r="Y110" s="26"/>
      <c r="Z110" s="26"/>
      <c r="AA110" s="29"/>
      <c r="AB110" s="29"/>
      <c r="AC110" s="16"/>
      <c r="AD110" s="16"/>
      <c r="AE110" s="17"/>
      <c r="AF110" s="17"/>
      <c r="AG110" s="17"/>
      <c r="AH110" s="17"/>
      <c r="AI110" s="19"/>
      <c r="AJ110" s="19"/>
      <c r="AK110" s="19"/>
      <c r="AL110" s="19"/>
      <c r="AM110" s="19"/>
      <c r="AN110" s="19"/>
      <c r="AO110" s="19"/>
      <c r="AP110" s="19"/>
      <c r="AQ110" s="19"/>
      <c r="AR110" s="19"/>
      <c r="AS110" s="19"/>
    </row>
    <row r="111" spans="2:45" s="2" customFormat="1">
      <c r="B111" s="22"/>
      <c r="C111" s="23"/>
      <c r="D111" s="24"/>
      <c r="E111" s="25"/>
      <c r="F111" s="26"/>
      <c r="G111" s="26"/>
      <c r="H111" s="26"/>
      <c r="I111" s="26"/>
      <c r="J111" s="26"/>
      <c r="K111" s="26"/>
      <c r="L111" s="26"/>
      <c r="M111" s="26"/>
      <c r="N111" s="26"/>
      <c r="O111" s="29"/>
      <c r="P111" s="26"/>
      <c r="Q111" s="26"/>
      <c r="R111" s="26"/>
      <c r="S111" s="26"/>
      <c r="T111" s="26"/>
      <c r="U111" s="26"/>
      <c r="V111" s="26"/>
      <c r="W111" s="26"/>
      <c r="X111" s="26"/>
      <c r="Y111" s="26"/>
      <c r="Z111" s="26"/>
      <c r="AA111" s="29"/>
      <c r="AB111" s="29"/>
      <c r="AC111" s="16"/>
      <c r="AD111" s="16"/>
      <c r="AE111" s="17"/>
      <c r="AF111" s="17"/>
      <c r="AG111" s="17"/>
      <c r="AH111" s="17"/>
      <c r="AI111" s="19"/>
      <c r="AJ111" s="19"/>
      <c r="AK111" s="19"/>
      <c r="AL111" s="19"/>
      <c r="AM111" s="19"/>
      <c r="AN111" s="19"/>
      <c r="AO111" s="19"/>
      <c r="AP111" s="19"/>
      <c r="AQ111" s="19"/>
      <c r="AR111" s="19"/>
      <c r="AS111" s="19"/>
    </row>
    <row r="112" spans="2:45" s="2" customFormat="1">
      <c r="B112" s="22"/>
      <c r="C112" s="23"/>
      <c r="D112" s="24"/>
      <c r="E112" s="25"/>
      <c r="F112" s="26"/>
      <c r="G112" s="26"/>
      <c r="H112" s="26"/>
      <c r="I112" s="26"/>
      <c r="J112" s="26"/>
      <c r="K112" s="26"/>
      <c r="L112" s="26"/>
      <c r="M112" s="26"/>
      <c r="N112" s="26"/>
      <c r="O112" s="29"/>
      <c r="P112" s="26"/>
      <c r="Q112" s="26"/>
      <c r="R112" s="26"/>
      <c r="S112" s="26"/>
      <c r="T112" s="26"/>
      <c r="U112" s="26"/>
      <c r="V112" s="26"/>
      <c r="W112" s="26"/>
      <c r="X112" s="26"/>
      <c r="Y112" s="26"/>
      <c r="Z112" s="26"/>
      <c r="AA112" s="29"/>
      <c r="AB112" s="29"/>
      <c r="AC112" s="16"/>
      <c r="AD112" s="16"/>
      <c r="AE112" s="17"/>
      <c r="AF112" s="17"/>
      <c r="AG112" s="17"/>
      <c r="AH112" s="17"/>
      <c r="AI112" s="19"/>
      <c r="AJ112" s="19"/>
      <c r="AK112" s="19"/>
      <c r="AL112" s="19"/>
      <c r="AM112" s="19"/>
      <c r="AN112" s="19"/>
      <c r="AO112" s="19"/>
      <c r="AP112" s="19"/>
      <c r="AQ112" s="19"/>
      <c r="AR112" s="19"/>
      <c r="AS112" s="19"/>
    </row>
    <row r="113" spans="2:45" s="2" customFormat="1">
      <c r="B113" s="22"/>
      <c r="C113" s="23"/>
      <c r="D113" s="24"/>
      <c r="E113" s="25"/>
      <c r="F113" s="26"/>
      <c r="G113" s="26"/>
      <c r="H113" s="26"/>
      <c r="I113" s="26"/>
      <c r="J113" s="26"/>
      <c r="K113" s="26"/>
      <c r="L113" s="26"/>
      <c r="M113" s="26"/>
      <c r="N113" s="26"/>
      <c r="O113" s="29"/>
      <c r="P113" s="26"/>
      <c r="Q113" s="26"/>
      <c r="R113" s="26"/>
      <c r="S113" s="26"/>
      <c r="T113" s="26"/>
      <c r="U113" s="26"/>
      <c r="V113" s="26"/>
      <c r="W113" s="26"/>
      <c r="X113" s="26"/>
      <c r="Y113" s="26"/>
      <c r="Z113" s="26"/>
      <c r="AA113" s="29"/>
      <c r="AB113" s="29"/>
      <c r="AC113" s="16"/>
      <c r="AD113" s="16"/>
      <c r="AE113" s="17"/>
      <c r="AF113" s="17"/>
      <c r="AG113" s="17"/>
      <c r="AH113" s="17"/>
      <c r="AI113" s="19"/>
      <c r="AJ113" s="19"/>
      <c r="AK113" s="19"/>
      <c r="AL113" s="19"/>
      <c r="AM113" s="19"/>
      <c r="AN113" s="19"/>
      <c r="AO113" s="19"/>
      <c r="AP113" s="19"/>
      <c r="AQ113" s="19"/>
      <c r="AR113" s="19"/>
      <c r="AS113" s="19"/>
    </row>
    <row r="114" spans="2:45" s="2" customFormat="1">
      <c r="B114" s="22"/>
      <c r="C114" s="23"/>
      <c r="D114" s="24"/>
      <c r="E114" s="25"/>
      <c r="F114" s="26"/>
      <c r="G114" s="26"/>
      <c r="H114" s="26"/>
      <c r="I114" s="26"/>
      <c r="J114" s="26"/>
      <c r="K114" s="26"/>
      <c r="L114" s="26"/>
      <c r="M114" s="26"/>
      <c r="N114" s="26"/>
      <c r="O114" s="29"/>
      <c r="P114" s="26"/>
      <c r="Q114" s="26"/>
      <c r="R114" s="26"/>
      <c r="S114" s="26"/>
      <c r="T114" s="26"/>
      <c r="U114" s="26"/>
      <c r="V114" s="26"/>
      <c r="W114" s="26"/>
      <c r="X114" s="26"/>
      <c r="Y114" s="26"/>
      <c r="Z114" s="26"/>
      <c r="AA114" s="29"/>
      <c r="AB114" s="29"/>
      <c r="AC114" s="16"/>
      <c r="AD114" s="16"/>
      <c r="AE114" s="17"/>
      <c r="AF114" s="17"/>
      <c r="AG114" s="17"/>
      <c r="AH114" s="17"/>
      <c r="AI114" s="19"/>
      <c r="AJ114" s="19"/>
      <c r="AK114" s="19"/>
      <c r="AL114" s="19"/>
      <c r="AM114" s="19"/>
      <c r="AN114" s="19"/>
      <c r="AO114" s="19"/>
      <c r="AP114" s="19"/>
      <c r="AQ114" s="19"/>
      <c r="AR114" s="19"/>
      <c r="AS114" s="19"/>
    </row>
    <row r="115" spans="2:45" s="2" customFormat="1">
      <c r="B115" s="22"/>
      <c r="C115" s="23"/>
      <c r="D115" s="24"/>
      <c r="E115" s="25"/>
      <c r="F115" s="26"/>
      <c r="G115" s="26"/>
      <c r="H115" s="26"/>
      <c r="I115" s="26"/>
      <c r="J115" s="26"/>
      <c r="K115" s="26"/>
      <c r="L115" s="26"/>
      <c r="M115" s="26"/>
      <c r="N115" s="26"/>
      <c r="O115" s="29"/>
      <c r="P115" s="26"/>
      <c r="Q115" s="26"/>
      <c r="R115" s="26"/>
      <c r="S115" s="26"/>
      <c r="T115" s="26"/>
      <c r="U115" s="26"/>
      <c r="V115" s="26"/>
      <c r="W115" s="26"/>
      <c r="X115" s="26"/>
      <c r="Y115" s="26"/>
      <c r="Z115" s="26"/>
      <c r="AA115" s="29"/>
      <c r="AB115" s="29"/>
      <c r="AC115" s="16"/>
      <c r="AD115" s="16"/>
      <c r="AE115" s="17"/>
      <c r="AF115" s="17"/>
      <c r="AG115" s="17"/>
      <c r="AH115" s="17"/>
      <c r="AI115" s="19"/>
      <c r="AJ115" s="19"/>
      <c r="AK115" s="19"/>
      <c r="AL115" s="19"/>
      <c r="AM115" s="19"/>
      <c r="AN115" s="19"/>
      <c r="AO115" s="19"/>
      <c r="AP115" s="19"/>
      <c r="AQ115" s="19"/>
      <c r="AR115" s="19"/>
      <c r="AS115" s="19"/>
    </row>
    <row r="116" spans="2:45" s="2" customFormat="1">
      <c r="B116" s="22"/>
      <c r="C116" s="23"/>
      <c r="D116" s="24"/>
      <c r="E116" s="25"/>
      <c r="F116" s="26"/>
      <c r="G116" s="26"/>
      <c r="H116" s="26"/>
      <c r="I116" s="26"/>
      <c r="J116" s="26"/>
      <c r="K116" s="26"/>
      <c r="L116" s="26"/>
      <c r="M116" s="26"/>
      <c r="N116" s="26"/>
      <c r="O116" s="29"/>
      <c r="P116" s="26"/>
      <c r="Q116" s="26"/>
      <c r="R116" s="26"/>
      <c r="S116" s="26"/>
      <c r="T116" s="26"/>
      <c r="U116" s="26"/>
      <c r="V116" s="26"/>
      <c r="W116" s="26"/>
      <c r="X116" s="26"/>
      <c r="Y116" s="26"/>
      <c r="Z116" s="26"/>
      <c r="AA116" s="29"/>
      <c r="AB116" s="29"/>
      <c r="AC116" s="16"/>
      <c r="AD116" s="16"/>
      <c r="AE116" s="17"/>
      <c r="AF116" s="17"/>
      <c r="AG116" s="17"/>
      <c r="AH116" s="17"/>
      <c r="AI116" s="19"/>
      <c r="AJ116" s="19"/>
      <c r="AK116" s="19"/>
      <c r="AL116" s="19"/>
      <c r="AM116" s="19"/>
      <c r="AN116" s="19"/>
      <c r="AO116" s="19"/>
      <c r="AP116" s="19"/>
      <c r="AQ116" s="19"/>
      <c r="AR116" s="19"/>
      <c r="AS116" s="19"/>
    </row>
    <row r="117" spans="2:45" s="2" customFormat="1">
      <c r="B117" s="22"/>
      <c r="C117" s="23"/>
      <c r="D117" s="24"/>
      <c r="E117" s="25"/>
      <c r="F117" s="26"/>
      <c r="G117" s="26"/>
      <c r="H117" s="26"/>
      <c r="I117" s="26"/>
      <c r="J117" s="26"/>
      <c r="K117" s="26"/>
      <c r="L117" s="26"/>
      <c r="M117" s="26"/>
      <c r="N117" s="26"/>
      <c r="O117" s="29"/>
      <c r="P117" s="26"/>
      <c r="Q117" s="26"/>
      <c r="R117" s="26"/>
      <c r="S117" s="26"/>
      <c r="T117" s="26"/>
      <c r="U117" s="26"/>
      <c r="V117" s="26"/>
      <c r="W117" s="26"/>
      <c r="X117" s="26"/>
      <c r="Y117" s="26"/>
      <c r="Z117" s="26"/>
      <c r="AA117" s="29"/>
      <c r="AB117" s="29"/>
      <c r="AC117" s="16"/>
      <c r="AD117" s="16"/>
      <c r="AE117" s="17"/>
      <c r="AF117" s="17"/>
      <c r="AG117" s="17"/>
      <c r="AH117" s="17"/>
      <c r="AI117" s="19"/>
      <c r="AJ117" s="19"/>
      <c r="AK117" s="19"/>
      <c r="AL117" s="19"/>
      <c r="AM117" s="19"/>
      <c r="AN117" s="19"/>
      <c r="AO117" s="19"/>
      <c r="AP117" s="19"/>
      <c r="AQ117" s="19"/>
      <c r="AR117" s="19"/>
      <c r="AS117" s="19"/>
    </row>
    <row r="118" spans="2:45" s="2" customFormat="1">
      <c r="B118" s="22"/>
      <c r="C118" s="23"/>
      <c r="D118" s="24"/>
      <c r="E118" s="25"/>
      <c r="F118" s="26"/>
      <c r="G118" s="26"/>
      <c r="H118" s="26"/>
      <c r="I118" s="26"/>
      <c r="J118" s="26"/>
      <c r="K118" s="26"/>
      <c r="L118" s="26"/>
      <c r="M118" s="26"/>
      <c r="N118" s="26"/>
      <c r="O118" s="29"/>
      <c r="P118" s="26"/>
      <c r="Q118" s="26"/>
      <c r="R118" s="26"/>
      <c r="S118" s="26"/>
      <c r="T118" s="26"/>
      <c r="U118" s="26"/>
      <c r="V118" s="26"/>
      <c r="W118" s="26"/>
      <c r="X118" s="26"/>
      <c r="Y118" s="26"/>
      <c r="Z118" s="26"/>
      <c r="AA118" s="29"/>
      <c r="AB118" s="29"/>
      <c r="AC118" s="16"/>
      <c r="AD118" s="16"/>
      <c r="AE118" s="17"/>
      <c r="AF118" s="17"/>
      <c r="AG118" s="17"/>
      <c r="AH118" s="17"/>
      <c r="AI118" s="19"/>
      <c r="AJ118" s="19"/>
      <c r="AK118" s="19"/>
      <c r="AL118" s="19"/>
      <c r="AM118" s="19"/>
      <c r="AN118" s="19"/>
      <c r="AO118" s="19"/>
      <c r="AP118" s="19"/>
      <c r="AQ118" s="19"/>
      <c r="AR118" s="19"/>
      <c r="AS118" s="19"/>
    </row>
    <row r="119" spans="2:45" s="2" customFormat="1">
      <c r="B119" s="22"/>
      <c r="C119" s="23"/>
      <c r="D119" s="24"/>
      <c r="E119" s="25"/>
      <c r="F119" s="26"/>
      <c r="G119" s="26"/>
      <c r="H119" s="26"/>
      <c r="I119" s="26"/>
      <c r="J119" s="26"/>
      <c r="K119" s="26"/>
      <c r="L119" s="26"/>
      <c r="M119" s="26"/>
      <c r="N119" s="26"/>
      <c r="O119" s="29"/>
      <c r="P119" s="26"/>
      <c r="Q119" s="26"/>
      <c r="R119" s="26"/>
      <c r="S119" s="26"/>
      <c r="T119" s="26"/>
      <c r="U119" s="26"/>
      <c r="V119" s="26"/>
      <c r="W119" s="26"/>
      <c r="X119" s="26"/>
      <c r="Y119" s="26"/>
      <c r="Z119" s="26"/>
      <c r="AA119" s="29"/>
      <c r="AB119" s="29"/>
      <c r="AC119" s="16"/>
      <c r="AD119" s="16"/>
      <c r="AE119" s="17"/>
      <c r="AF119" s="17"/>
      <c r="AG119" s="17"/>
      <c r="AH119" s="17"/>
      <c r="AI119" s="19"/>
      <c r="AJ119" s="19"/>
      <c r="AK119" s="19"/>
      <c r="AL119" s="19"/>
      <c r="AM119" s="19"/>
      <c r="AN119" s="19"/>
      <c r="AO119" s="19"/>
      <c r="AP119" s="19"/>
      <c r="AQ119" s="19"/>
      <c r="AR119" s="19"/>
      <c r="AS119" s="19"/>
    </row>
    <row r="120" spans="2:45" s="2" customFormat="1">
      <c r="B120" s="22"/>
      <c r="C120" s="23"/>
      <c r="D120" s="24"/>
      <c r="E120" s="25"/>
      <c r="F120" s="26"/>
      <c r="G120" s="26"/>
      <c r="H120" s="26"/>
      <c r="I120" s="26"/>
      <c r="J120" s="26"/>
      <c r="K120" s="26"/>
      <c r="L120" s="26"/>
      <c r="M120" s="26"/>
      <c r="N120" s="26"/>
      <c r="O120" s="29"/>
      <c r="P120" s="26"/>
      <c r="Q120" s="26"/>
      <c r="R120" s="26"/>
      <c r="S120" s="26"/>
      <c r="T120" s="26"/>
      <c r="U120" s="26"/>
      <c r="V120" s="26"/>
      <c r="W120" s="26"/>
      <c r="X120" s="26"/>
      <c r="Y120" s="26"/>
      <c r="Z120" s="26"/>
      <c r="AA120" s="29"/>
      <c r="AB120" s="29"/>
      <c r="AC120" s="16"/>
      <c r="AD120" s="16"/>
      <c r="AE120" s="17"/>
      <c r="AF120" s="17"/>
      <c r="AG120" s="17"/>
      <c r="AH120" s="17"/>
      <c r="AI120" s="19"/>
      <c r="AJ120" s="19"/>
      <c r="AK120" s="19"/>
      <c r="AL120" s="19"/>
      <c r="AM120" s="19"/>
      <c r="AN120" s="19"/>
      <c r="AO120" s="19"/>
      <c r="AP120" s="19"/>
      <c r="AQ120" s="19"/>
      <c r="AR120" s="19"/>
      <c r="AS120" s="19"/>
    </row>
    <row r="121" spans="2:45" s="2" customFormat="1">
      <c r="B121" s="22"/>
      <c r="C121" s="23"/>
      <c r="D121" s="24"/>
      <c r="E121" s="25"/>
      <c r="F121" s="26"/>
      <c r="G121" s="26"/>
      <c r="H121" s="26"/>
      <c r="I121" s="26"/>
      <c r="J121" s="26"/>
      <c r="K121" s="26"/>
      <c r="L121" s="26"/>
      <c r="M121" s="26"/>
      <c r="N121" s="26"/>
      <c r="O121" s="29"/>
      <c r="P121" s="26"/>
      <c r="Q121" s="26"/>
      <c r="R121" s="26"/>
      <c r="S121" s="26"/>
      <c r="T121" s="26"/>
      <c r="U121" s="26"/>
      <c r="V121" s="26"/>
      <c r="W121" s="26"/>
      <c r="X121" s="26"/>
      <c r="Y121" s="26"/>
      <c r="Z121" s="26"/>
      <c r="AA121" s="29"/>
      <c r="AB121" s="29"/>
      <c r="AC121" s="16"/>
      <c r="AD121" s="16"/>
      <c r="AE121" s="17"/>
      <c r="AF121" s="17"/>
      <c r="AG121" s="17"/>
      <c r="AH121" s="17"/>
      <c r="AI121" s="19"/>
      <c r="AJ121" s="19"/>
      <c r="AK121" s="19"/>
      <c r="AL121" s="19"/>
      <c r="AM121" s="19"/>
      <c r="AN121" s="19"/>
      <c r="AO121" s="19"/>
      <c r="AP121" s="19"/>
      <c r="AQ121" s="19"/>
      <c r="AR121" s="19"/>
      <c r="AS121" s="19"/>
    </row>
    <row r="122" spans="2:45" s="2" customFormat="1">
      <c r="B122" s="22"/>
      <c r="C122" s="23"/>
      <c r="D122" s="24"/>
      <c r="E122" s="25"/>
      <c r="F122" s="26"/>
      <c r="G122" s="26"/>
      <c r="H122" s="26"/>
      <c r="I122" s="26"/>
      <c r="J122" s="26"/>
      <c r="K122" s="26"/>
      <c r="L122" s="26"/>
      <c r="M122" s="26"/>
      <c r="N122" s="26"/>
      <c r="O122" s="29"/>
      <c r="P122" s="26"/>
      <c r="Q122" s="26"/>
      <c r="R122" s="26"/>
      <c r="S122" s="26"/>
      <c r="T122" s="26"/>
      <c r="U122" s="26"/>
      <c r="V122" s="26"/>
      <c r="W122" s="26"/>
      <c r="X122" s="26"/>
      <c r="Y122" s="26"/>
      <c r="Z122" s="26"/>
      <c r="AA122" s="29"/>
      <c r="AB122" s="29"/>
      <c r="AC122" s="16"/>
      <c r="AD122" s="16"/>
      <c r="AE122" s="17"/>
      <c r="AF122" s="17"/>
      <c r="AG122" s="17"/>
      <c r="AH122" s="17"/>
      <c r="AI122" s="19"/>
      <c r="AJ122" s="19"/>
      <c r="AK122" s="19"/>
      <c r="AL122" s="19"/>
      <c r="AM122" s="19"/>
      <c r="AN122" s="19"/>
      <c r="AO122" s="19"/>
      <c r="AP122" s="19"/>
      <c r="AQ122" s="19"/>
      <c r="AR122" s="19"/>
      <c r="AS122" s="19"/>
    </row>
    <row r="123" spans="2:45" s="2" customFormat="1">
      <c r="B123" s="22"/>
      <c r="C123" s="23"/>
      <c r="D123" s="24"/>
      <c r="E123" s="25"/>
      <c r="F123" s="26"/>
      <c r="G123" s="26"/>
      <c r="H123" s="26"/>
      <c r="I123" s="26"/>
      <c r="J123" s="26"/>
      <c r="K123" s="26"/>
      <c r="L123" s="26"/>
      <c r="M123" s="26"/>
      <c r="N123" s="26"/>
      <c r="O123" s="29"/>
      <c r="P123" s="26"/>
      <c r="Q123" s="26"/>
      <c r="R123" s="26"/>
      <c r="S123" s="26"/>
      <c r="T123" s="26"/>
      <c r="U123" s="26"/>
      <c r="V123" s="26"/>
      <c r="W123" s="26"/>
      <c r="X123" s="26"/>
      <c r="Y123" s="26"/>
      <c r="Z123" s="26"/>
      <c r="AA123" s="29"/>
      <c r="AB123" s="29"/>
      <c r="AC123" s="16"/>
      <c r="AD123" s="16"/>
      <c r="AE123" s="17"/>
      <c r="AF123" s="17"/>
      <c r="AG123" s="17"/>
      <c r="AH123" s="17"/>
      <c r="AI123" s="19"/>
      <c r="AJ123" s="19"/>
      <c r="AK123" s="19"/>
      <c r="AL123" s="19"/>
      <c r="AM123" s="19"/>
      <c r="AN123" s="19"/>
      <c r="AO123" s="19"/>
      <c r="AP123" s="19"/>
      <c r="AQ123" s="19"/>
      <c r="AR123" s="19"/>
      <c r="AS123" s="19"/>
    </row>
    <row r="124" spans="2:45" s="2" customFormat="1">
      <c r="B124" s="22"/>
      <c r="C124" s="23"/>
      <c r="D124" s="24"/>
      <c r="E124" s="25"/>
      <c r="F124" s="26"/>
      <c r="G124" s="26"/>
      <c r="H124" s="26"/>
      <c r="I124" s="26"/>
      <c r="J124" s="26"/>
      <c r="K124" s="26"/>
      <c r="L124" s="26"/>
      <c r="M124" s="26"/>
      <c r="N124" s="26"/>
      <c r="O124" s="29"/>
      <c r="P124" s="26"/>
      <c r="Q124" s="26"/>
      <c r="R124" s="26"/>
      <c r="S124" s="26"/>
      <c r="T124" s="26"/>
      <c r="U124" s="26"/>
      <c r="V124" s="26"/>
      <c r="W124" s="26"/>
      <c r="X124" s="26"/>
      <c r="Y124" s="26"/>
      <c r="Z124" s="26"/>
      <c r="AA124" s="29"/>
      <c r="AB124" s="29"/>
      <c r="AC124" s="16"/>
      <c r="AD124" s="16"/>
      <c r="AE124" s="17"/>
      <c r="AF124" s="17"/>
      <c r="AG124" s="17"/>
      <c r="AH124" s="17"/>
      <c r="AI124" s="19"/>
      <c r="AJ124" s="19"/>
      <c r="AK124" s="19"/>
      <c r="AL124" s="19"/>
      <c r="AM124" s="19"/>
      <c r="AN124" s="19"/>
      <c r="AO124" s="19"/>
      <c r="AP124" s="19"/>
      <c r="AQ124" s="19"/>
      <c r="AR124" s="19"/>
      <c r="AS124" s="19"/>
    </row>
    <row r="125" spans="2:45" s="2" customFormat="1">
      <c r="B125" s="22"/>
      <c r="C125" s="23"/>
      <c r="D125" s="24"/>
      <c r="E125" s="25"/>
      <c r="F125" s="26"/>
      <c r="G125" s="26"/>
      <c r="H125" s="26"/>
      <c r="I125" s="26"/>
      <c r="J125" s="26"/>
      <c r="K125" s="26"/>
      <c r="L125" s="26"/>
      <c r="M125" s="26"/>
      <c r="N125" s="26"/>
      <c r="O125" s="29"/>
      <c r="P125" s="26"/>
      <c r="Q125" s="26"/>
      <c r="R125" s="26"/>
      <c r="S125" s="26"/>
      <c r="T125" s="26"/>
      <c r="U125" s="26"/>
      <c r="V125" s="26"/>
      <c r="W125" s="26"/>
      <c r="X125" s="26"/>
      <c r="Y125" s="26"/>
      <c r="Z125" s="26"/>
      <c r="AA125" s="29"/>
      <c r="AB125" s="29"/>
      <c r="AC125" s="16"/>
      <c r="AD125" s="16"/>
      <c r="AE125" s="17"/>
      <c r="AF125" s="17"/>
      <c r="AG125" s="17"/>
      <c r="AH125" s="17"/>
      <c r="AI125" s="19"/>
      <c r="AJ125" s="19"/>
      <c r="AK125" s="19"/>
      <c r="AL125" s="19"/>
      <c r="AM125" s="19"/>
      <c r="AN125" s="19"/>
      <c r="AO125" s="19"/>
      <c r="AP125" s="19"/>
      <c r="AQ125" s="19"/>
      <c r="AR125" s="19"/>
      <c r="AS125" s="19"/>
    </row>
    <row r="126" spans="2:45" s="2" customFormat="1">
      <c r="B126" s="22"/>
      <c r="C126" s="23"/>
      <c r="D126" s="24"/>
      <c r="E126" s="25"/>
      <c r="F126" s="26"/>
      <c r="G126" s="26"/>
      <c r="H126" s="26"/>
      <c r="I126" s="26"/>
      <c r="J126" s="26"/>
      <c r="K126" s="26"/>
      <c r="L126" s="26"/>
      <c r="M126" s="26"/>
      <c r="N126" s="26"/>
      <c r="O126" s="29"/>
      <c r="P126" s="26"/>
      <c r="Q126" s="26"/>
      <c r="R126" s="26"/>
      <c r="S126" s="26"/>
      <c r="T126" s="26"/>
      <c r="U126" s="26"/>
      <c r="V126" s="26"/>
      <c r="W126" s="26"/>
      <c r="X126" s="26"/>
      <c r="Y126" s="26"/>
      <c r="Z126" s="26"/>
      <c r="AA126" s="29"/>
      <c r="AB126" s="29"/>
      <c r="AC126" s="16"/>
      <c r="AD126" s="16"/>
      <c r="AE126" s="17"/>
      <c r="AF126" s="17"/>
      <c r="AG126" s="17"/>
      <c r="AH126" s="17"/>
      <c r="AI126" s="19"/>
      <c r="AJ126" s="19"/>
      <c r="AK126" s="19"/>
      <c r="AL126" s="19"/>
      <c r="AM126" s="19"/>
      <c r="AN126" s="19"/>
      <c r="AO126" s="19"/>
      <c r="AP126" s="19"/>
      <c r="AQ126" s="19"/>
      <c r="AR126" s="19"/>
      <c r="AS126" s="19"/>
    </row>
    <row r="127" spans="2:45" s="2" customFormat="1">
      <c r="B127" s="22"/>
      <c r="C127" s="23"/>
      <c r="D127" s="24"/>
      <c r="E127" s="25"/>
      <c r="F127" s="26"/>
      <c r="G127" s="26"/>
      <c r="H127" s="26"/>
      <c r="I127" s="26"/>
      <c r="J127" s="26"/>
      <c r="K127" s="26"/>
      <c r="L127" s="26"/>
      <c r="M127" s="26"/>
      <c r="N127" s="26"/>
      <c r="O127" s="29"/>
      <c r="P127" s="26"/>
      <c r="Q127" s="26"/>
      <c r="R127" s="26"/>
      <c r="S127" s="26"/>
      <c r="T127" s="26"/>
      <c r="U127" s="26"/>
      <c r="V127" s="26"/>
      <c r="W127" s="26"/>
      <c r="X127" s="26"/>
      <c r="Y127" s="26"/>
      <c r="Z127" s="26"/>
      <c r="AA127" s="29"/>
      <c r="AB127" s="29"/>
      <c r="AC127" s="16"/>
      <c r="AD127" s="16"/>
      <c r="AE127" s="17"/>
      <c r="AF127" s="17"/>
      <c r="AG127" s="17"/>
      <c r="AH127" s="17"/>
      <c r="AI127" s="19"/>
      <c r="AJ127" s="19"/>
      <c r="AK127" s="19"/>
      <c r="AL127" s="19"/>
      <c r="AM127" s="19"/>
      <c r="AN127" s="19"/>
      <c r="AO127" s="19"/>
      <c r="AP127" s="19"/>
      <c r="AQ127" s="19"/>
      <c r="AR127" s="19"/>
      <c r="AS127" s="19"/>
    </row>
    <row r="128" spans="2:45" s="2" customFormat="1">
      <c r="B128" s="22"/>
      <c r="C128" s="23"/>
      <c r="D128" s="24"/>
      <c r="E128" s="25"/>
      <c r="F128" s="26"/>
      <c r="G128" s="26"/>
      <c r="H128" s="26"/>
      <c r="I128" s="26"/>
      <c r="J128" s="26"/>
      <c r="K128" s="26"/>
      <c r="L128" s="26"/>
      <c r="M128" s="26"/>
      <c r="N128" s="26"/>
      <c r="O128" s="29"/>
      <c r="P128" s="26"/>
      <c r="Q128" s="26"/>
      <c r="R128" s="26"/>
      <c r="S128" s="26"/>
      <c r="T128" s="26"/>
      <c r="U128" s="26"/>
      <c r="V128" s="26"/>
      <c r="W128" s="26"/>
      <c r="X128" s="26"/>
      <c r="Y128" s="26"/>
      <c r="Z128" s="26"/>
      <c r="AA128" s="29"/>
      <c r="AB128" s="29"/>
      <c r="AC128" s="16"/>
      <c r="AD128" s="16"/>
      <c r="AE128" s="17"/>
      <c r="AF128" s="17"/>
      <c r="AG128" s="17"/>
      <c r="AH128" s="17"/>
      <c r="AI128" s="19"/>
      <c r="AJ128" s="19"/>
      <c r="AK128" s="19"/>
      <c r="AL128" s="19"/>
      <c r="AM128" s="19"/>
      <c r="AN128" s="19"/>
      <c r="AO128" s="19"/>
      <c r="AP128" s="19"/>
      <c r="AQ128" s="19"/>
      <c r="AR128" s="19"/>
      <c r="AS128" s="19"/>
    </row>
    <row r="129" spans="2:45" s="2" customFormat="1">
      <c r="B129" s="22"/>
      <c r="C129" s="23"/>
      <c r="D129" s="24"/>
      <c r="E129" s="25"/>
      <c r="F129" s="26"/>
      <c r="G129" s="26"/>
      <c r="H129" s="26"/>
      <c r="I129" s="26"/>
      <c r="J129" s="26"/>
      <c r="K129" s="26"/>
      <c r="L129" s="26"/>
      <c r="M129" s="26"/>
      <c r="N129" s="26"/>
      <c r="O129" s="29"/>
      <c r="P129" s="26"/>
      <c r="Q129" s="26"/>
      <c r="R129" s="26"/>
      <c r="S129" s="26"/>
      <c r="T129" s="26"/>
      <c r="U129" s="26"/>
      <c r="V129" s="26"/>
      <c r="W129" s="26"/>
      <c r="X129" s="26"/>
      <c r="Y129" s="26"/>
      <c r="Z129" s="26"/>
      <c r="AA129" s="29"/>
      <c r="AB129" s="29"/>
      <c r="AC129" s="16"/>
      <c r="AD129" s="16"/>
      <c r="AE129" s="17"/>
      <c r="AF129" s="17"/>
      <c r="AG129" s="17"/>
      <c r="AH129" s="17"/>
      <c r="AI129" s="19"/>
      <c r="AJ129" s="19"/>
      <c r="AK129" s="19"/>
      <c r="AL129" s="19"/>
      <c r="AM129" s="19"/>
      <c r="AN129" s="19"/>
      <c r="AO129" s="19"/>
      <c r="AP129" s="19"/>
      <c r="AQ129" s="19"/>
      <c r="AR129" s="19"/>
      <c r="AS129" s="19"/>
    </row>
    <row r="130" spans="2:45" s="2" customFormat="1">
      <c r="B130" s="22"/>
      <c r="C130" s="23"/>
      <c r="D130" s="24"/>
      <c r="E130" s="25"/>
      <c r="F130" s="26"/>
      <c r="G130" s="26"/>
      <c r="H130" s="26"/>
      <c r="I130" s="26"/>
      <c r="J130" s="26"/>
      <c r="K130" s="26"/>
      <c r="L130" s="26"/>
      <c r="M130" s="26"/>
      <c r="N130" s="26"/>
      <c r="O130" s="29"/>
      <c r="P130" s="26"/>
      <c r="Q130" s="26"/>
      <c r="R130" s="26"/>
      <c r="S130" s="26"/>
      <c r="T130" s="26"/>
      <c r="U130" s="26"/>
      <c r="V130" s="26"/>
      <c r="W130" s="26"/>
      <c r="X130" s="26"/>
      <c r="Y130" s="26"/>
      <c r="Z130" s="26"/>
      <c r="AA130" s="29"/>
      <c r="AB130" s="29"/>
      <c r="AC130" s="16"/>
      <c r="AD130" s="16"/>
      <c r="AE130" s="17"/>
      <c r="AF130" s="17"/>
      <c r="AG130" s="17"/>
      <c r="AH130" s="17"/>
      <c r="AI130" s="19"/>
      <c r="AJ130" s="19"/>
      <c r="AK130" s="19"/>
      <c r="AL130" s="19"/>
      <c r="AM130" s="19"/>
      <c r="AN130" s="19"/>
      <c r="AO130" s="19"/>
      <c r="AP130" s="19"/>
      <c r="AQ130" s="19"/>
      <c r="AR130" s="19"/>
      <c r="AS130" s="19"/>
    </row>
    <row r="131" spans="2:45" s="2" customFormat="1">
      <c r="B131" s="22"/>
      <c r="C131" s="23"/>
      <c r="D131" s="24"/>
      <c r="E131" s="25"/>
      <c r="F131" s="26"/>
      <c r="G131" s="26"/>
      <c r="H131" s="26"/>
      <c r="I131" s="26"/>
      <c r="J131" s="26"/>
      <c r="K131" s="26"/>
      <c r="L131" s="26"/>
      <c r="M131" s="26"/>
      <c r="N131" s="26"/>
      <c r="O131" s="29"/>
      <c r="P131" s="26"/>
      <c r="Q131" s="26"/>
      <c r="R131" s="26"/>
      <c r="S131" s="26"/>
      <c r="T131" s="26"/>
      <c r="U131" s="26"/>
      <c r="V131" s="26"/>
      <c r="W131" s="26"/>
      <c r="X131" s="26"/>
      <c r="Y131" s="26"/>
      <c r="Z131" s="26"/>
      <c r="AA131" s="29"/>
      <c r="AB131" s="29"/>
      <c r="AC131" s="16"/>
      <c r="AD131" s="16"/>
      <c r="AE131" s="17"/>
      <c r="AF131" s="17"/>
      <c r="AG131" s="17"/>
      <c r="AH131" s="17"/>
      <c r="AI131" s="19"/>
      <c r="AJ131" s="19"/>
      <c r="AK131" s="19"/>
      <c r="AL131" s="19"/>
      <c r="AM131" s="19"/>
      <c r="AN131" s="19"/>
      <c r="AO131" s="19"/>
      <c r="AP131" s="19"/>
      <c r="AQ131" s="19"/>
      <c r="AR131" s="19"/>
      <c r="AS131" s="19"/>
    </row>
    <row r="132" spans="2:45" s="2" customFormat="1">
      <c r="B132" s="22"/>
      <c r="C132" s="23"/>
      <c r="D132" s="24"/>
      <c r="E132" s="25"/>
      <c r="F132" s="26"/>
      <c r="G132" s="26"/>
      <c r="H132" s="26"/>
      <c r="I132" s="26"/>
      <c r="J132" s="26"/>
      <c r="K132" s="26"/>
      <c r="L132" s="26"/>
      <c r="M132" s="26"/>
      <c r="N132" s="26"/>
      <c r="O132" s="29"/>
      <c r="P132" s="26"/>
      <c r="Q132" s="26"/>
      <c r="R132" s="26"/>
      <c r="S132" s="26"/>
      <c r="T132" s="26"/>
      <c r="U132" s="26"/>
      <c r="V132" s="26"/>
      <c r="W132" s="26"/>
      <c r="X132" s="26"/>
      <c r="Y132" s="26"/>
      <c r="Z132" s="26"/>
      <c r="AA132" s="29"/>
      <c r="AB132" s="29"/>
      <c r="AC132" s="16"/>
      <c r="AD132" s="16"/>
      <c r="AE132" s="17"/>
      <c r="AF132" s="17"/>
      <c r="AG132" s="17"/>
      <c r="AH132" s="17"/>
      <c r="AI132" s="19"/>
      <c r="AJ132" s="19"/>
      <c r="AK132" s="19"/>
      <c r="AL132" s="19"/>
      <c r="AM132" s="19"/>
      <c r="AN132" s="19"/>
      <c r="AO132" s="19"/>
      <c r="AP132" s="19"/>
      <c r="AQ132" s="19"/>
      <c r="AR132" s="19"/>
      <c r="AS132" s="19"/>
    </row>
    <row r="133" spans="2:45" s="2" customFormat="1">
      <c r="B133" s="22"/>
      <c r="C133" s="23"/>
      <c r="D133" s="24"/>
      <c r="E133" s="25"/>
      <c r="F133" s="26"/>
      <c r="G133" s="26"/>
      <c r="H133" s="26"/>
      <c r="I133" s="26"/>
      <c r="J133" s="26"/>
      <c r="K133" s="26"/>
      <c r="L133" s="26"/>
      <c r="M133" s="26"/>
      <c r="N133" s="26"/>
      <c r="O133" s="29"/>
      <c r="P133" s="26"/>
      <c r="Q133" s="26"/>
      <c r="R133" s="26"/>
      <c r="S133" s="26"/>
      <c r="T133" s="26"/>
      <c r="U133" s="26"/>
      <c r="V133" s="26"/>
      <c r="W133" s="26"/>
      <c r="X133" s="26"/>
      <c r="Y133" s="26"/>
      <c r="Z133" s="26"/>
      <c r="AA133" s="29"/>
      <c r="AB133" s="29"/>
      <c r="AC133" s="16"/>
      <c r="AD133" s="16"/>
      <c r="AE133" s="17"/>
      <c r="AF133" s="17"/>
      <c r="AG133" s="17"/>
      <c r="AH133" s="17"/>
      <c r="AI133" s="19"/>
      <c r="AJ133" s="19"/>
      <c r="AK133" s="19"/>
      <c r="AL133" s="19"/>
      <c r="AM133" s="19"/>
      <c r="AN133" s="19"/>
      <c r="AO133" s="19"/>
      <c r="AP133" s="19"/>
      <c r="AQ133" s="19"/>
      <c r="AR133" s="19"/>
      <c r="AS133" s="19"/>
    </row>
    <row r="134" spans="2:45" s="2" customFormat="1">
      <c r="B134" s="22"/>
      <c r="C134" s="23"/>
      <c r="D134" s="24"/>
      <c r="E134" s="25"/>
      <c r="F134" s="26"/>
      <c r="G134" s="26"/>
      <c r="H134" s="26"/>
      <c r="I134" s="26"/>
      <c r="J134" s="26"/>
      <c r="K134" s="26"/>
      <c r="L134" s="26"/>
      <c r="M134" s="26"/>
      <c r="N134" s="26"/>
      <c r="O134" s="29"/>
      <c r="P134" s="26"/>
      <c r="Q134" s="26"/>
      <c r="R134" s="26"/>
      <c r="S134" s="26"/>
      <c r="T134" s="26"/>
      <c r="U134" s="26"/>
      <c r="V134" s="26"/>
      <c r="W134" s="26"/>
      <c r="X134" s="26"/>
      <c r="Y134" s="26"/>
      <c r="Z134" s="26"/>
      <c r="AA134" s="29"/>
      <c r="AB134" s="29"/>
      <c r="AC134" s="16"/>
      <c r="AD134" s="16"/>
      <c r="AE134" s="17"/>
      <c r="AF134" s="17"/>
      <c r="AG134" s="17"/>
      <c r="AH134" s="17"/>
      <c r="AI134" s="19"/>
      <c r="AJ134" s="19"/>
      <c r="AK134" s="19"/>
      <c r="AL134" s="19"/>
      <c r="AM134" s="19"/>
      <c r="AN134" s="19"/>
      <c r="AO134" s="19"/>
      <c r="AP134" s="19"/>
      <c r="AQ134" s="19"/>
      <c r="AR134" s="19"/>
      <c r="AS134" s="19"/>
    </row>
    <row r="135" spans="2:45" s="2" customFormat="1">
      <c r="B135" s="22"/>
      <c r="C135" s="23"/>
      <c r="D135" s="24"/>
      <c r="E135" s="25"/>
      <c r="F135" s="26"/>
      <c r="G135" s="26"/>
      <c r="H135" s="26"/>
      <c r="I135" s="26"/>
      <c r="J135" s="26"/>
      <c r="K135" s="26"/>
      <c r="L135" s="26"/>
      <c r="M135" s="26"/>
      <c r="N135" s="26"/>
      <c r="O135" s="29"/>
      <c r="P135" s="26"/>
      <c r="Q135" s="26"/>
      <c r="R135" s="26"/>
      <c r="S135" s="26"/>
      <c r="T135" s="26"/>
      <c r="U135" s="26"/>
      <c r="V135" s="26"/>
      <c r="W135" s="26"/>
      <c r="X135" s="26"/>
      <c r="Y135" s="26"/>
      <c r="Z135" s="26"/>
      <c r="AA135" s="29"/>
      <c r="AB135" s="29"/>
      <c r="AC135" s="16"/>
      <c r="AD135" s="16"/>
      <c r="AE135" s="17"/>
      <c r="AF135" s="17"/>
      <c r="AG135" s="17"/>
      <c r="AH135" s="17"/>
      <c r="AI135" s="19"/>
      <c r="AJ135" s="19"/>
      <c r="AK135" s="19"/>
      <c r="AL135" s="19"/>
      <c r="AM135" s="19"/>
      <c r="AN135" s="19"/>
      <c r="AO135" s="19"/>
      <c r="AP135" s="19"/>
      <c r="AQ135" s="19"/>
      <c r="AR135" s="19"/>
      <c r="AS135" s="19"/>
    </row>
    <row r="136" spans="2:45" s="2" customFormat="1">
      <c r="B136" s="22"/>
      <c r="C136" s="23"/>
      <c r="D136" s="24"/>
      <c r="E136" s="25"/>
      <c r="F136" s="26"/>
      <c r="G136" s="26"/>
      <c r="H136" s="26"/>
      <c r="I136" s="26"/>
      <c r="J136" s="26"/>
      <c r="K136" s="26"/>
      <c r="L136" s="26"/>
      <c r="M136" s="26"/>
      <c r="N136" s="26"/>
      <c r="O136" s="29"/>
      <c r="P136" s="26"/>
      <c r="Q136" s="26"/>
      <c r="R136" s="26"/>
      <c r="S136" s="26"/>
      <c r="T136" s="26"/>
      <c r="U136" s="26"/>
      <c r="V136" s="26"/>
      <c r="W136" s="26"/>
      <c r="X136" s="26"/>
      <c r="Y136" s="26"/>
      <c r="Z136" s="26"/>
      <c r="AA136" s="29"/>
      <c r="AB136" s="29"/>
      <c r="AC136" s="16"/>
      <c r="AD136" s="16"/>
      <c r="AE136" s="17"/>
      <c r="AF136" s="17"/>
      <c r="AG136" s="17"/>
      <c r="AH136" s="17"/>
      <c r="AI136" s="19"/>
      <c r="AJ136" s="19"/>
      <c r="AK136" s="19"/>
      <c r="AL136" s="19"/>
      <c r="AM136" s="19"/>
      <c r="AN136" s="19"/>
      <c r="AO136" s="19"/>
      <c r="AP136" s="19"/>
      <c r="AQ136" s="19"/>
      <c r="AR136" s="19"/>
      <c r="AS136" s="19"/>
    </row>
    <row r="137" spans="2:45" s="2" customFormat="1">
      <c r="B137" s="22"/>
      <c r="C137" s="23"/>
      <c r="D137" s="24"/>
      <c r="E137" s="25"/>
      <c r="F137" s="26"/>
      <c r="G137" s="26"/>
      <c r="H137" s="26"/>
      <c r="I137" s="26"/>
      <c r="J137" s="26"/>
      <c r="K137" s="26"/>
      <c r="L137" s="26"/>
      <c r="M137" s="26"/>
      <c r="N137" s="26"/>
      <c r="O137" s="29"/>
      <c r="P137" s="26"/>
      <c r="Q137" s="26"/>
      <c r="R137" s="26"/>
      <c r="S137" s="26"/>
      <c r="T137" s="26"/>
      <c r="U137" s="26"/>
      <c r="V137" s="26"/>
      <c r="W137" s="26"/>
      <c r="X137" s="26"/>
      <c r="Y137" s="26"/>
      <c r="Z137" s="26"/>
      <c r="AA137" s="29"/>
      <c r="AB137" s="29"/>
      <c r="AC137" s="16"/>
      <c r="AD137" s="16"/>
      <c r="AE137" s="17"/>
      <c r="AF137" s="17"/>
      <c r="AG137" s="17"/>
      <c r="AH137" s="17"/>
      <c r="AI137" s="19"/>
      <c r="AJ137" s="19"/>
      <c r="AK137" s="19"/>
      <c r="AL137" s="19"/>
      <c r="AM137" s="19"/>
      <c r="AN137" s="19"/>
      <c r="AO137" s="19"/>
      <c r="AP137" s="19"/>
      <c r="AQ137" s="19"/>
      <c r="AR137" s="19"/>
      <c r="AS137" s="19"/>
    </row>
    <row r="138" spans="2:45" s="2" customFormat="1">
      <c r="B138" s="22"/>
      <c r="C138" s="23"/>
      <c r="D138" s="24"/>
      <c r="E138" s="25"/>
      <c r="F138" s="26"/>
      <c r="G138" s="26"/>
      <c r="H138" s="26"/>
      <c r="I138" s="26"/>
      <c r="J138" s="26"/>
      <c r="K138" s="26"/>
      <c r="L138" s="26"/>
      <c r="M138" s="26"/>
      <c r="N138" s="26"/>
      <c r="O138" s="29"/>
      <c r="P138" s="26"/>
      <c r="Q138" s="26"/>
      <c r="R138" s="26"/>
      <c r="S138" s="26"/>
      <c r="T138" s="26"/>
      <c r="U138" s="26"/>
      <c r="V138" s="26"/>
      <c r="W138" s="26"/>
      <c r="X138" s="26"/>
      <c r="Y138" s="26"/>
      <c r="Z138" s="26"/>
      <c r="AA138" s="29"/>
      <c r="AB138" s="29"/>
      <c r="AC138" s="16"/>
      <c r="AD138" s="16"/>
      <c r="AE138" s="17"/>
      <c r="AF138" s="17"/>
      <c r="AG138" s="17"/>
      <c r="AH138" s="17"/>
      <c r="AI138" s="19"/>
      <c r="AJ138" s="19"/>
      <c r="AK138" s="19"/>
      <c r="AL138" s="19"/>
      <c r="AM138" s="19"/>
      <c r="AN138" s="19"/>
      <c r="AO138" s="19"/>
      <c r="AP138" s="19"/>
      <c r="AQ138" s="19"/>
      <c r="AR138" s="19"/>
      <c r="AS138" s="19"/>
    </row>
    <row r="139" spans="2:45" s="2" customFormat="1">
      <c r="B139" s="22"/>
      <c r="C139" s="23"/>
      <c r="D139" s="24"/>
      <c r="E139" s="25"/>
      <c r="F139" s="26"/>
      <c r="G139" s="26"/>
      <c r="H139" s="26"/>
      <c r="I139" s="26"/>
      <c r="J139" s="26"/>
      <c r="K139" s="26"/>
      <c r="L139" s="26"/>
      <c r="M139" s="26"/>
      <c r="N139" s="26"/>
      <c r="O139" s="29"/>
      <c r="P139" s="26"/>
      <c r="Q139" s="26"/>
      <c r="R139" s="26"/>
      <c r="S139" s="26"/>
      <c r="T139" s="26"/>
      <c r="U139" s="26"/>
      <c r="V139" s="26"/>
      <c r="W139" s="26"/>
      <c r="X139" s="26"/>
      <c r="Y139" s="26"/>
      <c r="Z139" s="26"/>
      <c r="AA139" s="29"/>
      <c r="AB139" s="29"/>
      <c r="AC139" s="16"/>
      <c r="AD139" s="16"/>
      <c r="AE139" s="17"/>
      <c r="AF139" s="17"/>
      <c r="AG139" s="17"/>
      <c r="AH139" s="17"/>
      <c r="AI139" s="19"/>
      <c r="AJ139" s="19"/>
      <c r="AK139" s="19"/>
      <c r="AL139" s="19"/>
      <c r="AM139" s="19"/>
      <c r="AN139" s="19"/>
      <c r="AO139" s="19"/>
      <c r="AP139" s="19"/>
      <c r="AQ139" s="19"/>
      <c r="AR139" s="19"/>
      <c r="AS139" s="19"/>
    </row>
    <row r="140" spans="2:45" s="2" customFormat="1">
      <c r="B140" s="22"/>
      <c r="C140" s="23"/>
      <c r="D140" s="24"/>
      <c r="E140" s="25"/>
      <c r="F140" s="26"/>
      <c r="G140" s="26"/>
      <c r="H140" s="26"/>
      <c r="I140" s="26"/>
      <c r="J140" s="26"/>
      <c r="K140" s="26"/>
      <c r="L140" s="26"/>
      <c r="M140" s="26"/>
      <c r="N140" s="26"/>
      <c r="O140" s="29"/>
      <c r="P140" s="26"/>
      <c r="Q140" s="26"/>
      <c r="R140" s="26"/>
      <c r="S140" s="26"/>
      <c r="T140" s="26"/>
      <c r="U140" s="26"/>
      <c r="V140" s="26"/>
      <c r="W140" s="26"/>
      <c r="X140" s="26"/>
      <c r="Y140" s="26"/>
      <c r="Z140" s="26"/>
      <c r="AA140" s="29"/>
      <c r="AB140" s="29"/>
      <c r="AC140" s="16"/>
      <c r="AD140" s="16"/>
      <c r="AE140" s="17"/>
      <c r="AF140" s="17"/>
      <c r="AG140" s="17"/>
      <c r="AH140" s="17"/>
      <c r="AI140" s="19"/>
      <c r="AJ140" s="19"/>
      <c r="AK140" s="19"/>
      <c r="AL140" s="19"/>
      <c r="AM140" s="19"/>
      <c r="AN140" s="19"/>
      <c r="AO140" s="19"/>
      <c r="AP140" s="19"/>
      <c r="AQ140" s="19"/>
      <c r="AR140" s="19"/>
      <c r="AS140" s="19"/>
    </row>
    <row r="141" spans="2:45" s="2" customFormat="1">
      <c r="B141" s="22"/>
      <c r="C141" s="23"/>
      <c r="D141" s="24"/>
      <c r="E141" s="25"/>
      <c r="F141" s="26"/>
      <c r="G141" s="26"/>
      <c r="H141" s="26"/>
      <c r="I141" s="26"/>
      <c r="J141" s="26"/>
      <c r="K141" s="26"/>
      <c r="L141" s="26"/>
      <c r="M141" s="26"/>
      <c r="N141" s="26"/>
      <c r="O141" s="29"/>
      <c r="P141" s="26"/>
      <c r="Q141" s="26"/>
      <c r="R141" s="26"/>
      <c r="S141" s="26"/>
      <c r="T141" s="26"/>
      <c r="U141" s="26"/>
      <c r="V141" s="26"/>
      <c r="W141" s="26"/>
      <c r="X141" s="26"/>
      <c r="Y141" s="26"/>
      <c r="Z141" s="26"/>
      <c r="AA141" s="29"/>
      <c r="AB141" s="29"/>
      <c r="AC141" s="16"/>
      <c r="AD141" s="16"/>
      <c r="AE141" s="17"/>
      <c r="AF141" s="17"/>
      <c r="AG141" s="17"/>
      <c r="AH141" s="17"/>
      <c r="AI141" s="19"/>
      <c r="AJ141" s="19"/>
      <c r="AK141" s="19"/>
      <c r="AL141" s="19"/>
      <c r="AM141" s="19"/>
      <c r="AN141" s="19"/>
      <c r="AO141" s="19"/>
      <c r="AP141" s="19"/>
      <c r="AQ141" s="19"/>
      <c r="AR141" s="19"/>
      <c r="AS141" s="19"/>
    </row>
    <row r="142" spans="2:45" s="2" customFormat="1">
      <c r="B142" s="22"/>
      <c r="C142" s="23"/>
      <c r="D142" s="24"/>
      <c r="E142" s="25"/>
      <c r="F142" s="26"/>
      <c r="G142" s="26"/>
      <c r="H142" s="26"/>
      <c r="I142" s="26"/>
      <c r="J142" s="26"/>
      <c r="K142" s="26"/>
      <c r="L142" s="26"/>
      <c r="M142" s="26"/>
      <c r="N142" s="26"/>
      <c r="O142" s="29"/>
      <c r="P142" s="26"/>
      <c r="Q142" s="26"/>
      <c r="R142" s="26"/>
      <c r="S142" s="26"/>
      <c r="T142" s="26"/>
      <c r="U142" s="26"/>
      <c r="V142" s="26"/>
      <c r="W142" s="26"/>
      <c r="X142" s="26"/>
      <c r="Y142" s="26"/>
      <c r="Z142" s="26"/>
      <c r="AA142" s="29"/>
      <c r="AB142" s="29"/>
      <c r="AC142" s="16"/>
      <c r="AD142" s="16"/>
      <c r="AE142" s="17"/>
      <c r="AF142" s="17"/>
      <c r="AG142" s="17"/>
      <c r="AH142" s="17"/>
      <c r="AI142" s="19"/>
      <c r="AJ142" s="19"/>
      <c r="AK142" s="19"/>
      <c r="AL142" s="19"/>
      <c r="AM142" s="19"/>
      <c r="AN142" s="19"/>
      <c r="AO142" s="19"/>
      <c r="AP142" s="19"/>
      <c r="AQ142" s="19"/>
      <c r="AR142" s="19"/>
      <c r="AS142" s="19"/>
    </row>
    <row r="143" spans="2:45" s="2" customFormat="1">
      <c r="B143" s="22"/>
      <c r="C143" s="23"/>
      <c r="D143" s="24"/>
      <c r="E143" s="25"/>
      <c r="F143" s="26"/>
      <c r="G143" s="26"/>
      <c r="H143" s="26"/>
      <c r="I143" s="26"/>
      <c r="J143" s="26"/>
      <c r="K143" s="26"/>
      <c r="L143" s="26"/>
      <c r="M143" s="26"/>
      <c r="N143" s="26"/>
      <c r="O143" s="29"/>
      <c r="P143" s="26"/>
      <c r="Q143" s="26"/>
      <c r="R143" s="26"/>
      <c r="S143" s="26"/>
      <c r="T143" s="26"/>
      <c r="U143" s="26"/>
      <c r="V143" s="26"/>
      <c r="W143" s="26"/>
      <c r="X143" s="26"/>
      <c r="Y143" s="26"/>
      <c r="Z143" s="26"/>
      <c r="AA143" s="29"/>
      <c r="AB143" s="29"/>
      <c r="AC143" s="16"/>
      <c r="AD143" s="16"/>
      <c r="AE143" s="17"/>
      <c r="AF143" s="17"/>
      <c r="AG143" s="17"/>
      <c r="AH143" s="17"/>
      <c r="AI143" s="19"/>
      <c r="AJ143" s="19"/>
      <c r="AK143" s="19"/>
      <c r="AL143" s="19"/>
      <c r="AM143" s="19"/>
      <c r="AN143" s="19"/>
      <c r="AO143" s="19"/>
      <c r="AP143" s="19"/>
      <c r="AQ143" s="19"/>
      <c r="AR143" s="19"/>
      <c r="AS143" s="19"/>
    </row>
    <row r="144" spans="2:45" s="2" customFormat="1">
      <c r="B144" s="22"/>
      <c r="C144" s="23"/>
      <c r="D144" s="24"/>
      <c r="E144" s="25"/>
      <c r="F144" s="26"/>
      <c r="G144" s="26"/>
      <c r="H144" s="26"/>
      <c r="I144" s="26"/>
      <c r="J144" s="26"/>
      <c r="K144" s="26"/>
      <c r="L144" s="26"/>
      <c r="M144" s="26"/>
      <c r="N144" s="26"/>
      <c r="O144" s="29"/>
      <c r="P144" s="26"/>
      <c r="Q144" s="26"/>
      <c r="R144" s="26"/>
      <c r="S144" s="26"/>
      <c r="T144" s="26"/>
      <c r="U144" s="26"/>
      <c r="V144" s="26"/>
      <c r="W144" s="26"/>
      <c r="X144" s="26"/>
      <c r="Y144" s="26"/>
      <c r="Z144" s="26"/>
      <c r="AA144" s="29"/>
      <c r="AB144" s="29"/>
      <c r="AC144" s="16"/>
      <c r="AD144" s="16"/>
      <c r="AE144" s="17"/>
      <c r="AF144" s="17"/>
      <c r="AG144" s="17"/>
      <c r="AH144" s="17"/>
      <c r="AI144" s="19"/>
      <c r="AJ144" s="19"/>
      <c r="AK144" s="19"/>
      <c r="AL144" s="19"/>
      <c r="AM144" s="19"/>
      <c r="AN144" s="19"/>
      <c r="AO144" s="19"/>
      <c r="AP144" s="19"/>
      <c r="AQ144" s="19"/>
      <c r="AR144" s="19"/>
      <c r="AS144" s="19"/>
    </row>
    <row r="145" spans="2:45" s="2" customFormat="1">
      <c r="B145" s="22"/>
      <c r="C145" s="23"/>
      <c r="D145" s="24"/>
      <c r="E145" s="25"/>
      <c r="F145" s="26"/>
      <c r="G145" s="26"/>
      <c r="H145" s="26"/>
      <c r="I145" s="26"/>
      <c r="J145" s="26"/>
      <c r="K145" s="26"/>
      <c r="L145" s="26"/>
      <c r="M145" s="26"/>
      <c r="N145" s="26"/>
      <c r="O145" s="29"/>
      <c r="P145" s="26"/>
      <c r="Q145" s="26"/>
      <c r="R145" s="26"/>
      <c r="S145" s="26"/>
      <c r="T145" s="26"/>
      <c r="U145" s="26"/>
      <c r="V145" s="26"/>
      <c r="W145" s="26"/>
      <c r="X145" s="26"/>
      <c r="Y145" s="26"/>
      <c r="Z145" s="26"/>
      <c r="AA145" s="29"/>
      <c r="AB145" s="29"/>
      <c r="AC145" s="16"/>
      <c r="AD145" s="16"/>
      <c r="AE145" s="17"/>
      <c r="AF145" s="17"/>
      <c r="AG145" s="17"/>
      <c r="AH145" s="17"/>
      <c r="AI145" s="19"/>
      <c r="AJ145" s="19"/>
      <c r="AK145" s="19"/>
      <c r="AL145" s="19"/>
      <c r="AM145" s="19"/>
      <c r="AN145" s="19"/>
      <c r="AO145" s="19"/>
      <c r="AP145" s="19"/>
      <c r="AQ145" s="19"/>
      <c r="AR145" s="19"/>
      <c r="AS145" s="19"/>
    </row>
    <row r="146" spans="2:45" s="2" customFormat="1">
      <c r="B146" s="22"/>
      <c r="C146" s="23"/>
      <c r="D146" s="24"/>
      <c r="E146" s="25"/>
      <c r="F146" s="26"/>
      <c r="G146" s="26"/>
      <c r="H146" s="26"/>
      <c r="I146" s="26"/>
      <c r="J146" s="26"/>
      <c r="K146" s="26"/>
      <c r="L146" s="26"/>
      <c r="M146" s="26"/>
      <c r="N146" s="26"/>
      <c r="O146" s="29"/>
      <c r="P146" s="26"/>
      <c r="Q146" s="26"/>
      <c r="R146" s="26"/>
      <c r="S146" s="26"/>
      <c r="T146" s="26"/>
      <c r="U146" s="26"/>
      <c r="V146" s="26"/>
      <c r="W146" s="26"/>
      <c r="X146" s="26"/>
      <c r="Y146" s="26"/>
      <c r="Z146" s="26"/>
      <c r="AA146" s="29"/>
      <c r="AB146" s="29"/>
      <c r="AC146" s="16"/>
      <c r="AD146" s="16"/>
      <c r="AE146" s="17"/>
      <c r="AF146" s="17"/>
      <c r="AG146" s="17"/>
      <c r="AH146" s="17"/>
      <c r="AI146" s="19"/>
      <c r="AJ146" s="19"/>
      <c r="AK146" s="19"/>
      <c r="AL146" s="19"/>
      <c r="AM146" s="19"/>
      <c r="AN146" s="19"/>
      <c r="AO146" s="19"/>
      <c r="AP146" s="19"/>
      <c r="AQ146" s="19"/>
      <c r="AR146" s="19"/>
      <c r="AS146" s="19"/>
    </row>
    <row r="147" spans="2:45" s="2" customFormat="1">
      <c r="B147" s="22"/>
      <c r="C147" s="23"/>
      <c r="D147" s="24"/>
      <c r="E147" s="25"/>
      <c r="F147" s="26"/>
      <c r="G147" s="26"/>
      <c r="H147" s="26"/>
      <c r="I147" s="26"/>
      <c r="J147" s="26"/>
      <c r="K147" s="26"/>
      <c r="L147" s="26"/>
      <c r="M147" s="26"/>
      <c r="N147" s="26"/>
      <c r="O147" s="29"/>
      <c r="P147" s="26"/>
      <c r="Q147" s="26"/>
      <c r="R147" s="26"/>
      <c r="S147" s="26"/>
      <c r="T147" s="26"/>
      <c r="U147" s="26"/>
      <c r="V147" s="26"/>
      <c r="W147" s="26"/>
      <c r="X147" s="26"/>
      <c r="Y147" s="26"/>
      <c r="Z147" s="26"/>
      <c r="AA147" s="29"/>
      <c r="AB147" s="29"/>
      <c r="AC147" s="16"/>
      <c r="AD147" s="16"/>
      <c r="AE147" s="17"/>
      <c r="AF147" s="17"/>
      <c r="AG147" s="17"/>
      <c r="AH147" s="17"/>
      <c r="AI147" s="19"/>
      <c r="AJ147" s="19"/>
      <c r="AK147" s="19"/>
      <c r="AL147" s="19"/>
      <c r="AM147" s="19"/>
      <c r="AN147" s="19"/>
      <c r="AO147" s="19"/>
      <c r="AP147" s="19"/>
      <c r="AQ147" s="19"/>
      <c r="AR147" s="19"/>
      <c r="AS147" s="19"/>
    </row>
    <row r="148" spans="2:45" s="2" customFormat="1">
      <c r="B148" s="22"/>
      <c r="C148" s="23"/>
      <c r="D148" s="24"/>
      <c r="E148" s="25"/>
      <c r="F148" s="26"/>
      <c r="G148" s="26"/>
      <c r="H148" s="26"/>
      <c r="I148" s="26"/>
      <c r="J148" s="26"/>
      <c r="K148" s="26"/>
      <c r="L148" s="26"/>
      <c r="M148" s="26"/>
      <c r="N148" s="26"/>
      <c r="O148" s="29"/>
      <c r="P148" s="26"/>
      <c r="Q148" s="26"/>
      <c r="R148" s="26"/>
      <c r="S148" s="26"/>
      <c r="T148" s="26"/>
      <c r="U148" s="26"/>
      <c r="V148" s="26"/>
      <c r="W148" s="26"/>
      <c r="X148" s="26"/>
      <c r="Y148" s="26"/>
      <c r="Z148" s="26"/>
      <c r="AA148" s="29"/>
      <c r="AB148" s="29"/>
      <c r="AC148" s="16"/>
      <c r="AD148" s="16"/>
      <c r="AE148" s="17"/>
      <c r="AF148" s="17"/>
      <c r="AG148" s="17"/>
      <c r="AH148" s="17"/>
      <c r="AI148" s="19"/>
      <c r="AJ148" s="19"/>
      <c r="AK148" s="19"/>
      <c r="AL148" s="19"/>
      <c r="AM148" s="19"/>
      <c r="AN148" s="19"/>
      <c r="AO148" s="19"/>
      <c r="AP148" s="19"/>
      <c r="AQ148" s="19"/>
      <c r="AR148" s="19"/>
      <c r="AS148" s="19"/>
    </row>
    <row r="149" spans="2:45" s="2" customFormat="1">
      <c r="B149" s="22"/>
      <c r="C149" s="23"/>
      <c r="D149" s="24"/>
      <c r="E149" s="25"/>
      <c r="F149" s="26"/>
      <c r="G149" s="26"/>
      <c r="H149" s="26"/>
      <c r="I149" s="26"/>
      <c r="J149" s="26"/>
      <c r="K149" s="26"/>
      <c r="L149" s="26"/>
      <c r="M149" s="26"/>
      <c r="N149" s="26"/>
      <c r="O149" s="29"/>
      <c r="P149" s="26"/>
      <c r="Q149" s="26"/>
      <c r="R149" s="26"/>
      <c r="S149" s="26"/>
      <c r="T149" s="26"/>
      <c r="U149" s="26"/>
      <c r="V149" s="26"/>
      <c r="W149" s="26"/>
      <c r="X149" s="26"/>
      <c r="Y149" s="26"/>
      <c r="Z149" s="26"/>
      <c r="AA149" s="29"/>
      <c r="AB149" s="29"/>
      <c r="AC149" s="16"/>
      <c r="AD149" s="16"/>
      <c r="AE149" s="17"/>
      <c r="AF149" s="17"/>
      <c r="AG149" s="17"/>
      <c r="AH149" s="17"/>
      <c r="AI149" s="19"/>
      <c r="AJ149" s="19"/>
      <c r="AK149" s="19"/>
      <c r="AL149" s="19"/>
      <c r="AM149" s="19"/>
      <c r="AN149" s="19"/>
      <c r="AO149" s="19"/>
      <c r="AP149" s="19"/>
      <c r="AQ149" s="19"/>
      <c r="AR149" s="19"/>
      <c r="AS149" s="19"/>
    </row>
    <row r="150" spans="2:45" s="2" customFormat="1">
      <c r="B150" s="22"/>
      <c r="C150" s="23"/>
      <c r="D150" s="24"/>
      <c r="E150" s="25"/>
      <c r="F150" s="26"/>
      <c r="G150" s="26"/>
      <c r="H150" s="26"/>
      <c r="I150" s="26"/>
      <c r="J150" s="26"/>
      <c r="K150" s="26"/>
      <c r="L150" s="26"/>
      <c r="M150" s="26"/>
      <c r="N150" s="26"/>
      <c r="O150" s="29"/>
      <c r="P150" s="26"/>
      <c r="Q150" s="26"/>
      <c r="R150" s="26"/>
      <c r="S150" s="26"/>
      <c r="T150" s="26"/>
      <c r="U150" s="26"/>
      <c r="V150" s="26"/>
      <c r="W150" s="26"/>
      <c r="X150" s="26"/>
      <c r="Y150" s="26"/>
      <c r="Z150" s="26"/>
      <c r="AA150" s="29"/>
      <c r="AB150" s="29"/>
      <c r="AC150" s="16"/>
      <c r="AD150" s="16"/>
      <c r="AE150" s="17"/>
      <c r="AF150" s="17"/>
      <c r="AG150" s="17"/>
      <c r="AH150" s="17"/>
      <c r="AI150" s="19"/>
      <c r="AJ150" s="19"/>
      <c r="AK150" s="19"/>
      <c r="AL150" s="19"/>
      <c r="AM150" s="19"/>
      <c r="AN150" s="19"/>
      <c r="AO150" s="19"/>
      <c r="AP150" s="19"/>
      <c r="AQ150" s="19"/>
      <c r="AR150" s="19"/>
      <c r="AS150" s="19"/>
    </row>
    <row r="151" spans="2:45" s="2" customFormat="1">
      <c r="B151" s="22"/>
      <c r="C151" s="23"/>
      <c r="D151" s="24"/>
      <c r="E151" s="25"/>
      <c r="F151" s="26"/>
      <c r="G151" s="26"/>
      <c r="H151" s="26"/>
      <c r="I151" s="26"/>
      <c r="J151" s="26"/>
      <c r="K151" s="26"/>
      <c r="L151" s="26"/>
      <c r="M151" s="26"/>
      <c r="N151" s="26"/>
      <c r="O151" s="29"/>
      <c r="P151" s="26"/>
      <c r="Q151" s="26"/>
      <c r="R151" s="26"/>
      <c r="S151" s="26"/>
      <c r="T151" s="26"/>
      <c r="U151" s="26"/>
      <c r="V151" s="26"/>
      <c r="W151" s="26"/>
      <c r="X151" s="26"/>
      <c r="Y151" s="26"/>
      <c r="Z151" s="26"/>
      <c r="AA151" s="29"/>
      <c r="AB151" s="29"/>
      <c r="AC151" s="16"/>
      <c r="AD151" s="16"/>
      <c r="AE151" s="17"/>
      <c r="AF151" s="17"/>
      <c r="AG151" s="17"/>
      <c r="AH151" s="17"/>
      <c r="AI151" s="19"/>
      <c r="AJ151" s="19"/>
      <c r="AK151" s="19"/>
      <c r="AL151" s="19"/>
      <c r="AM151" s="19"/>
      <c r="AN151" s="19"/>
      <c r="AO151" s="19"/>
      <c r="AP151" s="19"/>
      <c r="AQ151" s="19"/>
      <c r="AR151" s="19"/>
      <c r="AS151" s="19"/>
    </row>
    <row r="152" spans="2:45" s="2" customFormat="1">
      <c r="B152" s="22"/>
      <c r="C152" s="23"/>
      <c r="D152" s="24"/>
      <c r="E152" s="25"/>
      <c r="F152" s="26"/>
      <c r="G152" s="26"/>
      <c r="H152" s="26"/>
      <c r="I152" s="26"/>
      <c r="J152" s="26"/>
      <c r="K152" s="26"/>
      <c r="L152" s="26"/>
      <c r="M152" s="26"/>
      <c r="N152" s="26"/>
      <c r="O152" s="29"/>
      <c r="P152" s="26"/>
      <c r="Q152" s="26"/>
      <c r="R152" s="26"/>
      <c r="S152" s="26"/>
      <c r="T152" s="26"/>
      <c r="U152" s="26"/>
      <c r="V152" s="26"/>
      <c r="W152" s="26"/>
      <c r="X152" s="26"/>
      <c r="Y152" s="26"/>
      <c r="Z152" s="26"/>
      <c r="AA152" s="29"/>
      <c r="AB152" s="29"/>
      <c r="AC152" s="16"/>
      <c r="AD152" s="16"/>
      <c r="AE152" s="17"/>
      <c r="AF152" s="17"/>
      <c r="AG152" s="17"/>
      <c r="AH152" s="17"/>
      <c r="AI152" s="19"/>
      <c r="AJ152" s="19"/>
      <c r="AK152" s="19"/>
      <c r="AL152" s="19"/>
      <c r="AM152" s="19"/>
      <c r="AN152" s="19"/>
      <c r="AO152" s="19"/>
      <c r="AP152" s="19"/>
      <c r="AQ152" s="19"/>
      <c r="AR152" s="19"/>
      <c r="AS152" s="19"/>
    </row>
    <row r="153" spans="2:45" s="2" customFormat="1">
      <c r="B153" s="22"/>
      <c r="C153" s="23"/>
      <c r="D153" s="24"/>
      <c r="E153" s="25"/>
      <c r="F153" s="26"/>
      <c r="G153" s="26"/>
      <c r="H153" s="26"/>
      <c r="I153" s="26"/>
      <c r="J153" s="26"/>
      <c r="K153" s="26"/>
      <c r="L153" s="26"/>
      <c r="M153" s="26"/>
      <c r="N153" s="26"/>
      <c r="O153" s="29"/>
      <c r="P153" s="26"/>
      <c r="Q153" s="26"/>
      <c r="R153" s="26"/>
      <c r="S153" s="26"/>
      <c r="T153" s="26"/>
      <c r="U153" s="26"/>
      <c r="V153" s="26"/>
      <c r="W153" s="26"/>
      <c r="X153" s="26"/>
      <c r="Y153" s="26"/>
      <c r="Z153" s="26"/>
      <c r="AA153" s="29"/>
      <c r="AB153" s="29"/>
      <c r="AC153" s="16"/>
      <c r="AD153" s="16"/>
      <c r="AE153" s="17"/>
      <c r="AF153" s="17"/>
      <c r="AG153" s="17"/>
      <c r="AH153" s="17"/>
      <c r="AI153" s="19"/>
      <c r="AJ153" s="19"/>
      <c r="AK153" s="19"/>
      <c r="AL153" s="19"/>
      <c r="AM153" s="19"/>
      <c r="AN153" s="19"/>
      <c r="AO153" s="19"/>
      <c r="AP153" s="19"/>
      <c r="AQ153" s="19"/>
      <c r="AR153" s="19"/>
      <c r="AS153" s="19"/>
    </row>
    <row r="154" spans="2:45" s="2" customFormat="1">
      <c r="B154" s="22"/>
      <c r="C154" s="23"/>
      <c r="D154" s="24"/>
      <c r="E154" s="25"/>
      <c r="F154" s="26"/>
      <c r="G154" s="26"/>
      <c r="H154" s="26"/>
      <c r="I154" s="26"/>
      <c r="J154" s="26"/>
      <c r="K154" s="26"/>
      <c r="L154" s="26"/>
      <c r="M154" s="26"/>
      <c r="N154" s="26"/>
      <c r="O154" s="29"/>
      <c r="P154" s="26"/>
      <c r="Q154" s="26"/>
      <c r="R154" s="26"/>
      <c r="S154" s="26"/>
      <c r="T154" s="26"/>
      <c r="U154" s="26"/>
      <c r="V154" s="26"/>
      <c r="W154" s="26"/>
      <c r="X154" s="26"/>
      <c r="Y154" s="26"/>
      <c r="Z154" s="26"/>
      <c r="AA154" s="29"/>
      <c r="AB154" s="29"/>
      <c r="AC154" s="16"/>
      <c r="AD154" s="16"/>
      <c r="AE154" s="17"/>
      <c r="AF154" s="17"/>
      <c r="AG154" s="17"/>
      <c r="AH154" s="17"/>
      <c r="AI154" s="19"/>
      <c r="AJ154" s="19"/>
      <c r="AK154" s="19"/>
      <c r="AL154" s="19"/>
      <c r="AM154" s="19"/>
      <c r="AN154" s="19"/>
      <c r="AO154" s="19"/>
      <c r="AP154" s="19"/>
      <c r="AQ154" s="19"/>
      <c r="AR154" s="19"/>
      <c r="AS154" s="19"/>
    </row>
    <row r="155" spans="2:45" s="2" customFormat="1">
      <c r="B155" s="22"/>
      <c r="C155" s="23"/>
      <c r="D155" s="24"/>
      <c r="E155" s="25"/>
      <c r="F155" s="26"/>
      <c r="G155" s="26"/>
      <c r="H155" s="26"/>
      <c r="I155" s="26"/>
      <c r="J155" s="26"/>
      <c r="K155" s="26"/>
      <c r="L155" s="26"/>
      <c r="M155" s="26"/>
      <c r="N155" s="26"/>
      <c r="O155" s="29"/>
      <c r="P155" s="26"/>
      <c r="Q155" s="26"/>
      <c r="R155" s="26"/>
      <c r="S155" s="26"/>
      <c r="T155" s="26"/>
      <c r="U155" s="26"/>
      <c r="V155" s="26"/>
      <c r="W155" s="26"/>
      <c r="X155" s="26"/>
      <c r="Y155" s="26"/>
      <c r="Z155" s="26"/>
      <c r="AA155" s="29"/>
      <c r="AB155" s="29"/>
      <c r="AC155" s="16"/>
      <c r="AD155" s="16"/>
      <c r="AE155" s="17"/>
      <c r="AF155" s="17"/>
      <c r="AG155" s="17"/>
      <c r="AH155" s="17"/>
      <c r="AI155" s="19"/>
      <c r="AJ155" s="19"/>
      <c r="AK155" s="19"/>
      <c r="AL155" s="19"/>
      <c r="AM155" s="19"/>
      <c r="AN155" s="19"/>
      <c r="AO155" s="19"/>
      <c r="AP155" s="19"/>
      <c r="AQ155" s="19"/>
      <c r="AR155" s="19"/>
      <c r="AS155" s="19"/>
    </row>
    <row r="156" spans="2:45" s="2" customFormat="1">
      <c r="B156" s="22"/>
      <c r="C156" s="23"/>
      <c r="D156" s="24"/>
      <c r="E156" s="25"/>
      <c r="F156" s="26"/>
      <c r="G156" s="26"/>
      <c r="H156" s="26"/>
      <c r="I156" s="26"/>
      <c r="J156" s="26"/>
      <c r="K156" s="26"/>
      <c r="L156" s="26"/>
      <c r="M156" s="26"/>
      <c r="N156" s="26"/>
      <c r="O156" s="29"/>
      <c r="P156" s="26"/>
      <c r="Q156" s="26"/>
      <c r="R156" s="26"/>
      <c r="S156" s="26"/>
      <c r="T156" s="26"/>
      <c r="U156" s="26"/>
      <c r="V156" s="26"/>
      <c r="W156" s="26"/>
      <c r="X156" s="26"/>
      <c r="Y156" s="26"/>
      <c r="Z156" s="26"/>
      <c r="AA156" s="29"/>
      <c r="AB156" s="29"/>
      <c r="AC156" s="16"/>
      <c r="AD156" s="16"/>
      <c r="AE156" s="17"/>
      <c r="AF156" s="17"/>
      <c r="AG156" s="17"/>
      <c r="AH156" s="17"/>
      <c r="AI156" s="19"/>
      <c r="AJ156" s="19"/>
      <c r="AK156" s="19"/>
      <c r="AL156" s="19"/>
      <c r="AM156" s="19"/>
      <c r="AN156" s="19"/>
      <c r="AO156" s="19"/>
      <c r="AP156" s="19"/>
      <c r="AQ156" s="19"/>
      <c r="AR156" s="19"/>
      <c r="AS156" s="19"/>
    </row>
    <row r="157" spans="2:45" s="2" customFormat="1">
      <c r="B157" s="22"/>
      <c r="C157" s="23"/>
      <c r="D157" s="24"/>
      <c r="E157" s="25"/>
      <c r="F157" s="26"/>
      <c r="G157" s="26"/>
      <c r="H157" s="26"/>
      <c r="I157" s="26"/>
      <c r="J157" s="26"/>
      <c r="K157" s="26"/>
      <c r="L157" s="26"/>
      <c r="M157" s="26"/>
      <c r="N157" s="26"/>
      <c r="O157" s="29"/>
      <c r="P157" s="26"/>
      <c r="Q157" s="26"/>
      <c r="R157" s="26"/>
      <c r="S157" s="26"/>
      <c r="T157" s="26"/>
      <c r="U157" s="26"/>
      <c r="V157" s="26"/>
      <c r="W157" s="26"/>
      <c r="X157" s="26"/>
      <c r="Y157" s="26"/>
      <c r="Z157" s="26"/>
      <c r="AA157" s="29"/>
      <c r="AB157" s="29"/>
      <c r="AC157" s="16"/>
      <c r="AD157" s="16"/>
      <c r="AE157" s="17"/>
      <c r="AF157" s="17"/>
      <c r="AG157" s="17"/>
      <c r="AH157" s="17"/>
      <c r="AI157" s="19"/>
      <c r="AJ157" s="19"/>
      <c r="AK157" s="19"/>
      <c r="AL157" s="19"/>
      <c r="AM157" s="19"/>
      <c r="AN157" s="19"/>
      <c r="AO157" s="19"/>
      <c r="AP157" s="19"/>
      <c r="AQ157" s="19"/>
      <c r="AR157" s="19"/>
      <c r="AS157" s="19"/>
    </row>
    <row r="158" spans="2:45" s="2" customFormat="1">
      <c r="B158" s="22"/>
      <c r="C158" s="23"/>
      <c r="D158" s="24"/>
      <c r="E158" s="25"/>
      <c r="F158" s="26"/>
      <c r="G158" s="26"/>
      <c r="H158" s="26"/>
      <c r="I158" s="26"/>
      <c r="J158" s="26"/>
      <c r="K158" s="26"/>
      <c r="L158" s="26"/>
      <c r="M158" s="26"/>
      <c r="N158" s="26"/>
      <c r="O158" s="29"/>
      <c r="P158" s="26"/>
      <c r="Q158" s="26"/>
      <c r="R158" s="26"/>
      <c r="S158" s="26"/>
      <c r="T158" s="26"/>
      <c r="U158" s="26"/>
      <c r="V158" s="26"/>
      <c r="W158" s="26"/>
      <c r="X158" s="26"/>
      <c r="Y158" s="26"/>
      <c r="Z158" s="26"/>
      <c r="AA158" s="29"/>
      <c r="AB158" s="29"/>
      <c r="AC158" s="16"/>
      <c r="AD158" s="16"/>
      <c r="AE158" s="17"/>
      <c r="AF158" s="17"/>
      <c r="AG158" s="17"/>
      <c r="AH158" s="17"/>
      <c r="AI158" s="19"/>
      <c r="AJ158" s="19"/>
      <c r="AK158" s="19"/>
      <c r="AL158" s="19"/>
      <c r="AM158" s="19"/>
      <c r="AN158" s="19"/>
      <c r="AO158" s="19"/>
      <c r="AP158" s="19"/>
      <c r="AQ158" s="19"/>
      <c r="AR158" s="19"/>
      <c r="AS158" s="19"/>
    </row>
    <row r="159" spans="2:45" s="2" customFormat="1">
      <c r="B159" s="22"/>
      <c r="C159" s="23"/>
      <c r="D159" s="24"/>
      <c r="E159" s="25"/>
      <c r="F159" s="26"/>
      <c r="G159" s="26"/>
      <c r="H159" s="26"/>
      <c r="I159" s="26"/>
      <c r="J159" s="26"/>
      <c r="K159" s="26"/>
      <c r="L159" s="26"/>
      <c r="M159" s="26"/>
      <c r="N159" s="26"/>
      <c r="O159" s="29"/>
      <c r="P159" s="26"/>
      <c r="Q159" s="26"/>
      <c r="R159" s="26"/>
      <c r="S159" s="26"/>
      <c r="T159" s="26"/>
      <c r="U159" s="26"/>
      <c r="V159" s="26"/>
      <c r="W159" s="26"/>
      <c r="X159" s="26"/>
      <c r="Y159" s="26"/>
      <c r="Z159" s="26"/>
      <c r="AA159" s="29"/>
      <c r="AB159" s="29"/>
      <c r="AC159" s="16"/>
      <c r="AD159" s="16"/>
      <c r="AE159" s="17"/>
      <c r="AF159" s="17"/>
      <c r="AG159" s="17"/>
      <c r="AH159" s="17"/>
      <c r="AI159" s="19"/>
      <c r="AJ159" s="19"/>
      <c r="AK159" s="19"/>
      <c r="AL159" s="19"/>
      <c r="AM159" s="19"/>
      <c r="AN159" s="19"/>
      <c r="AO159" s="19"/>
      <c r="AP159" s="19"/>
      <c r="AQ159" s="19"/>
      <c r="AR159" s="19"/>
      <c r="AS159" s="19"/>
    </row>
    <row r="160" spans="2:45" s="2" customFormat="1">
      <c r="B160" s="22"/>
      <c r="C160" s="23"/>
      <c r="D160" s="24"/>
      <c r="E160" s="25"/>
      <c r="F160" s="26"/>
      <c r="G160" s="26"/>
      <c r="H160" s="26"/>
      <c r="I160" s="26"/>
      <c r="J160" s="26"/>
      <c r="K160" s="26"/>
      <c r="L160" s="26"/>
      <c r="M160" s="26"/>
      <c r="N160" s="26"/>
      <c r="O160" s="29"/>
      <c r="P160" s="26"/>
      <c r="Q160" s="26"/>
      <c r="R160" s="26"/>
      <c r="S160" s="26"/>
      <c r="T160" s="26"/>
      <c r="U160" s="26"/>
      <c r="V160" s="26"/>
      <c r="W160" s="26"/>
      <c r="X160" s="26"/>
      <c r="Y160" s="26"/>
      <c r="Z160" s="26"/>
      <c r="AA160" s="29"/>
      <c r="AB160" s="29"/>
      <c r="AC160" s="16"/>
      <c r="AD160" s="16"/>
      <c r="AE160" s="17"/>
      <c r="AF160" s="17"/>
      <c r="AG160" s="17"/>
      <c r="AH160" s="17"/>
      <c r="AI160" s="19"/>
      <c r="AJ160" s="19"/>
      <c r="AK160" s="19"/>
      <c r="AL160" s="19"/>
      <c r="AM160" s="19"/>
      <c r="AN160" s="19"/>
      <c r="AO160" s="19"/>
      <c r="AP160" s="19"/>
      <c r="AQ160" s="19"/>
      <c r="AR160" s="19"/>
      <c r="AS160" s="19"/>
    </row>
    <row r="161" spans="2:45" s="2" customFormat="1">
      <c r="B161" s="22"/>
      <c r="C161" s="23"/>
      <c r="D161" s="24"/>
      <c r="E161" s="25"/>
      <c r="F161" s="26"/>
      <c r="G161" s="26"/>
      <c r="H161" s="26"/>
      <c r="I161" s="26"/>
      <c r="J161" s="26"/>
      <c r="K161" s="26"/>
      <c r="L161" s="26"/>
      <c r="M161" s="26"/>
      <c r="N161" s="26"/>
      <c r="O161" s="29"/>
      <c r="P161" s="26"/>
      <c r="Q161" s="26"/>
      <c r="R161" s="26"/>
      <c r="S161" s="26"/>
      <c r="T161" s="26"/>
      <c r="U161" s="26"/>
      <c r="V161" s="26"/>
      <c r="W161" s="26"/>
      <c r="X161" s="26"/>
      <c r="Y161" s="26"/>
      <c r="Z161" s="26"/>
      <c r="AA161" s="29"/>
      <c r="AB161" s="29"/>
      <c r="AC161" s="16"/>
      <c r="AD161" s="16"/>
      <c r="AE161" s="17"/>
      <c r="AF161" s="17"/>
      <c r="AG161" s="17"/>
      <c r="AH161" s="17"/>
      <c r="AI161" s="19"/>
      <c r="AJ161" s="19"/>
      <c r="AK161" s="19"/>
      <c r="AL161" s="19"/>
      <c r="AM161" s="19"/>
      <c r="AN161" s="19"/>
      <c r="AO161" s="19"/>
      <c r="AP161" s="19"/>
      <c r="AQ161" s="19"/>
      <c r="AR161" s="19"/>
      <c r="AS161" s="19"/>
    </row>
    <row r="162" spans="2:45" s="2" customFormat="1">
      <c r="B162" s="22"/>
      <c r="C162" s="23"/>
      <c r="D162" s="24"/>
      <c r="E162" s="25"/>
      <c r="F162" s="26"/>
      <c r="G162" s="26"/>
      <c r="H162" s="26"/>
      <c r="I162" s="26"/>
      <c r="J162" s="26"/>
      <c r="K162" s="26"/>
      <c r="L162" s="26"/>
      <c r="M162" s="26"/>
      <c r="N162" s="26"/>
      <c r="O162" s="29"/>
      <c r="P162" s="26"/>
      <c r="Q162" s="26"/>
      <c r="R162" s="26"/>
      <c r="S162" s="26"/>
      <c r="T162" s="26"/>
      <c r="U162" s="26"/>
      <c r="V162" s="26"/>
      <c r="W162" s="26"/>
      <c r="X162" s="26"/>
      <c r="Y162" s="26"/>
      <c r="Z162" s="26"/>
      <c r="AA162" s="29"/>
      <c r="AB162" s="29"/>
      <c r="AC162" s="16"/>
      <c r="AD162" s="16"/>
      <c r="AE162" s="17"/>
      <c r="AF162" s="17"/>
      <c r="AG162" s="17"/>
      <c r="AH162" s="17"/>
      <c r="AI162" s="19"/>
      <c r="AJ162" s="19"/>
      <c r="AK162" s="19"/>
      <c r="AL162" s="19"/>
      <c r="AM162" s="19"/>
      <c r="AN162" s="19"/>
      <c r="AO162" s="19"/>
      <c r="AP162" s="19"/>
      <c r="AQ162" s="19"/>
      <c r="AR162" s="19"/>
      <c r="AS162" s="19"/>
    </row>
    <row r="163" spans="2:45" s="2" customFormat="1">
      <c r="B163" s="22"/>
      <c r="C163" s="23"/>
      <c r="D163" s="24"/>
      <c r="E163" s="25"/>
      <c r="F163" s="26"/>
      <c r="G163" s="26"/>
      <c r="H163" s="26"/>
      <c r="I163" s="26"/>
      <c r="J163" s="26"/>
      <c r="K163" s="26"/>
      <c r="L163" s="26"/>
      <c r="M163" s="26"/>
      <c r="N163" s="26"/>
      <c r="O163" s="29"/>
      <c r="P163" s="26"/>
      <c r="Q163" s="26"/>
      <c r="R163" s="26"/>
      <c r="S163" s="26"/>
      <c r="T163" s="26"/>
      <c r="U163" s="26"/>
      <c r="V163" s="26"/>
      <c r="W163" s="26"/>
      <c r="X163" s="26"/>
      <c r="Y163" s="26"/>
      <c r="Z163" s="26"/>
      <c r="AA163" s="29"/>
      <c r="AB163" s="29"/>
      <c r="AC163" s="16"/>
      <c r="AD163" s="16"/>
      <c r="AE163" s="17"/>
      <c r="AF163" s="17"/>
      <c r="AG163" s="17"/>
      <c r="AH163" s="17"/>
      <c r="AI163" s="19"/>
      <c r="AJ163" s="19"/>
      <c r="AK163" s="19"/>
      <c r="AL163" s="19"/>
      <c r="AM163" s="19"/>
      <c r="AN163" s="19"/>
      <c r="AO163" s="19"/>
      <c r="AP163" s="19"/>
      <c r="AQ163" s="19"/>
      <c r="AR163" s="19"/>
      <c r="AS163" s="19"/>
    </row>
    <row r="164" spans="2:45" s="2" customFormat="1">
      <c r="B164" s="22"/>
      <c r="C164" s="23"/>
      <c r="D164" s="24"/>
      <c r="E164" s="25"/>
      <c r="F164" s="26"/>
      <c r="G164" s="26"/>
      <c r="H164" s="26"/>
      <c r="I164" s="26"/>
      <c r="J164" s="26"/>
      <c r="K164" s="26"/>
      <c r="L164" s="26"/>
      <c r="M164" s="26"/>
      <c r="N164" s="26"/>
      <c r="O164" s="29"/>
      <c r="P164" s="26"/>
      <c r="Q164" s="26"/>
      <c r="R164" s="26"/>
      <c r="S164" s="26"/>
      <c r="T164" s="26"/>
      <c r="U164" s="26"/>
      <c r="V164" s="26"/>
      <c r="W164" s="26"/>
      <c r="X164" s="26"/>
      <c r="Y164" s="26"/>
      <c r="Z164" s="26"/>
      <c r="AA164" s="29"/>
      <c r="AB164" s="29"/>
      <c r="AC164" s="16"/>
      <c r="AD164" s="16"/>
      <c r="AE164" s="17"/>
      <c r="AF164" s="17"/>
      <c r="AG164" s="17"/>
      <c r="AH164" s="17"/>
      <c r="AI164" s="19"/>
      <c r="AJ164" s="19"/>
      <c r="AK164" s="19"/>
      <c r="AL164" s="19"/>
      <c r="AM164" s="19"/>
      <c r="AN164" s="19"/>
      <c r="AO164" s="19"/>
      <c r="AP164" s="19"/>
      <c r="AQ164" s="19"/>
      <c r="AR164" s="19"/>
      <c r="AS164" s="19"/>
    </row>
    <row r="165" spans="2:45" s="2" customFormat="1">
      <c r="B165" s="22"/>
      <c r="C165" s="23"/>
      <c r="D165" s="24"/>
      <c r="E165" s="25"/>
      <c r="F165" s="26"/>
      <c r="G165" s="26"/>
      <c r="H165" s="26"/>
      <c r="I165" s="26"/>
      <c r="J165" s="26"/>
      <c r="K165" s="26"/>
      <c r="L165" s="26"/>
      <c r="M165" s="26"/>
      <c r="N165" s="26"/>
      <c r="O165" s="29"/>
      <c r="P165" s="26"/>
      <c r="Q165" s="26"/>
      <c r="R165" s="26"/>
      <c r="S165" s="26"/>
      <c r="T165" s="26"/>
      <c r="U165" s="26"/>
      <c r="V165" s="26"/>
      <c r="W165" s="26"/>
      <c r="X165" s="26"/>
      <c r="Y165" s="26"/>
      <c r="Z165" s="26"/>
      <c r="AA165" s="29"/>
      <c r="AB165" s="29"/>
      <c r="AC165" s="16"/>
      <c r="AD165" s="16"/>
      <c r="AE165" s="17"/>
      <c r="AF165" s="17"/>
      <c r="AG165" s="17"/>
      <c r="AH165" s="17"/>
      <c r="AI165" s="19"/>
      <c r="AJ165" s="19"/>
      <c r="AK165" s="19"/>
      <c r="AL165" s="19"/>
      <c r="AM165" s="19"/>
      <c r="AN165" s="19"/>
      <c r="AO165" s="19"/>
      <c r="AP165" s="19"/>
      <c r="AQ165" s="19"/>
      <c r="AR165" s="19"/>
      <c r="AS165" s="19"/>
    </row>
    <row r="166" spans="2:45" s="2" customFormat="1">
      <c r="B166" s="22"/>
      <c r="C166" s="23"/>
      <c r="D166" s="24"/>
      <c r="E166" s="25"/>
      <c r="F166" s="26"/>
      <c r="G166" s="26"/>
      <c r="H166" s="26"/>
      <c r="I166" s="26"/>
      <c r="J166" s="26"/>
      <c r="K166" s="26"/>
      <c r="L166" s="26"/>
      <c r="M166" s="26"/>
      <c r="N166" s="26"/>
      <c r="O166" s="29"/>
      <c r="P166" s="26"/>
      <c r="Q166" s="26"/>
      <c r="R166" s="26"/>
      <c r="S166" s="26"/>
      <c r="T166" s="26"/>
      <c r="U166" s="26"/>
      <c r="V166" s="26"/>
      <c r="W166" s="26"/>
      <c r="X166" s="26"/>
      <c r="Y166" s="26"/>
      <c r="Z166" s="26"/>
      <c r="AA166" s="29"/>
      <c r="AB166" s="29"/>
      <c r="AC166" s="16"/>
      <c r="AD166" s="16"/>
      <c r="AE166" s="17"/>
      <c r="AF166" s="17"/>
      <c r="AG166" s="17"/>
      <c r="AH166" s="17"/>
      <c r="AI166" s="19"/>
      <c r="AJ166" s="19"/>
      <c r="AK166" s="19"/>
      <c r="AL166" s="19"/>
      <c r="AM166" s="19"/>
      <c r="AN166" s="19"/>
      <c r="AO166" s="19"/>
      <c r="AP166" s="19"/>
      <c r="AQ166" s="19"/>
      <c r="AR166" s="19"/>
      <c r="AS166" s="19"/>
    </row>
    <row r="167" spans="2:45" s="2" customFormat="1">
      <c r="B167" s="22"/>
      <c r="C167" s="23"/>
      <c r="D167" s="24"/>
      <c r="E167" s="25"/>
      <c r="F167" s="26"/>
      <c r="G167" s="26"/>
      <c r="H167" s="26"/>
      <c r="I167" s="26"/>
      <c r="J167" s="26"/>
      <c r="K167" s="26"/>
      <c r="L167" s="26"/>
      <c r="M167" s="26"/>
      <c r="N167" s="26"/>
      <c r="O167" s="29"/>
      <c r="P167" s="26"/>
      <c r="Q167" s="26"/>
      <c r="R167" s="26"/>
      <c r="S167" s="26"/>
      <c r="T167" s="26"/>
      <c r="U167" s="26"/>
      <c r="V167" s="26"/>
      <c r="W167" s="26"/>
      <c r="X167" s="26"/>
      <c r="Y167" s="26"/>
      <c r="Z167" s="26"/>
      <c r="AA167" s="29"/>
      <c r="AB167" s="29"/>
      <c r="AC167" s="16"/>
      <c r="AD167" s="16"/>
      <c r="AE167" s="17"/>
      <c r="AF167" s="17"/>
      <c r="AG167" s="17"/>
      <c r="AH167" s="17"/>
      <c r="AI167" s="19"/>
      <c r="AJ167" s="19"/>
      <c r="AK167" s="19"/>
      <c r="AL167" s="19"/>
      <c r="AM167" s="19"/>
      <c r="AN167" s="19"/>
      <c r="AO167" s="19"/>
      <c r="AP167" s="19"/>
      <c r="AQ167" s="19"/>
      <c r="AR167" s="19"/>
      <c r="AS167" s="19"/>
    </row>
    <row r="168" spans="2:45" s="2" customFormat="1">
      <c r="B168" s="22"/>
      <c r="C168" s="23"/>
      <c r="D168" s="24"/>
      <c r="E168" s="25"/>
      <c r="F168" s="26"/>
      <c r="G168" s="26"/>
      <c r="H168" s="26"/>
      <c r="I168" s="26"/>
      <c r="J168" s="26"/>
      <c r="K168" s="26"/>
      <c r="L168" s="26"/>
      <c r="M168" s="26"/>
      <c r="N168" s="26"/>
      <c r="O168" s="29"/>
      <c r="P168" s="26"/>
      <c r="Q168" s="26"/>
      <c r="R168" s="26"/>
      <c r="S168" s="26"/>
      <c r="T168" s="26"/>
      <c r="U168" s="26"/>
      <c r="V168" s="26"/>
      <c r="W168" s="26"/>
      <c r="X168" s="26"/>
      <c r="Y168" s="26"/>
      <c r="Z168" s="26"/>
      <c r="AA168" s="29"/>
      <c r="AB168" s="29"/>
      <c r="AC168" s="16"/>
      <c r="AD168" s="16"/>
      <c r="AE168" s="17"/>
      <c r="AF168" s="17"/>
      <c r="AG168" s="17"/>
      <c r="AH168" s="17"/>
      <c r="AI168" s="19"/>
      <c r="AJ168" s="19"/>
      <c r="AK168" s="19"/>
      <c r="AL168" s="19"/>
      <c r="AM168" s="19"/>
      <c r="AN168" s="19"/>
      <c r="AO168" s="19"/>
      <c r="AP168" s="19"/>
      <c r="AQ168" s="19"/>
      <c r="AR168" s="19"/>
      <c r="AS168" s="19"/>
    </row>
    <row r="169" spans="2:45" s="2" customFormat="1">
      <c r="B169" s="22"/>
      <c r="C169" s="23"/>
      <c r="D169" s="24"/>
      <c r="E169" s="25"/>
      <c r="F169" s="26"/>
      <c r="G169" s="26"/>
      <c r="H169" s="26"/>
      <c r="I169" s="26"/>
      <c r="J169" s="26"/>
      <c r="K169" s="26"/>
      <c r="L169" s="26"/>
      <c r="M169" s="26"/>
      <c r="N169" s="26"/>
      <c r="O169" s="29"/>
      <c r="P169" s="26"/>
      <c r="Q169" s="26"/>
      <c r="R169" s="26"/>
      <c r="S169" s="26"/>
      <c r="T169" s="26"/>
      <c r="U169" s="26"/>
      <c r="V169" s="26"/>
      <c r="W169" s="26"/>
      <c r="X169" s="26"/>
      <c r="Y169" s="26"/>
      <c r="Z169" s="26"/>
      <c r="AA169" s="29"/>
      <c r="AB169" s="29"/>
      <c r="AC169" s="16"/>
      <c r="AD169" s="16"/>
      <c r="AE169" s="17"/>
      <c r="AF169" s="17"/>
      <c r="AG169" s="17"/>
      <c r="AH169" s="17"/>
      <c r="AI169" s="19"/>
      <c r="AJ169" s="19"/>
      <c r="AK169" s="19"/>
      <c r="AL169" s="19"/>
      <c r="AM169" s="19"/>
      <c r="AN169" s="19"/>
      <c r="AO169" s="19"/>
      <c r="AP169" s="19"/>
      <c r="AQ169" s="19"/>
      <c r="AR169" s="19"/>
      <c r="AS169" s="19"/>
    </row>
    <row r="170" spans="2:45" s="2" customFormat="1">
      <c r="B170" s="22"/>
      <c r="C170" s="23"/>
      <c r="D170" s="24"/>
      <c r="E170" s="25"/>
      <c r="F170" s="26"/>
      <c r="G170" s="26"/>
      <c r="H170" s="26"/>
      <c r="I170" s="26"/>
      <c r="J170" s="26"/>
      <c r="K170" s="26"/>
      <c r="L170" s="26"/>
      <c r="M170" s="26"/>
      <c r="N170" s="26"/>
      <c r="O170" s="29"/>
      <c r="P170" s="26"/>
      <c r="Q170" s="26"/>
      <c r="R170" s="26"/>
      <c r="S170" s="26"/>
      <c r="T170" s="26"/>
      <c r="U170" s="26"/>
      <c r="V170" s="26"/>
      <c r="W170" s="26"/>
      <c r="X170" s="26"/>
      <c r="Y170" s="26"/>
      <c r="Z170" s="26"/>
      <c r="AA170" s="29"/>
      <c r="AB170" s="29"/>
      <c r="AC170" s="16"/>
      <c r="AD170" s="16"/>
      <c r="AE170" s="17"/>
      <c r="AF170" s="17"/>
      <c r="AG170" s="17"/>
      <c r="AH170" s="17"/>
      <c r="AI170" s="19"/>
      <c r="AJ170" s="19"/>
      <c r="AK170" s="19"/>
      <c r="AL170" s="19"/>
      <c r="AM170" s="19"/>
      <c r="AN170" s="19"/>
      <c r="AO170" s="19"/>
      <c r="AP170" s="19"/>
      <c r="AQ170" s="19"/>
      <c r="AR170" s="19"/>
      <c r="AS170" s="19"/>
    </row>
    <row r="171" spans="2:45" s="2" customFormat="1">
      <c r="B171" s="22"/>
      <c r="C171" s="23"/>
      <c r="D171" s="24"/>
      <c r="E171" s="25"/>
      <c r="F171" s="26"/>
      <c r="G171" s="26"/>
      <c r="H171" s="26"/>
      <c r="I171" s="26"/>
      <c r="J171" s="26"/>
      <c r="K171" s="26"/>
      <c r="L171" s="26"/>
      <c r="M171" s="26"/>
      <c r="N171" s="26"/>
      <c r="O171" s="29"/>
      <c r="P171" s="26"/>
      <c r="Q171" s="26"/>
      <c r="R171" s="26"/>
      <c r="S171" s="26"/>
      <c r="T171" s="26"/>
      <c r="U171" s="26"/>
      <c r="V171" s="26"/>
      <c r="W171" s="26"/>
      <c r="X171" s="26"/>
      <c r="Y171" s="26"/>
      <c r="Z171" s="26"/>
      <c r="AA171" s="29"/>
      <c r="AB171" s="29"/>
      <c r="AC171" s="16"/>
      <c r="AD171" s="16"/>
      <c r="AE171" s="17"/>
      <c r="AF171" s="17"/>
      <c r="AG171" s="17"/>
      <c r="AH171" s="17"/>
      <c r="AI171" s="19"/>
      <c r="AJ171" s="19"/>
      <c r="AK171" s="19"/>
      <c r="AL171" s="19"/>
      <c r="AM171" s="19"/>
      <c r="AN171" s="19"/>
      <c r="AO171" s="19"/>
      <c r="AP171" s="19"/>
      <c r="AQ171" s="19"/>
      <c r="AR171" s="19"/>
      <c r="AS171" s="19"/>
    </row>
    <row r="172" spans="2:45" s="2" customFormat="1">
      <c r="B172" s="22"/>
      <c r="C172" s="23"/>
      <c r="D172" s="24"/>
      <c r="E172" s="25"/>
      <c r="F172" s="26"/>
      <c r="G172" s="26"/>
      <c r="H172" s="26"/>
      <c r="I172" s="26"/>
      <c r="J172" s="26"/>
      <c r="K172" s="26"/>
      <c r="L172" s="26"/>
      <c r="M172" s="26"/>
      <c r="N172" s="26"/>
      <c r="O172" s="29"/>
      <c r="P172" s="26"/>
      <c r="Q172" s="26"/>
      <c r="R172" s="26"/>
      <c r="S172" s="26"/>
      <c r="T172" s="26"/>
      <c r="U172" s="26"/>
      <c r="V172" s="26"/>
      <c r="W172" s="26"/>
      <c r="X172" s="26"/>
      <c r="Y172" s="26"/>
      <c r="Z172" s="26"/>
      <c r="AA172" s="29"/>
      <c r="AB172" s="29"/>
      <c r="AC172" s="16"/>
      <c r="AD172" s="16"/>
      <c r="AE172" s="17"/>
      <c r="AF172" s="17"/>
      <c r="AG172" s="17"/>
      <c r="AH172" s="17"/>
      <c r="AI172" s="19"/>
      <c r="AJ172" s="19"/>
      <c r="AK172" s="19"/>
      <c r="AL172" s="19"/>
      <c r="AM172" s="19"/>
      <c r="AN172" s="19"/>
      <c r="AO172" s="19"/>
      <c r="AP172" s="19"/>
      <c r="AQ172" s="19"/>
      <c r="AR172" s="19"/>
      <c r="AS172" s="19"/>
    </row>
    <row r="173" spans="2:45" s="2" customFormat="1">
      <c r="B173" s="22"/>
      <c r="C173" s="23"/>
      <c r="D173" s="24"/>
      <c r="E173" s="25"/>
      <c r="F173" s="26"/>
      <c r="G173" s="26"/>
      <c r="H173" s="26"/>
      <c r="I173" s="26"/>
      <c r="J173" s="26"/>
      <c r="K173" s="26"/>
      <c r="L173" s="26"/>
      <c r="M173" s="26"/>
      <c r="N173" s="26"/>
      <c r="O173" s="29"/>
      <c r="P173" s="26"/>
      <c r="Q173" s="26"/>
      <c r="R173" s="26"/>
      <c r="S173" s="26"/>
      <c r="T173" s="26"/>
      <c r="U173" s="26"/>
      <c r="V173" s="26"/>
      <c r="W173" s="26"/>
      <c r="X173" s="26"/>
      <c r="Y173" s="26"/>
      <c r="Z173" s="26"/>
      <c r="AA173" s="29"/>
      <c r="AB173" s="29"/>
      <c r="AC173" s="16"/>
      <c r="AD173" s="16"/>
      <c r="AE173" s="17"/>
      <c r="AF173" s="17"/>
      <c r="AG173" s="17"/>
      <c r="AH173" s="17"/>
      <c r="AI173" s="19"/>
      <c r="AJ173" s="19"/>
      <c r="AK173" s="19"/>
      <c r="AL173" s="19"/>
      <c r="AM173" s="19"/>
      <c r="AN173" s="19"/>
      <c r="AO173" s="19"/>
      <c r="AP173" s="19"/>
      <c r="AQ173" s="19"/>
      <c r="AR173" s="19"/>
      <c r="AS173" s="19"/>
    </row>
    <row r="174" spans="2:45" s="2" customFormat="1">
      <c r="B174" s="22"/>
      <c r="C174" s="23"/>
      <c r="D174" s="24"/>
      <c r="E174" s="25"/>
      <c r="F174" s="26"/>
      <c r="G174" s="26"/>
      <c r="H174" s="26"/>
      <c r="I174" s="26"/>
      <c r="J174" s="26"/>
      <c r="K174" s="26"/>
      <c r="L174" s="26"/>
      <c r="M174" s="26"/>
      <c r="N174" s="26"/>
      <c r="O174" s="29"/>
      <c r="P174" s="26"/>
      <c r="Q174" s="26"/>
      <c r="R174" s="26"/>
      <c r="S174" s="26"/>
      <c r="T174" s="26"/>
      <c r="U174" s="26"/>
      <c r="V174" s="26"/>
      <c r="W174" s="26"/>
      <c r="X174" s="26"/>
      <c r="Y174" s="26"/>
      <c r="Z174" s="26"/>
      <c r="AA174" s="29"/>
      <c r="AB174" s="29"/>
      <c r="AC174" s="16"/>
      <c r="AD174" s="16"/>
      <c r="AE174" s="17"/>
      <c r="AF174" s="17"/>
      <c r="AG174" s="17"/>
      <c r="AH174" s="17"/>
      <c r="AI174" s="19"/>
      <c r="AJ174" s="19"/>
      <c r="AK174" s="19"/>
      <c r="AL174" s="19"/>
      <c r="AM174" s="19"/>
      <c r="AN174" s="19"/>
      <c r="AO174" s="19"/>
      <c r="AP174" s="19"/>
      <c r="AQ174" s="19"/>
      <c r="AR174" s="19"/>
      <c r="AS174" s="19"/>
    </row>
    <row r="175" spans="2:45" s="2" customFormat="1">
      <c r="B175" s="22"/>
      <c r="C175" s="23"/>
      <c r="D175" s="24"/>
      <c r="E175" s="25"/>
      <c r="F175" s="26"/>
      <c r="G175" s="26"/>
      <c r="H175" s="26"/>
      <c r="I175" s="26"/>
      <c r="J175" s="26"/>
      <c r="K175" s="26"/>
      <c r="L175" s="26"/>
      <c r="M175" s="26"/>
      <c r="N175" s="26"/>
      <c r="O175" s="29"/>
      <c r="P175" s="26"/>
      <c r="Q175" s="26"/>
      <c r="R175" s="26"/>
      <c r="S175" s="26"/>
      <c r="T175" s="26"/>
      <c r="U175" s="26"/>
      <c r="V175" s="26"/>
      <c r="W175" s="26"/>
      <c r="X175" s="26"/>
      <c r="Y175" s="26"/>
      <c r="Z175" s="26"/>
      <c r="AA175" s="29"/>
      <c r="AB175" s="29"/>
      <c r="AC175" s="16"/>
      <c r="AD175" s="16"/>
      <c r="AE175" s="17"/>
      <c r="AF175" s="17"/>
      <c r="AG175" s="17"/>
      <c r="AH175" s="17"/>
      <c r="AI175" s="19"/>
      <c r="AJ175" s="19"/>
      <c r="AK175" s="19"/>
      <c r="AL175" s="19"/>
      <c r="AM175" s="19"/>
      <c r="AN175" s="19"/>
      <c r="AO175" s="19"/>
      <c r="AP175" s="19"/>
      <c r="AQ175" s="19"/>
      <c r="AR175" s="19"/>
      <c r="AS175" s="19"/>
    </row>
    <row r="176" spans="2:45" s="2" customFormat="1">
      <c r="B176" s="22"/>
      <c r="C176" s="23"/>
      <c r="D176" s="24"/>
      <c r="E176" s="25"/>
      <c r="F176" s="26"/>
      <c r="G176" s="26"/>
      <c r="H176" s="26"/>
      <c r="I176" s="26"/>
      <c r="J176" s="26"/>
      <c r="K176" s="26"/>
      <c r="L176" s="26"/>
      <c r="M176" s="26"/>
      <c r="N176" s="26"/>
      <c r="O176" s="29"/>
      <c r="P176" s="26"/>
      <c r="Q176" s="26"/>
      <c r="R176" s="26"/>
      <c r="S176" s="26"/>
      <c r="T176" s="26"/>
      <c r="U176" s="26"/>
      <c r="V176" s="26"/>
      <c r="W176" s="26"/>
      <c r="X176" s="26"/>
      <c r="Y176" s="26"/>
      <c r="Z176" s="26"/>
      <c r="AA176" s="29"/>
      <c r="AB176" s="29"/>
      <c r="AC176" s="16"/>
      <c r="AD176" s="16"/>
      <c r="AE176" s="17"/>
      <c r="AF176" s="17"/>
      <c r="AG176" s="17"/>
      <c r="AH176" s="17"/>
      <c r="AI176" s="19"/>
      <c r="AJ176" s="19"/>
      <c r="AK176" s="19"/>
      <c r="AL176" s="19"/>
      <c r="AM176" s="19"/>
      <c r="AN176" s="19"/>
      <c r="AO176" s="19"/>
      <c r="AP176" s="19"/>
      <c r="AQ176" s="19"/>
      <c r="AR176" s="19"/>
      <c r="AS176" s="19"/>
    </row>
    <row r="177" spans="2:45" s="2" customFormat="1">
      <c r="B177" s="22"/>
      <c r="C177" s="23"/>
      <c r="D177" s="24"/>
      <c r="E177" s="25"/>
      <c r="F177" s="26"/>
      <c r="G177" s="26"/>
      <c r="H177" s="26"/>
      <c r="I177" s="26"/>
      <c r="J177" s="26"/>
      <c r="K177" s="26"/>
      <c r="L177" s="26"/>
      <c r="M177" s="26"/>
      <c r="N177" s="26"/>
      <c r="O177" s="29"/>
      <c r="P177" s="26"/>
      <c r="Q177" s="26"/>
      <c r="R177" s="26"/>
      <c r="S177" s="26"/>
      <c r="T177" s="26"/>
      <c r="U177" s="26"/>
      <c r="V177" s="26"/>
      <c r="W177" s="26"/>
      <c r="X177" s="26"/>
      <c r="Y177" s="26"/>
      <c r="Z177" s="26"/>
      <c r="AA177" s="29"/>
      <c r="AB177" s="29"/>
      <c r="AC177" s="16"/>
      <c r="AD177" s="16"/>
      <c r="AE177" s="17"/>
      <c r="AF177" s="17"/>
      <c r="AG177" s="17"/>
      <c r="AH177" s="17"/>
      <c r="AI177" s="19"/>
      <c r="AJ177" s="19"/>
      <c r="AK177" s="19"/>
      <c r="AL177" s="19"/>
      <c r="AM177" s="19"/>
      <c r="AN177" s="19"/>
      <c r="AO177" s="19"/>
      <c r="AP177" s="19"/>
      <c r="AQ177" s="19"/>
      <c r="AR177" s="19"/>
      <c r="AS177" s="19"/>
    </row>
    <row r="178" spans="2:45" s="2" customFormat="1">
      <c r="B178" s="22"/>
      <c r="C178" s="23"/>
      <c r="D178" s="24"/>
      <c r="E178" s="25"/>
      <c r="F178" s="26"/>
      <c r="G178" s="26"/>
      <c r="H178" s="26"/>
      <c r="I178" s="26"/>
      <c r="J178" s="26"/>
      <c r="K178" s="26"/>
      <c r="L178" s="26"/>
      <c r="M178" s="26"/>
      <c r="N178" s="26"/>
      <c r="O178" s="29"/>
      <c r="P178" s="26"/>
      <c r="Q178" s="26"/>
      <c r="R178" s="26"/>
      <c r="S178" s="26"/>
      <c r="T178" s="26"/>
      <c r="U178" s="26"/>
      <c r="V178" s="26"/>
      <c r="W178" s="26"/>
      <c r="X178" s="26"/>
      <c r="Y178" s="26"/>
      <c r="Z178" s="26"/>
      <c r="AA178" s="29"/>
      <c r="AB178" s="29"/>
      <c r="AC178" s="16"/>
      <c r="AD178" s="16"/>
      <c r="AE178" s="17"/>
      <c r="AF178" s="17"/>
      <c r="AG178" s="17"/>
      <c r="AH178" s="17"/>
      <c r="AI178" s="19"/>
      <c r="AJ178" s="19"/>
      <c r="AK178" s="19"/>
      <c r="AL178" s="19"/>
      <c r="AM178" s="19"/>
      <c r="AN178" s="19"/>
      <c r="AO178" s="19"/>
      <c r="AP178" s="19"/>
      <c r="AQ178" s="19"/>
      <c r="AR178" s="19"/>
      <c r="AS178" s="19"/>
    </row>
    <row r="179" spans="2:45" s="2" customFormat="1">
      <c r="B179" s="22"/>
      <c r="C179" s="23"/>
      <c r="D179" s="24"/>
      <c r="E179" s="25"/>
      <c r="F179" s="26"/>
      <c r="G179" s="26"/>
      <c r="H179" s="26"/>
      <c r="I179" s="26"/>
      <c r="J179" s="26"/>
      <c r="K179" s="26"/>
      <c r="L179" s="26"/>
      <c r="M179" s="26"/>
      <c r="N179" s="26"/>
      <c r="O179" s="29"/>
      <c r="P179" s="26"/>
      <c r="Q179" s="26"/>
      <c r="R179" s="26"/>
      <c r="S179" s="26"/>
      <c r="T179" s="26"/>
      <c r="U179" s="26"/>
      <c r="V179" s="26"/>
      <c r="W179" s="26"/>
      <c r="X179" s="26"/>
      <c r="Y179" s="26"/>
      <c r="Z179" s="26"/>
      <c r="AA179" s="29"/>
      <c r="AB179" s="29"/>
      <c r="AC179" s="16"/>
      <c r="AD179" s="16"/>
      <c r="AE179" s="17"/>
      <c r="AF179" s="17"/>
      <c r="AG179" s="17"/>
      <c r="AH179" s="17"/>
      <c r="AI179" s="19"/>
      <c r="AJ179" s="19"/>
      <c r="AK179" s="19"/>
      <c r="AL179" s="19"/>
      <c r="AM179" s="19"/>
      <c r="AN179" s="19"/>
      <c r="AO179" s="19"/>
      <c r="AP179" s="19"/>
      <c r="AQ179" s="19"/>
      <c r="AR179" s="19"/>
      <c r="AS179" s="19"/>
    </row>
    <row r="180" spans="2:45" s="2" customFormat="1">
      <c r="B180" s="22"/>
      <c r="C180" s="23"/>
      <c r="D180" s="24"/>
      <c r="E180" s="25"/>
      <c r="F180" s="26"/>
      <c r="G180" s="26"/>
      <c r="H180" s="26"/>
      <c r="I180" s="26"/>
      <c r="J180" s="26"/>
      <c r="K180" s="26"/>
      <c r="L180" s="26"/>
      <c r="M180" s="26"/>
      <c r="N180" s="26"/>
      <c r="O180" s="29"/>
      <c r="P180" s="26"/>
      <c r="Q180" s="26"/>
      <c r="R180" s="26"/>
      <c r="S180" s="26"/>
      <c r="T180" s="26"/>
      <c r="U180" s="26"/>
      <c r="V180" s="26"/>
      <c r="W180" s="26"/>
      <c r="X180" s="26"/>
      <c r="Y180" s="26"/>
      <c r="Z180" s="26"/>
      <c r="AA180" s="29"/>
      <c r="AB180" s="29"/>
      <c r="AC180" s="16"/>
      <c r="AD180" s="16"/>
      <c r="AE180" s="17"/>
      <c r="AF180" s="17"/>
      <c r="AG180" s="17"/>
      <c r="AH180" s="17"/>
      <c r="AI180" s="19"/>
      <c r="AJ180" s="19"/>
      <c r="AK180" s="19"/>
      <c r="AL180" s="19"/>
      <c r="AM180" s="19"/>
      <c r="AN180" s="19"/>
      <c r="AO180" s="19"/>
      <c r="AP180" s="19"/>
      <c r="AQ180" s="19"/>
      <c r="AR180" s="19"/>
      <c r="AS180" s="19"/>
    </row>
    <row r="181" spans="2:45" s="2" customFormat="1">
      <c r="B181" s="22"/>
      <c r="C181" s="23"/>
      <c r="D181" s="24"/>
      <c r="E181" s="25"/>
      <c r="F181" s="26"/>
      <c r="G181" s="26"/>
      <c r="H181" s="26"/>
      <c r="I181" s="26"/>
      <c r="J181" s="26"/>
      <c r="K181" s="26"/>
      <c r="L181" s="26"/>
      <c r="M181" s="26"/>
      <c r="N181" s="26"/>
      <c r="O181" s="29"/>
      <c r="P181" s="26"/>
      <c r="Q181" s="26"/>
      <c r="R181" s="26"/>
      <c r="S181" s="26"/>
      <c r="T181" s="26"/>
      <c r="U181" s="26"/>
      <c r="V181" s="26"/>
      <c r="W181" s="26"/>
      <c r="X181" s="26"/>
      <c r="Y181" s="26"/>
      <c r="Z181" s="26"/>
      <c r="AA181" s="29"/>
      <c r="AB181" s="29"/>
      <c r="AC181" s="16"/>
      <c r="AD181" s="16"/>
      <c r="AE181" s="17"/>
      <c r="AF181" s="17"/>
      <c r="AG181" s="17"/>
      <c r="AH181" s="17"/>
      <c r="AI181" s="19"/>
      <c r="AJ181" s="19"/>
      <c r="AK181" s="19"/>
      <c r="AL181" s="19"/>
      <c r="AM181" s="19"/>
      <c r="AN181" s="19"/>
      <c r="AO181" s="19"/>
      <c r="AP181" s="19"/>
      <c r="AQ181" s="19"/>
      <c r="AR181" s="19"/>
      <c r="AS181" s="19"/>
    </row>
    <row r="182" spans="2:45" s="2" customFormat="1">
      <c r="B182" s="22"/>
      <c r="C182" s="23"/>
      <c r="D182" s="24"/>
      <c r="E182" s="25"/>
      <c r="F182" s="26"/>
      <c r="G182" s="26"/>
      <c r="H182" s="26"/>
      <c r="I182" s="26"/>
      <c r="J182" s="26"/>
      <c r="K182" s="26"/>
      <c r="L182" s="26"/>
      <c r="M182" s="26"/>
      <c r="N182" s="26"/>
      <c r="O182" s="29"/>
      <c r="P182" s="26"/>
      <c r="Q182" s="26"/>
      <c r="R182" s="26"/>
      <c r="S182" s="26"/>
      <c r="T182" s="26"/>
      <c r="U182" s="26"/>
      <c r="V182" s="26"/>
      <c r="W182" s="26"/>
      <c r="X182" s="26"/>
      <c r="Y182" s="26"/>
      <c r="Z182" s="26"/>
      <c r="AA182" s="29"/>
      <c r="AB182" s="29"/>
      <c r="AC182" s="16"/>
      <c r="AD182" s="16"/>
      <c r="AE182" s="17"/>
      <c r="AF182" s="17"/>
      <c r="AG182" s="17"/>
      <c r="AH182" s="17"/>
      <c r="AI182" s="19"/>
      <c r="AJ182" s="19"/>
      <c r="AK182" s="19"/>
      <c r="AL182" s="19"/>
      <c r="AM182" s="19"/>
      <c r="AN182" s="19"/>
      <c r="AO182" s="19"/>
      <c r="AP182" s="19"/>
      <c r="AQ182" s="19"/>
      <c r="AR182" s="19"/>
      <c r="AS182" s="19"/>
    </row>
    <row r="183" spans="2:45" s="2" customFormat="1">
      <c r="B183" s="22"/>
      <c r="C183" s="23"/>
      <c r="D183" s="24"/>
      <c r="E183" s="25"/>
      <c r="F183" s="26"/>
      <c r="G183" s="26"/>
      <c r="H183" s="26"/>
      <c r="I183" s="26"/>
      <c r="J183" s="26"/>
      <c r="K183" s="26"/>
      <c r="L183" s="26"/>
      <c r="M183" s="26"/>
      <c r="N183" s="26"/>
      <c r="O183" s="29"/>
      <c r="P183" s="26"/>
      <c r="Q183" s="26"/>
      <c r="R183" s="26"/>
      <c r="S183" s="26"/>
      <c r="T183" s="26"/>
      <c r="U183" s="26"/>
      <c r="V183" s="26"/>
      <c r="W183" s="26"/>
      <c r="X183" s="26"/>
      <c r="Y183" s="26"/>
      <c r="Z183" s="26"/>
      <c r="AA183" s="29"/>
      <c r="AB183" s="29"/>
      <c r="AC183" s="16"/>
      <c r="AD183" s="16"/>
      <c r="AE183" s="17"/>
      <c r="AF183" s="17"/>
      <c r="AG183" s="17"/>
      <c r="AH183" s="17"/>
      <c r="AI183" s="19"/>
      <c r="AJ183" s="19"/>
      <c r="AK183" s="19"/>
      <c r="AL183" s="19"/>
      <c r="AM183" s="19"/>
      <c r="AN183" s="19"/>
      <c r="AO183" s="19"/>
      <c r="AP183" s="19"/>
      <c r="AQ183" s="19"/>
      <c r="AR183" s="19"/>
      <c r="AS183" s="19"/>
    </row>
    <row r="184" spans="2:45" s="2" customFormat="1">
      <c r="B184" s="22"/>
      <c r="C184" s="23"/>
      <c r="D184" s="24"/>
      <c r="E184" s="25"/>
      <c r="F184" s="26"/>
      <c r="G184" s="26"/>
      <c r="H184" s="26"/>
      <c r="I184" s="26"/>
      <c r="J184" s="26"/>
      <c r="K184" s="26"/>
      <c r="L184" s="26"/>
      <c r="M184" s="26"/>
      <c r="N184" s="26"/>
      <c r="O184" s="29"/>
      <c r="P184" s="26"/>
      <c r="Q184" s="26"/>
      <c r="R184" s="26"/>
      <c r="S184" s="26"/>
      <c r="T184" s="26"/>
      <c r="U184" s="26"/>
      <c r="V184" s="26"/>
      <c r="W184" s="26"/>
      <c r="X184" s="26"/>
      <c r="Y184" s="26"/>
      <c r="Z184" s="26"/>
      <c r="AA184" s="29"/>
      <c r="AB184" s="29"/>
      <c r="AC184" s="16"/>
      <c r="AD184" s="16"/>
      <c r="AE184" s="17"/>
      <c r="AF184" s="17"/>
      <c r="AG184" s="17"/>
      <c r="AH184" s="17"/>
      <c r="AI184" s="19"/>
      <c r="AJ184" s="19"/>
      <c r="AK184" s="19"/>
      <c r="AL184" s="19"/>
      <c r="AM184" s="19"/>
      <c r="AN184" s="19"/>
      <c r="AO184" s="19"/>
      <c r="AP184" s="19"/>
      <c r="AQ184" s="19"/>
      <c r="AR184" s="19"/>
      <c r="AS184" s="19"/>
    </row>
    <row r="185" spans="2:45" s="2" customFormat="1">
      <c r="B185" s="22"/>
      <c r="C185" s="23"/>
      <c r="D185" s="24"/>
      <c r="E185" s="25"/>
      <c r="F185" s="26"/>
      <c r="G185" s="26"/>
      <c r="H185" s="26"/>
      <c r="I185" s="26"/>
      <c r="J185" s="26"/>
      <c r="K185" s="26"/>
      <c r="L185" s="26"/>
      <c r="M185" s="26"/>
      <c r="N185" s="26"/>
      <c r="O185" s="29"/>
      <c r="P185" s="26"/>
      <c r="Q185" s="26"/>
      <c r="R185" s="26"/>
      <c r="S185" s="26"/>
      <c r="T185" s="26"/>
      <c r="U185" s="26"/>
      <c r="V185" s="26"/>
      <c r="W185" s="26"/>
      <c r="X185" s="26"/>
      <c r="Y185" s="26"/>
      <c r="Z185" s="26"/>
      <c r="AA185" s="29"/>
      <c r="AB185" s="29"/>
      <c r="AC185" s="16"/>
      <c r="AD185" s="16"/>
      <c r="AE185" s="17"/>
      <c r="AF185" s="17"/>
      <c r="AG185" s="17"/>
      <c r="AH185" s="17"/>
      <c r="AI185" s="19"/>
      <c r="AJ185" s="19"/>
      <c r="AK185" s="19"/>
      <c r="AL185" s="19"/>
      <c r="AM185" s="19"/>
      <c r="AN185" s="19"/>
      <c r="AO185" s="19"/>
      <c r="AP185" s="19"/>
      <c r="AQ185" s="19"/>
      <c r="AR185" s="19"/>
      <c r="AS185" s="19"/>
    </row>
    <row r="186" spans="2:45" s="2" customFormat="1">
      <c r="B186" s="22"/>
      <c r="C186" s="23"/>
      <c r="D186" s="24"/>
      <c r="E186" s="25"/>
      <c r="F186" s="26"/>
      <c r="G186" s="26"/>
      <c r="H186" s="26"/>
      <c r="I186" s="26"/>
      <c r="J186" s="26"/>
      <c r="K186" s="26"/>
      <c r="L186" s="26"/>
      <c r="M186" s="26"/>
      <c r="N186" s="26"/>
      <c r="O186" s="29"/>
      <c r="P186" s="26"/>
      <c r="Q186" s="26"/>
      <c r="R186" s="26"/>
      <c r="S186" s="26"/>
      <c r="T186" s="26"/>
      <c r="U186" s="26"/>
      <c r="V186" s="26"/>
      <c r="W186" s="26"/>
      <c r="X186" s="26"/>
      <c r="Y186" s="26"/>
      <c r="Z186" s="26"/>
      <c r="AA186" s="29"/>
      <c r="AB186" s="29"/>
      <c r="AC186" s="16"/>
      <c r="AD186" s="16"/>
      <c r="AE186" s="17"/>
      <c r="AF186" s="17"/>
      <c r="AG186" s="17"/>
      <c r="AH186" s="17"/>
      <c r="AI186" s="19"/>
      <c r="AJ186" s="19"/>
      <c r="AK186" s="19"/>
      <c r="AL186" s="19"/>
      <c r="AM186" s="19"/>
      <c r="AN186" s="19"/>
      <c r="AO186" s="19"/>
      <c r="AP186" s="19"/>
      <c r="AQ186" s="19"/>
      <c r="AR186" s="19"/>
      <c r="AS186" s="19"/>
    </row>
    <row r="187" spans="2:45" s="2" customFormat="1">
      <c r="B187" s="22"/>
      <c r="C187" s="23"/>
      <c r="D187" s="24"/>
      <c r="E187" s="25"/>
      <c r="F187" s="26"/>
      <c r="G187" s="26"/>
      <c r="H187" s="26"/>
      <c r="I187" s="26"/>
      <c r="J187" s="26"/>
      <c r="K187" s="26"/>
      <c r="L187" s="26"/>
      <c r="M187" s="26"/>
      <c r="N187" s="26"/>
      <c r="O187" s="29"/>
      <c r="P187" s="26"/>
      <c r="Q187" s="26"/>
      <c r="R187" s="26"/>
      <c r="S187" s="26"/>
      <c r="T187" s="26"/>
      <c r="U187" s="26"/>
      <c r="V187" s="26"/>
      <c r="W187" s="26"/>
      <c r="X187" s="26"/>
      <c r="Y187" s="26"/>
      <c r="Z187" s="26"/>
      <c r="AA187" s="29"/>
      <c r="AB187" s="29"/>
      <c r="AC187" s="16"/>
      <c r="AD187" s="16"/>
      <c r="AE187" s="17"/>
      <c r="AF187" s="17"/>
      <c r="AG187" s="17"/>
      <c r="AH187" s="17"/>
      <c r="AI187" s="19"/>
      <c r="AJ187" s="19"/>
      <c r="AK187" s="19"/>
      <c r="AL187" s="19"/>
      <c r="AM187" s="19"/>
      <c r="AN187" s="19"/>
      <c r="AO187" s="19"/>
      <c r="AP187" s="19"/>
      <c r="AQ187" s="19"/>
      <c r="AR187" s="19"/>
      <c r="AS187" s="19"/>
    </row>
    <row r="188" spans="2:45" s="2" customFormat="1">
      <c r="B188" s="22"/>
      <c r="C188" s="23"/>
      <c r="D188" s="24"/>
      <c r="E188" s="25"/>
      <c r="F188" s="26"/>
      <c r="G188" s="26"/>
      <c r="H188" s="26"/>
      <c r="I188" s="26"/>
      <c r="J188" s="26"/>
      <c r="K188" s="26"/>
      <c r="L188" s="26"/>
      <c r="M188" s="26"/>
      <c r="N188" s="26"/>
      <c r="O188" s="29"/>
      <c r="P188" s="26"/>
      <c r="Q188" s="26"/>
      <c r="R188" s="26"/>
      <c r="S188" s="26"/>
      <c r="T188" s="26"/>
      <c r="U188" s="26"/>
      <c r="V188" s="26"/>
      <c r="W188" s="26"/>
      <c r="X188" s="26"/>
      <c r="Y188" s="26"/>
      <c r="Z188" s="26"/>
      <c r="AA188" s="29"/>
      <c r="AB188" s="29"/>
      <c r="AC188" s="16"/>
      <c r="AD188" s="16"/>
      <c r="AE188" s="17"/>
      <c r="AF188" s="17"/>
      <c r="AG188" s="17"/>
      <c r="AH188" s="17"/>
      <c r="AI188" s="19"/>
      <c r="AJ188" s="19"/>
      <c r="AK188" s="19"/>
      <c r="AL188" s="19"/>
      <c r="AM188" s="19"/>
      <c r="AN188" s="19"/>
      <c r="AO188" s="19"/>
      <c r="AP188" s="19"/>
      <c r="AQ188" s="19"/>
      <c r="AR188" s="19"/>
      <c r="AS188" s="19"/>
    </row>
    <row r="189" spans="2:45" s="2" customFormat="1">
      <c r="B189" s="22"/>
      <c r="C189" s="23"/>
      <c r="D189" s="24"/>
      <c r="E189" s="25"/>
      <c r="F189" s="26"/>
      <c r="G189" s="26"/>
      <c r="H189" s="26"/>
      <c r="I189" s="26"/>
      <c r="J189" s="26"/>
      <c r="K189" s="26"/>
      <c r="L189" s="26"/>
      <c r="M189" s="26"/>
      <c r="N189" s="26"/>
      <c r="O189" s="29"/>
      <c r="P189" s="26"/>
      <c r="Q189" s="26"/>
      <c r="R189" s="26"/>
      <c r="S189" s="26"/>
      <c r="T189" s="26"/>
      <c r="U189" s="26"/>
      <c r="V189" s="26"/>
      <c r="W189" s="26"/>
      <c r="X189" s="26"/>
      <c r="Y189" s="26"/>
      <c r="Z189" s="26"/>
      <c r="AA189" s="29"/>
      <c r="AB189" s="29"/>
      <c r="AC189" s="16"/>
      <c r="AD189" s="16"/>
      <c r="AE189" s="17"/>
      <c r="AF189" s="17"/>
      <c r="AG189" s="17"/>
      <c r="AH189" s="17"/>
      <c r="AI189" s="19"/>
      <c r="AJ189" s="19"/>
      <c r="AK189" s="19"/>
      <c r="AL189" s="19"/>
      <c r="AM189" s="19"/>
      <c r="AN189" s="19"/>
      <c r="AO189" s="19"/>
      <c r="AP189" s="19"/>
      <c r="AQ189" s="19"/>
      <c r="AR189" s="19"/>
      <c r="AS189" s="19"/>
    </row>
    <row r="190" spans="2:45" s="2" customFormat="1">
      <c r="B190" s="22"/>
      <c r="C190" s="23"/>
      <c r="D190" s="24"/>
      <c r="E190" s="25"/>
      <c r="F190" s="26"/>
      <c r="G190" s="26"/>
      <c r="H190" s="26"/>
      <c r="I190" s="26"/>
      <c r="J190" s="26"/>
      <c r="K190" s="26"/>
      <c r="L190" s="26"/>
      <c r="M190" s="26"/>
      <c r="N190" s="26"/>
      <c r="O190" s="29"/>
      <c r="P190" s="26"/>
      <c r="Q190" s="26"/>
      <c r="R190" s="26"/>
      <c r="S190" s="26"/>
      <c r="T190" s="26"/>
      <c r="U190" s="26"/>
      <c r="V190" s="26"/>
      <c r="W190" s="26"/>
      <c r="X190" s="26"/>
      <c r="Y190" s="26"/>
      <c r="Z190" s="26"/>
      <c r="AA190" s="29"/>
      <c r="AB190" s="29"/>
      <c r="AC190" s="16"/>
      <c r="AD190" s="16"/>
      <c r="AE190" s="17"/>
      <c r="AF190" s="17"/>
      <c r="AG190" s="17"/>
      <c r="AH190" s="17"/>
      <c r="AI190" s="19"/>
      <c r="AJ190" s="19"/>
      <c r="AK190" s="19"/>
      <c r="AL190" s="19"/>
      <c r="AM190" s="19"/>
      <c r="AN190" s="19"/>
      <c r="AO190" s="19"/>
      <c r="AP190" s="19"/>
      <c r="AQ190" s="19"/>
      <c r="AR190" s="19"/>
      <c r="AS190" s="19"/>
    </row>
    <row r="191" spans="2:45" s="2" customFormat="1">
      <c r="B191" s="22"/>
      <c r="C191" s="23"/>
      <c r="D191" s="24"/>
      <c r="E191" s="25"/>
      <c r="F191" s="26"/>
      <c r="G191" s="26"/>
      <c r="H191" s="26"/>
      <c r="I191" s="26"/>
      <c r="J191" s="26"/>
      <c r="K191" s="26"/>
      <c r="L191" s="26"/>
      <c r="M191" s="26"/>
      <c r="N191" s="26"/>
      <c r="O191" s="29"/>
      <c r="P191" s="26"/>
      <c r="Q191" s="26"/>
      <c r="R191" s="26"/>
      <c r="S191" s="26"/>
      <c r="T191" s="26"/>
      <c r="U191" s="26"/>
      <c r="V191" s="26"/>
      <c r="W191" s="26"/>
      <c r="X191" s="26"/>
      <c r="Y191" s="26"/>
      <c r="Z191" s="26"/>
      <c r="AA191" s="29"/>
      <c r="AB191" s="29"/>
      <c r="AC191" s="16"/>
      <c r="AD191" s="16"/>
      <c r="AE191" s="17"/>
      <c r="AF191" s="17"/>
      <c r="AG191" s="17"/>
      <c r="AH191" s="17"/>
      <c r="AI191" s="19"/>
      <c r="AJ191" s="19"/>
      <c r="AK191" s="19"/>
      <c r="AL191" s="19"/>
      <c r="AM191" s="19"/>
      <c r="AN191" s="19"/>
      <c r="AO191" s="19"/>
      <c r="AP191" s="19"/>
      <c r="AQ191" s="19"/>
      <c r="AR191" s="19"/>
      <c r="AS191" s="19"/>
    </row>
    <row r="192" spans="2:45" s="2" customFormat="1">
      <c r="B192" s="22"/>
      <c r="C192" s="23"/>
      <c r="D192" s="24"/>
      <c r="E192" s="25"/>
      <c r="F192" s="26"/>
      <c r="G192" s="26"/>
      <c r="H192" s="26"/>
      <c r="I192" s="26"/>
      <c r="J192" s="26"/>
      <c r="K192" s="26"/>
      <c r="L192" s="26"/>
      <c r="M192" s="26"/>
      <c r="N192" s="26"/>
      <c r="O192" s="29"/>
      <c r="P192" s="26"/>
      <c r="Q192" s="26"/>
      <c r="R192" s="26"/>
      <c r="S192" s="26"/>
      <c r="T192" s="26"/>
      <c r="U192" s="26"/>
      <c r="V192" s="26"/>
      <c r="W192" s="26"/>
      <c r="X192" s="26"/>
      <c r="Y192" s="26"/>
      <c r="Z192" s="26"/>
      <c r="AA192" s="29"/>
      <c r="AB192" s="29"/>
      <c r="AC192" s="16"/>
      <c r="AD192" s="16"/>
      <c r="AE192" s="17"/>
      <c r="AF192" s="17"/>
      <c r="AG192" s="17"/>
      <c r="AH192" s="17"/>
      <c r="AI192" s="19"/>
      <c r="AJ192" s="19"/>
      <c r="AK192" s="19"/>
      <c r="AL192" s="19"/>
      <c r="AM192" s="19"/>
      <c r="AN192" s="19"/>
      <c r="AO192" s="19"/>
      <c r="AP192" s="19"/>
      <c r="AQ192" s="19"/>
      <c r="AR192" s="19"/>
      <c r="AS192" s="19"/>
    </row>
    <row r="193" spans="2:45" s="2" customFormat="1">
      <c r="B193" s="22"/>
      <c r="C193" s="23"/>
      <c r="D193" s="24"/>
      <c r="E193" s="25"/>
      <c r="F193" s="26"/>
      <c r="G193" s="26"/>
      <c r="H193" s="26"/>
      <c r="I193" s="26"/>
      <c r="J193" s="26"/>
      <c r="K193" s="26"/>
      <c r="L193" s="26"/>
      <c r="M193" s="26"/>
      <c r="N193" s="26"/>
      <c r="O193" s="29"/>
      <c r="P193" s="26"/>
      <c r="Q193" s="26"/>
      <c r="R193" s="26"/>
      <c r="S193" s="26"/>
      <c r="T193" s="26"/>
      <c r="U193" s="26"/>
      <c r="V193" s="26"/>
      <c r="W193" s="26"/>
      <c r="X193" s="26"/>
      <c r="Y193" s="26"/>
      <c r="Z193" s="26"/>
      <c r="AA193" s="29"/>
      <c r="AB193" s="29"/>
      <c r="AC193" s="16"/>
      <c r="AD193" s="16"/>
      <c r="AE193" s="17"/>
      <c r="AF193" s="17"/>
      <c r="AG193" s="17"/>
      <c r="AH193" s="17"/>
      <c r="AI193" s="19"/>
      <c r="AJ193" s="19"/>
      <c r="AK193" s="19"/>
      <c r="AL193" s="19"/>
      <c r="AM193" s="19"/>
      <c r="AN193" s="19"/>
      <c r="AO193" s="19"/>
      <c r="AP193" s="19"/>
      <c r="AQ193" s="19"/>
      <c r="AR193" s="19"/>
      <c r="AS193" s="19"/>
    </row>
    <row r="194" spans="2:45" s="2" customFormat="1">
      <c r="B194" s="22"/>
      <c r="C194" s="23"/>
      <c r="D194" s="24"/>
      <c r="E194" s="25"/>
      <c r="F194" s="26"/>
      <c r="G194" s="26"/>
      <c r="H194" s="26"/>
      <c r="I194" s="26"/>
      <c r="J194" s="26"/>
      <c r="K194" s="26"/>
      <c r="L194" s="26"/>
      <c r="M194" s="26"/>
      <c r="N194" s="26"/>
      <c r="O194" s="29"/>
      <c r="P194" s="26"/>
      <c r="Q194" s="26"/>
      <c r="R194" s="26"/>
      <c r="S194" s="26"/>
      <c r="T194" s="26"/>
      <c r="U194" s="26"/>
      <c r="V194" s="26"/>
      <c r="W194" s="26"/>
      <c r="X194" s="26"/>
      <c r="Y194" s="26"/>
      <c r="Z194" s="26"/>
      <c r="AA194" s="29"/>
      <c r="AB194" s="29"/>
      <c r="AC194" s="16"/>
      <c r="AD194" s="16"/>
      <c r="AE194" s="17"/>
      <c r="AF194" s="17"/>
      <c r="AG194" s="17"/>
      <c r="AH194" s="17"/>
      <c r="AI194" s="19"/>
      <c r="AJ194" s="19"/>
      <c r="AK194" s="19"/>
      <c r="AL194" s="19"/>
      <c r="AM194" s="19"/>
      <c r="AN194" s="19"/>
      <c r="AO194" s="19"/>
      <c r="AP194" s="19"/>
      <c r="AQ194" s="19"/>
      <c r="AR194" s="19"/>
      <c r="AS194" s="19"/>
    </row>
    <row r="195" spans="2:45" s="2" customFormat="1">
      <c r="B195" s="22"/>
      <c r="C195" s="23"/>
      <c r="D195" s="24"/>
      <c r="E195" s="25"/>
      <c r="F195" s="26"/>
      <c r="G195" s="26"/>
      <c r="H195" s="26"/>
      <c r="I195" s="26"/>
      <c r="J195" s="26"/>
      <c r="K195" s="26"/>
      <c r="L195" s="26"/>
      <c r="M195" s="26"/>
      <c r="N195" s="26"/>
      <c r="O195" s="29"/>
      <c r="P195" s="26"/>
      <c r="Q195" s="26"/>
      <c r="R195" s="26"/>
      <c r="S195" s="26"/>
      <c r="T195" s="26"/>
      <c r="U195" s="26"/>
      <c r="V195" s="26"/>
      <c r="W195" s="26"/>
      <c r="X195" s="26"/>
      <c r="Y195" s="26"/>
      <c r="Z195" s="26"/>
      <c r="AA195" s="29"/>
      <c r="AB195" s="29"/>
      <c r="AC195" s="16"/>
      <c r="AD195" s="16"/>
      <c r="AE195" s="17"/>
      <c r="AF195" s="17"/>
      <c r="AG195" s="17"/>
      <c r="AH195" s="17"/>
      <c r="AI195" s="19"/>
      <c r="AJ195" s="19"/>
      <c r="AK195" s="19"/>
      <c r="AL195" s="19"/>
      <c r="AM195" s="19"/>
      <c r="AN195" s="19"/>
      <c r="AO195" s="19"/>
      <c r="AP195" s="19"/>
      <c r="AQ195" s="19"/>
      <c r="AR195" s="19"/>
      <c r="AS195" s="19"/>
    </row>
    <row r="196" spans="2:45" s="2" customFormat="1">
      <c r="B196" s="22"/>
      <c r="C196" s="23"/>
      <c r="D196" s="24"/>
      <c r="E196" s="25"/>
      <c r="F196" s="26"/>
      <c r="G196" s="26"/>
      <c r="H196" s="26"/>
      <c r="I196" s="26"/>
      <c r="J196" s="26"/>
      <c r="K196" s="26"/>
      <c r="L196" s="26"/>
      <c r="M196" s="26"/>
      <c r="N196" s="26"/>
      <c r="O196" s="29"/>
      <c r="P196" s="26"/>
      <c r="Q196" s="26"/>
      <c r="R196" s="26"/>
      <c r="S196" s="26"/>
      <c r="T196" s="26"/>
      <c r="U196" s="26"/>
      <c r="V196" s="26"/>
      <c r="W196" s="26"/>
      <c r="X196" s="26"/>
      <c r="Y196" s="26"/>
      <c r="Z196" s="26"/>
      <c r="AA196" s="29"/>
      <c r="AB196" s="29"/>
      <c r="AC196" s="16"/>
      <c r="AD196" s="16"/>
      <c r="AE196" s="17"/>
      <c r="AF196" s="17"/>
      <c r="AG196" s="17"/>
      <c r="AH196" s="17"/>
      <c r="AI196" s="19"/>
      <c r="AJ196" s="19"/>
      <c r="AK196" s="19"/>
      <c r="AL196" s="19"/>
      <c r="AM196" s="19"/>
      <c r="AN196" s="19"/>
      <c r="AO196" s="19"/>
      <c r="AP196" s="19"/>
      <c r="AQ196" s="19"/>
      <c r="AR196" s="19"/>
      <c r="AS196" s="19"/>
    </row>
    <row r="197" spans="2:45" s="2" customFormat="1">
      <c r="B197" s="22"/>
      <c r="C197" s="23"/>
      <c r="D197" s="24"/>
      <c r="E197" s="25"/>
      <c r="F197" s="26"/>
      <c r="G197" s="26"/>
      <c r="H197" s="26"/>
      <c r="I197" s="26"/>
      <c r="J197" s="26"/>
      <c r="K197" s="26"/>
      <c r="L197" s="26"/>
      <c r="M197" s="26"/>
      <c r="N197" s="26"/>
      <c r="O197" s="29"/>
      <c r="P197" s="26"/>
      <c r="Q197" s="26"/>
      <c r="R197" s="26"/>
      <c r="S197" s="26"/>
      <c r="T197" s="26"/>
      <c r="U197" s="26"/>
      <c r="V197" s="26"/>
      <c r="W197" s="26"/>
      <c r="X197" s="26"/>
      <c r="Y197" s="26"/>
      <c r="Z197" s="26"/>
      <c r="AA197" s="29"/>
      <c r="AB197" s="29"/>
      <c r="AC197" s="16"/>
      <c r="AD197" s="16"/>
      <c r="AE197" s="17"/>
      <c r="AF197" s="17"/>
      <c r="AG197" s="17"/>
      <c r="AH197" s="17"/>
      <c r="AI197" s="19"/>
      <c r="AJ197" s="19"/>
      <c r="AK197" s="19"/>
      <c r="AL197" s="19"/>
      <c r="AM197" s="19"/>
      <c r="AN197" s="19"/>
      <c r="AO197" s="19"/>
      <c r="AP197" s="19"/>
      <c r="AQ197" s="19"/>
      <c r="AR197" s="19"/>
      <c r="AS197" s="19"/>
    </row>
    <row r="198" spans="2:45" s="2" customFormat="1">
      <c r="B198" s="22"/>
      <c r="C198" s="23"/>
      <c r="D198" s="24"/>
      <c r="E198" s="25"/>
      <c r="F198" s="26"/>
      <c r="G198" s="26"/>
      <c r="H198" s="26"/>
      <c r="I198" s="26"/>
      <c r="J198" s="26"/>
      <c r="K198" s="26"/>
      <c r="L198" s="26"/>
      <c r="M198" s="26"/>
      <c r="N198" s="26"/>
      <c r="O198" s="29"/>
      <c r="P198" s="26"/>
      <c r="Q198" s="26"/>
      <c r="R198" s="26"/>
      <c r="S198" s="26"/>
      <c r="T198" s="26"/>
      <c r="U198" s="26"/>
      <c r="V198" s="26"/>
      <c r="W198" s="26"/>
      <c r="X198" s="26"/>
      <c r="Y198" s="26"/>
      <c r="Z198" s="26"/>
      <c r="AA198" s="29"/>
      <c r="AB198" s="29"/>
      <c r="AC198" s="16"/>
      <c r="AD198" s="16"/>
      <c r="AE198" s="17"/>
      <c r="AF198" s="17"/>
      <c r="AG198" s="17"/>
      <c r="AH198" s="17"/>
      <c r="AI198" s="19"/>
      <c r="AJ198" s="19"/>
      <c r="AK198" s="19"/>
      <c r="AL198" s="19"/>
      <c r="AM198" s="19"/>
      <c r="AN198" s="19"/>
      <c r="AO198" s="19"/>
      <c r="AP198" s="19"/>
      <c r="AQ198" s="19"/>
      <c r="AR198" s="19"/>
      <c r="AS198" s="19"/>
    </row>
    <row r="199" spans="2:45" s="2" customFormat="1">
      <c r="B199" s="22"/>
      <c r="C199" s="23"/>
      <c r="D199" s="24"/>
      <c r="E199" s="25"/>
      <c r="F199" s="26"/>
      <c r="G199" s="26"/>
      <c r="H199" s="26"/>
      <c r="I199" s="26"/>
      <c r="J199" s="26"/>
      <c r="K199" s="26"/>
      <c r="L199" s="26"/>
      <c r="M199" s="26"/>
      <c r="N199" s="26"/>
      <c r="O199" s="29"/>
      <c r="P199" s="26"/>
      <c r="Q199" s="26"/>
      <c r="R199" s="26"/>
      <c r="S199" s="26"/>
      <c r="T199" s="26"/>
      <c r="U199" s="26"/>
      <c r="V199" s="26"/>
      <c r="W199" s="26"/>
      <c r="X199" s="26"/>
      <c r="Y199" s="26"/>
      <c r="Z199" s="26"/>
      <c r="AA199" s="29"/>
      <c r="AB199" s="29"/>
      <c r="AC199" s="16"/>
      <c r="AD199" s="16"/>
      <c r="AE199" s="17"/>
      <c r="AF199" s="17"/>
      <c r="AG199" s="17"/>
      <c r="AH199" s="17"/>
      <c r="AI199" s="19"/>
      <c r="AJ199" s="19"/>
      <c r="AK199" s="19"/>
      <c r="AL199" s="19"/>
      <c r="AM199" s="19"/>
      <c r="AN199" s="19"/>
      <c r="AO199" s="19"/>
      <c r="AP199" s="19"/>
      <c r="AQ199" s="19"/>
      <c r="AR199" s="19"/>
      <c r="AS199" s="19"/>
    </row>
    <row r="200" spans="2:45" s="2" customFormat="1">
      <c r="B200" s="22"/>
      <c r="C200" s="23"/>
      <c r="D200" s="24"/>
      <c r="E200" s="25"/>
      <c r="F200" s="26"/>
      <c r="G200" s="26"/>
      <c r="H200" s="26"/>
      <c r="I200" s="26"/>
      <c r="J200" s="26"/>
      <c r="K200" s="26"/>
      <c r="L200" s="26"/>
      <c r="M200" s="26"/>
      <c r="N200" s="26"/>
      <c r="O200" s="29"/>
      <c r="P200" s="26"/>
      <c r="Q200" s="26"/>
      <c r="R200" s="26"/>
      <c r="S200" s="26"/>
      <c r="T200" s="26"/>
      <c r="U200" s="26"/>
      <c r="V200" s="26"/>
      <c r="W200" s="26"/>
      <c r="X200" s="26"/>
      <c r="Y200" s="26"/>
      <c r="Z200" s="26"/>
      <c r="AA200" s="29"/>
      <c r="AB200" s="29"/>
      <c r="AC200" s="16"/>
      <c r="AD200" s="16"/>
      <c r="AE200" s="17"/>
      <c r="AF200" s="17"/>
      <c r="AG200" s="17"/>
      <c r="AH200" s="17"/>
      <c r="AI200" s="19"/>
      <c r="AJ200" s="19"/>
      <c r="AK200" s="19"/>
      <c r="AL200" s="19"/>
      <c r="AM200" s="19"/>
      <c r="AN200" s="19"/>
      <c r="AO200" s="19"/>
      <c r="AP200" s="19"/>
      <c r="AQ200" s="19"/>
      <c r="AR200" s="19"/>
      <c r="AS200" s="19"/>
    </row>
    <row r="201" spans="2:45" s="2" customFormat="1">
      <c r="B201" s="22"/>
      <c r="C201" s="23"/>
      <c r="D201" s="24"/>
      <c r="E201" s="25"/>
      <c r="F201" s="26"/>
      <c r="G201" s="26"/>
      <c r="H201" s="26"/>
      <c r="I201" s="26"/>
      <c r="J201" s="26"/>
      <c r="K201" s="26"/>
      <c r="L201" s="26"/>
      <c r="M201" s="26"/>
      <c r="N201" s="26"/>
      <c r="O201" s="29"/>
      <c r="P201" s="26"/>
      <c r="Q201" s="26"/>
      <c r="R201" s="26"/>
      <c r="S201" s="26"/>
      <c r="T201" s="26"/>
      <c r="U201" s="26"/>
      <c r="V201" s="26"/>
      <c r="W201" s="26"/>
      <c r="X201" s="26"/>
      <c r="Y201" s="26"/>
      <c r="Z201" s="26"/>
      <c r="AA201" s="29"/>
      <c r="AB201" s="29"/>
      <c r="AC201" s="16"/>
      <c r="AD201" s="16"/>
      <c r="AE201" s="17"/>
      <c r="AF201" s="17"/>
      <c r="AG201" s="17"/>
      <c r="AH201" s="17"/>
      <c r="AI201" s="19"/>
      <c r="AJ201" s="19"/>
      <c r="AK201" s="19"/>
      <c r="AL201" s="19"/>
      <c r="AM201" s="19"/>
      <c r="AN201" s="19"/>
      <c r="AO201" s="19"/>
      <c r="AP201" s="19"/>
      <c r="AQ201" s="19"/>
      <c r="AR201" s="19"/>
      <c r="AS201" s="19"/>
    </row>
    <row r="202" spans="2:45" s="2" customFormat="1">
      <c r="B202" s="22"/>
      <c r="C202" s="23"/>
      <c r="D202" s="24"/>
      <c r="E202" s="25"/>
      <c r="F202" s="26"/>
      <c r="G202" s="26"/>
      <c r="H202" s="26"/>
      <c r="I202" s="26"/>
      <c r="J202" s="26"/>
      <c r="K202" s="26"/>
      <c r="L202" s="26"/>
      <c r="M202" s="26"/>
      <c r="N202" s="26"/>
      <c r="O202" s="29"/>
      <c r="P202" s="26"/>
      <c r="Q202" s="26"/>
      <c r="R202" s="26"/>
      <c r="S202" s="26"/>
      <c r="T202" s="26"/>
      <c r="U202" s="26"/>
      <c r="V202" s="26"/>
      <c r="W202" s="26"/>
      <c r="X202" s="26"/>
      <c r="Y202" s="26"/>
      <c r="Z202" s="26"/>
      <c r="AA202" s="29"/>
      <c r="AB202" s="29"/>
      <c r="AC202" s="16"/>
      <c r="AD202" s="16"/>
      <c r="AE202" s="17"/>
      <c r="AF202" s="17"/>
      <c r="AG202" s="17"/>
      <c r="AH202" s="17"/>
      <c r="AI202" s="19"/>
      <c r="AJ202" s="19"/>
      <c r="AK202" s="19"/>
      <c r="AL202" s="19"/>
      <c r="AM202" s="19"/>
      <c r="AN202" s="19"/>
      <c r="AO202" s="19"/>
      <c r="AP202" s="19"/>
      <c r="AQ202" s="19"/>
      <c r="AR202" s="19"/>
      <c r="AS202" s="19"/>
    </row>
    <row r="203" spans="2:45" s="2" customFormat="1">
      <c r="B203" s="22"/>
      <c r="C203" s="23"/>
      <c r="D203" s="24"/>
      <c r="E203" s="25"/>
      <c r="F203" s="26"/>
      <c r="G203" s="26"/>
      <c r="H203" s="26"/>
      <c r="I203" s="26"/>
      <c r="J203" s="26"/>
      <c r="K203" s="26"/>
      <c r="L203" s="26"/>
      <c r="M203" s="26"/>
      <c r="N203" s="26"/>
      <c r="O203" s="29"/>
      <c r="P203" s="26"/>
      <c r="Q203" s="26"/>
      <c r="R203" s="26"/>
      <c r="S203" s="26"/>
      <c r="T203" s="26"/>
      <c r="U203" s="26"/>
      <c r="V203" s="26"/>
      <c r="W203" s="26"/>
      <c r="X203" s="26"/>
      <c r="Y203" s="26"/>
      <c r="Z203" s="26"/>
      <c r="AA203" s="29"/>
      <c r="AB203" s="29"/>
      <c r="AC203" s="16"/>
      <c r="AD203" s="16"/>
      <c r="AE203" s="17"/>
      <c r="AF203" s="17"/>
      <c r="AG203" s="17"/>
      <c r="AH203" s="17"/>
      <c r="AI203" s="19"/>
      <c r="AJ203" s="19"/>
      <c r="AK203" s="19"/>
      <c r="AL203" s="19"/>
      <c r="AM203" s="19"/>
      <c r="AN203" s="19"/>
      <c r="AO203" s="19"/>
      <c r="AP203" s="19"/>
      <c r="AQ203" s="19"/>
      <c r="AR203" s="19"/>
      <c r="AS203" s="19"/>
    </row>
    <row r="204" spans="2:45" s="2" customFormat="1">
      <c r="B204" s="22"/>
      <c r="C204" s="23"/>
      <c r="D204" s="24"/>
      <c r="E204" s="25"/>
      <c r="F204" s="26"/>
      <c r="G204" s="26"/>
      <c r="H204" s="26"/>
      <c r="I204" s="26"/>
      <c r="J204" s="26"/>
      <c r="K204" s="26"/>
      <c r="L204" s="26"/>
      <c r="M204" s="26"/>
      <c r="N204" s="26"/>
      <c r="O204" s="29"/>
      <c r="P204" s="26"/>
      <c r="Q204" s="26"/>
      <c r="R204" s="26"/>
      <c r="S204" s="26"/>
      <c r="T204" s="26"/>
      <c r="U204" s="26"/>
      <c r="V204" s="26"/>
      <c r="W204" s="26"/>
      <c r="X204" s="26"/>
      <c r="Y204" s="26"/>
      <c r="Z204" s="26"/>
      <c r="AA204" s="29"/>
      <c r="AB204" s="29"/>
      <c r="AC204" s="16"/>
      <c r="AD204" s="16"/>
      <c r="AE204" s="17"/>
      <c r="AF204" s="17"/>
      <c r="AG204" s="17"/>
      <c r="AH204" s="17"/>
      <c r="AI204" s="19"/>
      <c r="AJ204" s="19"/>
      <c r="AK204" s="19"/>
      <c r="AL204" s="19"/>
      <c r="AM204" s="19"/>
      <c r="AN204" s="19"/>
      <c r="AO204" s="19"/>
      <c r="AP204" s="19"/>
      <c r="AQ204" s="19"/>
      <c r="AR204" s="19"/>
      <c r="AS204" s="19"/>
    </row>
    <row r="205" spans="2:45" s="2" customFormat="1">
      <c r="B205" s="22"/>
      <c r="C205" s="23"/>
      <c r="D205" s="24"/>
      <c r="E205" s="25"/>
      <c r="F205" s="26"/>
      <c r="G205" s="26"/>
      <c r="H205" s="26"/>
      <c r="I205" s="26"/>
      <c r="J205" s="26"/>
      <c r="K205" s="26"/>
      <c r="L205" s="26"/>
      <c r="M205" s="26"/>
      <c r="N205" s="26"/>
      <c r="O205" s="29"/>
      <c r="P205" s="26"/>
      <c r="Q205" s="26"/>
      <c r="R205" s="26"/>
      <c r="S205" s="26"/>
      <c r="T205" s="26"/>
      <c r="U205" s="26"/>
      <c r="V205" s="26"/>
      <c r="W205" s="26"/>
      <c r="X205" s="26"/>
      <c r="Y205" s="26"/>
      <c r="Z205" s="26"/>
      <c r="AA205" s="29"/>
      <c r="AB205" s="29"/>
      <c r="AC205" s="16"/>
      <c r="AD205" s="16"/>
      <c r="AE205" s="17"/>
      <c r="AF205" s="17"/>
      <c r="AG205" s="17"/>
      <c r="AH205" s="17"/>
      <c r="AI205" s="19"/>
      <c r="AJ205" s="19"/>
      <c r="AK205" s="19"/>
      <c r="AL205" s="19"/>
      <c r="AM205" s="19"/>
      <c r="AN205" s="19"/>
      <c r="AO205" s="19"/>
      <c r="AP205" s="19"/>
      <c r="AQ205" s="19"/>
      <c r="AR205" s="19"/>
      <c r="AS205" s="19"/>
    </row>
    <row r="206" spans="2:45" s="2" customFormat="1">
      <c r="B206" s="22"/>
      <c r="C206" s="23"/>
      <c r="D206" s="24"/>
      <c r="E206" s="25"/>
      <c r="F206" s="26"/>
      <c r="G206" s="26"/>
      <c r="H206" s="26"/>
      <c r="I206" s="26"/>
      <c r="J206" s="26"/>
      <c r="K206" s="26"/>
      <c r="L206" s="26"/>
      <c r="M206" s="26"/>
      <c r="N206" s="26"/>
      <c r="O206" s="29"/>
      <c r="P206" s="26"/>
      <c r="Q206" s="26"/>
      <c r="R206" s="26"/>
      <c r="S206" s="26"/>
      <c r="T206" s="26"/>
      <c r="U206" s="26"/>
      <c r="V206" s="26"/>
      <c r="W206" s="26"/>
      <c r="X206" s="26"/>
      <c r="Y206" s="26"/>
      <c r="Z206" s="26"/>
      <c r="AA206" s="29"/>
      <c r="AB206" s="29"/>
      <c r="AC206" s="16"/>
      <c r="AD206" s="16"/>
      <c r="AE206" s="17"/>
      <c r="AF206" s="17"/>
      <c r="AG206" s="17"/>
      <c r="AH206" s="17"/>
      <c r="AI206" s="19"/>
      <c r="AJ206" s="19"/>
      <c r="AK206" s="19"/>
      <c r="AL206" s="19"/>
      <c r="AM206" s="19"/>
      <c r="AN206" s="19"/>
      <c r="AO206" s="19"/>
      <c r="AP206" s="19"/>
      <c r="AQ206" s="19"/>
      <c r="AR206" s="19"/>
      <c r="AS206" s="19"/>
    </row>
    <row r="207" spans="2:45" s="2" customFormat="1">
      <c r="B207" s="22"/>
      <c r="C207" s="23"/>
      <c r="D207" s="24"/>
      <c r="E207" s="25"/>
      <c r="F207" s="26"/>
      <c r="G207" s="26"/>
      <c r="H207" s="26"/>
      <c r="I207" s="26"/>
      <c r="J207" s="26"/>
      <c r="K207" s="26"/>
      <c r="L207" s="26"/>
      <c r="M207" s="26"/>
      <c r="N207" s="26"/>
      <c r="O207" s="29"/>
      <c r="P207" s="26"/>
      <c r="Q207" s="26"/>
      <c r="R207" s="26"/>
      <c r="S207" s="26"/>
      <c r="T207" s="26"/>
      <c r="U207" s="26"/>
      <c r="V207" s="26"/>
      <c r="W207" s="26"/>
      <c r="X207" s="26"/>
      <c r="Y207" s="26"/>
      <c r="Z207" s="26"/>
      <c r="AA207" s="29"/>
      <c r="AB207" s="29"/>
      <c r="AC207" s="16"/>
      <c r="AD207" s="16"/>
      <c r="AE207" s="17"/>
      <c r="AF207" s="17"/>
      <c r="AG207" s="17"/>
      <c r="AH207" s="17"/>
      <c r="AI207" s="19"/>
      <c r="AJ207" s="19"/>
      <c r="AK207" s="19"/>
      <c r="AL207" s="19"/>
      <c r="AM207" s="19"/>
      <c r="AN207" s="19"/>
      <c r="AO207" s="19"/>
      <c r="AP207" s="19"/>
      <c r="AQ207" s="19"/>
      <c r="AR207" s="19"/>
      <c r="AS207" s="19"/>
    </row>
    <row r="208" spans="2:45" s="2" customFormat="1">
      <c r="B208" s="22"/>
      <c r="C208" s="23"/>
      <c r="D208" s="24"/>
      <c r="E208" s="25"/>
      <c r="F208" s="26"/>
      <c r="G208" s="26"/>
      <c r="H208" s="26"/>
      <c r="I208" s="26"/>
      <c r="J208" s="26"/>
      <c r="K208" s="26"/>
      <c r="L208" s="26"/>
      <c r="M208" s="26"/>
      <c r="N208" s="26"/>
      <c r="O208" s="29"/>
      <c r="P208" s="26"/>
      <c r="Q208" s="26"/>
      <c r="R208" s="26"/>
      <c r="S208" s="26"/>
      <c r="T208" s="26"/>
      <c r="U208" s="26"/>
      <c r="V208" s="26"/>
      <c r="W208" s="26"/>
      <c r="X208" s="26"/>
      <c r="Y208" s="26"/>
      <c r="Z208" s="26"/>
      <c r="AA208" s="29"/>
      <c r="AB208" s="29"/>
      <c r="AC208" s="16"/>
      <c r="AD208" s="16"/>
      <c r="AE208" s="17"/>
      <c r="AF208" s="17"/>
      <c r="AG208" s="17"/>
      <c r="AH208" s="17"/>
      <c r="AI208" s="19"/>
      <c r="AJ208" s="19"/>
      <c r="AK208" s="19"/>
      <c r="AL208" s="19"/>
      <c r="AM208" s="19"/>
      <c r="AN208" s="19"/>
      <c r="AO208" s="19"/>
      <c r="AP208" s="19"/>
      <c r="AQ208" s="19"/>
      <c r="AR208" s="19"/>
      <c r="AS208" s="19"/>
    </row>
    <row r="209" spans="2:45" s="2" customFormat="1">
      <c r="B209" s="22"/>
      <c r="C209" s="23"/>
      <c r="D209" s="24"/>
      <c r="E209" s="25"/>
      <c r="F209" s="26"/>
      <c r="G209" s="26"/>
      <c r="H209" s="26"/>
      <c r="I209" s="26"/>
      <c r="J209" s="26"/>
      <c r="K209" s="26"/>
      <c r="L209" s="26"/>
      <c r="M209" s="26"/>
      <c r="N209" s="26"/>
      <c r="O209" s="29"/>
      <c r="P209" s="26"/>
      <c r="Q209" s="26"/>
      <c r="R209" s="26"/>
      <c r="S209" s="26"/>
      <c r="T209" s="26"/>
      <c r="U209" s="26"/>
      <c r="V209" s="26"/>
      <c r="W209" s="26"/>
      <c r="X209" s="26"/>
      <c r="Y209" s="26"/>
      <c r="Z209" s="26"/>
      <c r="AA209" s="29"/>
      <c r="AB209" s="29"/>
      <c r="AC209" s="16"/>
      <c r="AD209" s="16"/>
      <c r="AE209" s="17"/>
      <c r="AF209" s="17"/>
      <c r="AG209" s="17"/>
      <c r="AH209" s="17"/>
      <c r="AI209" s="19"/>
      <c r="AJ209" s="19"/>
      <c r="AK209" s="19"/>
      <c r="AL209" s="19"/>
      <c r="AM209" s="19"/>
      <c r="AN209" s="19"/>
      <c r="AO209" s="19"/>
      <c r="AP209" s="19"/>
      <c r="AQ209" s="19"/>
      <c r="AR209" s="19"/>
      <c r="AS209" s="19"/>
    </row>
    <row r="210" spans="2:45" s="2" customFormat="1">
      <c r="B210" s="22"/>
      <c r="C210" s="23"/>
      <c r="D210" s="24"/>
      <c r="E210" s="25"/>
      <c r="F210" s="26"/>
      <c r="G210" s="26"/>
      <c r="H210" s="26"/>
      <c r="I210" s="26"/>
      <c r="J210" s="26"/>
      <c r="K210" s="26"/>
      <c r="L210" s="26"/>
      <c r="M210" s="26"/>
      <c r="N210" s="26"/>
      <c r="O210" s="29"/>
      <c r="P210" s="26"/>
      <c r="Q210" s="26"/>
      <c r="R210" s="26"/>
      <c r="S210" s="26"/>
      <c r="T210" s="26"/>
      <c r="U210" s="26"/>
      <c r="V210" s="26"/>
      <c r="W210" s="26"/>
      <c r="X210" s="26"/>
      <c r="Y210" s="26"/>
      <c r="Z210" s="26"/>
      <c r="AA210" s="29"/>
      <c r="AB210" s="29"/>
      <c r="AC210" s="16"/>
      <c r="AD210" s="16"/>
      <c r="AE210" s="17"/>
      <c r="AF210" s="17"/>
      <c r="AG210" s="17"/>
      <c r="AH210" s="17"/>
      <c r="AI210" s="19"/>
      <c r="AJ210" s="19"/>
      <c r="AK210" s="19"/>
      <c r="AL210" s="19"/>
      <c r="AM210" s="19"/>
      <c r="AN210" s="19"/>
      <c r="AO210" s="19"/>
      <c r="AP210" s="19"/>
      <c r="AQ210" s="19"/>
      <c r="AR210" s="19"/>
      <c r="AS210" s="19"/>
    </row>
    <row r="211" spans="2:45" s="2" customFormat="1">
      <c r="B211" s="22"/>
      <c r="C211" s="23"/>
      <c r="D211" s="24"/>
      <c r="E211" s="25"/>
      <c r="F211" s="26"/>
      <c r="G211" s="26"/>
      <c r="H211" s="26"/>
      <c r="I211" s="26"/>
      <c r="J211" s="26"/>
      <c r="K211" s="26"/>
      <c r="L211" s="26"/>
      <c r="M211" s="26"/>
      <c r="N211" s="26"/>
      <c r="O211" s="29"/>
      <c r="P211" s="26"/>
      <c r="Q211" s="26"/>
      <c r="R211" s="26"/>
      <c r="S211" s="26"/>
      <c r="T211" s="26"/>
      <c r="U211" s="26"/>
      <c r="V211" s="26"/>
      <c r="W211" s="26"/>
      <c r="X211" s="26"/>
      <c r="Y211" s="26"/>
      <c r="Z211" s="26"/>
      <c r="AA211" s="29"/>
      <c r="AB211" s="29"/>
      <c r="AC211" s="16"/>
      <c r="AD211" s="16"/>
      <c r="AE211" s="17"/>
      <c r="AF211" s="17"/>
      <c r="AG211" s="17"/>
      <c r="AH211" s="17"/>
      <c r="AI211" s="19"/>
      <c r="AJ211" s="19"/>
      <c r="AK211" s="19"/>
      <c r="AL211" s="19"/>
      <c r="AM211" s="19"/>
      <c r="AN211" s="19"/>
      <c r="AO211" s="19"/>
      <c r="AP211" s="19"/>
      <c r="AQ211" s="19"/>
      <c r="AR211" s="19"/>
      <c r="AS211" s="19"/>
    </row>
    <row r="212" spans="2:45" s="2" customFormat="1">
      <c r="B212" s="22"/>
      <c r="C212" s="23"/>
      <c r="D212" s="24"/>
      <c r="E212" s="25"/>
      <c r="F212" s="26"/>
      <c r="G212" s="26"/>
      <c r="H212" s="26"/>
      <c r="I212" s="26"/>
      <c r="J212" s="26"/>
      <c r="K212" s="26"/>
      <c r="L212" s="26"/>
      <c r="M212" s="26"/>
      <c r="N212" s="26"/>
      <c r="O212" s="29"/>
      <c r="P212" s="26"/>
      <c r="Q212" s="26"/>
      <c r="R212" s="26"/>
      <c r="S212" s="26"/>
      <c r="T212" s="26"/>
      <c r="U212" s="26"/>
      <c r="V212" s="26"/>
      <c r="W212" s="26"/>
      <c r="X212" s="26"/>
      <c r="Y212" s="26"/>
      <c r="Z212" s="26"/>
      <c r="AA212" s="29"/>
      <c r="AB212" s="29"/>
      <c r="AC212" s="16"/>
      <c r="AD212" s="16"/>
      <c r="AE212" s="17"/>
      <c r="AF212" s="17"/>
      <c r="AG212" s="17"/>
      <c r="AH212" s="17"/>
      <c r="AI212" s="19"/>
      <c r="AJ212" s="19"/>
      <c r="AK212" s="19"/>
      <c r="AL212" s="19"/>
      <c r="AM212" s="19"/>
      <c r="AN212" s="19"/>
      <c r="AO212" s="19"/>
      <c r="AP212" s="19"/>
      <c r="AQ212" s="19"/>
      <c r="AR212" s="19"/>
      <c r="AS212" s="19"/>
    </row>
    <row r="213" spans="2:45" s="2" customFormat="1">
      <c r="B213" s="22"/>
      <c r="C213" s="23"/>
      <c r="D213" s="24"/>
      <c r="E213" s="25"/>
      <c r="F213" s="26"/>
      <c r="G213" s="26"/>
      <c r="H213" s="26"/>
      <c r="I213" s="26"/>
      <c r="J213" s="26"/>
      <c r="K213" s="26"/>
      <c r="L213" s="26"/>
      <c r="M213" s="26"/>
      <c r="N213" s="26"/>
      <c r="O213" s="29"/>
      <c r="P213" s="26"/>
      <c r="Q213" s="26"/>
      <c r="R213" s="26"/>
      <c r="S213" s="26"/>
      <c r="T213" s="26"/>
      <c r="U213" s="26"/>
      <c r="V213" s="26"/>
      <c r="W213" s="26"/>
      <c r="X213" s="26"/>
      <c r="Y213" s="26"/>
      <c r="Z213" s="26"/>
      <c r="AA213" s="29"/>
      <c r="AB213" s="29"/>
      <c r="AC213" s="16"/>
      <c r="AD213" s="16"/>
      <c r="AE213" s="17"/>
      <c r="AF213" s="17"/>
      <c r="AG213" s="17"/>
      <c r="AH213" s="17"/>
      <c r="AI213" s="19"/>
      <c r="AJ213" s="19"/>
      <c r="AK213" s="19"/>
      <c r="AL213" s="19"/>
      <c r="AM213" s="19"/>
      <c r="AN213" s="19"/>
      <c r="AO213" s="19"/>
      <c r="AP213" s="19"/>
      <c r="AQ213" s="19"/>
      <c r="AR213" s="19"/>
      <c r="AS213" s="19"/>
    </row>
    <row r="214" spans="2:45" s="2" customFormat="1">
      <c r="B214" s="22"/>
      <c r="C214" s="23"/>
      <c r="D214" s="24"/>
      <c r="E214" s="25"/>
      <c r="F214" s="26"/>
      <c r="G214" s="26"/>
      <c r="H214" s="26"/>
      <c r="I214" s="26"/>
      <c r="J214" s="26"/>
      <c r="K214" s="26"/>
      <c r="L214" s="26"/>
      <c r="M214" s="26"/>
      <c r="N214" s="26"/>
      <c r="O214" s="29"/>
      <c r="P214" s="26"/>
      <c r="Q214" s="26"/>
      <c r="R214" s="26"/>
      <c r="S214" s="26"/>
      <c r="T214" s="26"/>
      <c r="U214" s="26"/>
      <c r="V214" s="26"/>
      <c r="W214" s="26"/>
      <c r="X214" s="26"/>
      <c r="Y214" s="26"/>
      <c r="Z214" s="26"/>
      <c r="AA214" s="29"/>
      <c r="AB214" s="29"/>
      <c r="AC214" s="16"/>
      <c r="AD214" s="16"/>
      <c r="AE214" s="17"/>
      <c r="AF214" s="17"/>
      <c r="AG214" s="17"/>
      <c r="AH214" s="17"/>
      <c r="AI214" s="19"/>
      <c r="AJ214" s="19"/>
      <c r="AK214" s="19"/>
      <c r="AL214" s="19"/>
      <c r="AM214" s="19"/>
      <c r="AN214" s="19"/>
      <c r="AO214" s="19"/>
      <c r="AP214" s="19"/>
      <c r="AQ214" s="19"/>
      <c r="AR214" s="19"/>
      <c r="AS214" s="19"/>
    </row>
    <row r="215" spans="2:45" s="2" customFormat="1">
      <c r="B215" s="22"/>
      <c r="C215" s="23"/>
      <c r="D215" s="24"/>
      <c r="E215" s="25"/>
      <c r="F215" s="26"/>
      <c r="G215" s="26"/>
      <c r="H215" s="26"/>
      <c r="I215" s="26"/>
      <c r="J215" s="26"/>
      <c r="K215" s="26"/>
      <c r="L215" s="26"/>
      <c r="M215" s="26"/>
      <c r="N215" s="26"/>
      <c r="O215" s="29"/>
      <c r="P215" s="26"/>
      <c r="Q215" s="26"/>
      <c r="R215" s="26"/>
      <c r="S215" s="26"/>
      <c r="T215" s="26"/>
      <c r="U215" s="26"/>
      <c r="V215" s="26"/>
      <c r="W215" s="26"/>
      <c r="X215" s="26"/>
      <c r="Y215" s="26"/>
      <c r="Z215" s="26"/>
      <c r="AA215" s="29"/>
      <c r="AB215" s="29"/>
      <c r="AC215" s="16"/>
      <c r="AD215" s="16"/>
      <c r="AE215" s="17"/>
      <c r="AF215" s="17"/>
      <c r="AG215" s="17"/>
      <c r="AH215" s="17"/>
      <c r="AI215" s="19"/>
      <c r="AJ215" s="19"/>
      <c r="AK215" s="19"/>
      <c r="AL215" s="19"/>
      <c r="AM215" s="19"/>
      <c r="AN215" s="19"/>
      <c r="AO215" s="19"/>
      <c r="AP215" s="19"/>
      <c r="AQ215" s="19"/>
      <c r="AR215" s="19"/>
      <c r="AS215" s="19"/>
    </row>
    <row r="216" spans="2:45" s="2" customFormat="1">
      <c r="B216" s="22"/>
      <c r="C216" s="23"/>
      <c r="D216" s="24"/>
      <c r="E216" s="25"/>
      <c r="F216" s="26"/>
      <c r="G216" s="26"/>
      <c r="H216" s="26"/>
      <c r="I216" s="26"/>
      <c r="J216" s="26"/>
      <c r="K216" s="26"/>
      <c r="L216" s="26"/>
      <c r="M216" s="26"/>
      <c r="N216" s="26"/>
      <c r="O216" s="29"/>
      <c r="P216" s="26"/>
      <c r="Q216" s="26"/>
      <c r="R216" s="26"/>
      <c r="S216" s="26"/>
      <c r="T216" s="26"/>
      <c r="U216" s="26"/>
      <c r="V216" s="26"/>
      <c r="W216" s="26"/>
      <c r="X216" s="26"/>
      <c r="Y216" s="26"/>
      <c r="Z216" s="26"/>
      <c r="AA216" s="29"/>
      <c r="AB216" s="29"/>
      <c r="AC216" s="16"/>
      <c r="AD216" s="16"/>
      <c r="AE216" s="17"/>
      <c r="AF216" s="17"/>
      <c r="AG216" s="17"/>
      <c r="AH216" s="17"/>
      <c r="AI216" s="19"/>
      <c r="AJ216" s="19"/>
      <c r="AK216" s="19"/>
      <c r="AL216" s="19"/>
      <c r="AM216" s="19"/>
      <c r="AN216" s="19"/>
      <c r="AO216" s="19"/>
      <c r="AP216" s="19"/>
      <c r="AQ216" s="19"/>
      <c r="AR216" s="19"/>
      <c r="AS216" s="19"/>
    </row>
    <row r="217" spans="2:45" s="2" customFormat="1">
      <c r="B217" s="22"/>
      <c r="C217" s="23"/>
      <c r="D217" s="24"/>
      <c r="E217" s="25"/>
      <c r="F217" s="26"/>
      <c r="G217" s="26"/>
      <c r="H217" s="26"/>
      <c r="I217" s="26"/>
      <c r="J217" s="26"/>
      <c r="K217" s="26"/>
      <c r="L217" s="26"/>
      <c r="M217" s="26"/>
      <c r="N217" s="26"/>
      <c r="O217" s="29"/>
      <c r="P217" s="26"/>
      <c r="Q217" s="26"/>
      <c r="R217" s="26"/>
      <c r="S217" s="26"/>
      <c r="T217" s="26"/>
      <c r="U217" s="26"/>
      <c r="V217" s="26"/>
      <c r="W217" s="26"/>
      <c r="X217" s="26"/>
      <c r="Y217" s="26"/>
      <c r="Z217" s="26"/>
      <c r="AA217" s="29"/>
      <c r="AB217" s="29"/>
      <c r="AC217" s="16"/>
      <c r="AD217" s="16"/>
      <c r="AE217" s="17"/>
      <c r="AF217" s="17"/>
      <c r="AG217" s="17"/>
      <c r="AH217" s="17"/>
      <c r="AI217" s="19"/>
      <c r="AJ217" s="19"/>
      <c r="AK217" s="19"/>
      <c r="AL217" s="19"/>
      <c r="AM217" s="19"/>
      <c r="AN217" s="19"/>
      <c r="AO217" s="19"/>
      <c r="AP217" s="19"/>
      <c r="AQ217" s="19"/>
      <c r="AR217" s="19"/>
      <c r="AS217" s="19"/>
    </row>
    <row r="218" spans="2:45" s="2" customFormat="1">
      <c r="B218" s="22"/>
      <c r="C218" s="23"/>
      <c r="D218" s="24"/>
      <c r="E218" s="25"/>
      <c r="F218" s="26"/>
      <c r="G218" s="26"/>
      <c r="H218" s="26"/>
      <c r="I218" s="26"/>
      <c r="J218" s="26"/>
      <c r="K218" s="26"/>
      <c r="L218" s="26"/>
      <c r="M218" s="26"/>
      <c r="N218" s="26"/>
      <c r="O218" s="29"/>
      <c r="P218" s="26"/>
      <c r="Q218" s="26"/>
      <c r="R218" s="26"/>
      <c r="S218" s="26"/>
      <c r="T218" s="26"/>
      <c r="U218" s="26"/>
      <c r="V218" s="26"/>
      <c r="W218" s="26"/>
      <c r="X218" s="26"/>
      <c r="Y218" s="26"/>
      <c r="Z218" s="26"/>
      <c r="AA218" s="29"/>
      <c r="AB218" s="29"/>
      <c r="AC218" s="16"/>
      <c r="AD218" s="16"/>
      <c r="AE218" s="17"/>
      <c r="AF218" s="17"/>
      <c r="AG218" s="17"/>
      <c r="AH218" s="17"/>
      <c r="AI218" s="19"/>
      <c r="AJ218" s="19"/>
      <c r="AK218" s="19"/>
      <c r="AL218" s="19"/>
      <c r="AM218" s="19"/>
      <c r="AN218" s="19"/>
      <c r="AO218" s="19"/>
      <c r="AP218" s="19"/>
      <c r="AQ218" s="19"/>
      <c r="AR218" s="19"/>
      <c r="AS218" s="19"/>
    </row>
    <row r="219" spans="2:45" s="2" customFormat="1">
      <c r="B219" s="22"/>
      <c r="C219" s="23"/>
      <c r="D219" s="24"/>
      <c r="E219" s="25"/>
      <c r="F219" s="26"/>
      <c r="G219" s="26"/>
      <c r="H219" s="26"/>
      <c r="I219" s="26"/>
      <c r="J219" s="26"/>
      <c r="K219" s="26"/>
      <c r="L219" s="26"/>
      <c r="M219" s="26"/>
      <c r="N219" s="26"/>
      <c r="O219" s="29"/>
      <c r="P219" s="26"/>
      <c r="Q219" s="26"/>
      <c r="R219" s="26"/>
      <c r="S219" s="26"/>
      <c r="T219" s="26"/>
      <c r="U219" s="26"/>
      <c r="V219" s="26"/>
      <c r="W219" s="26"/>
      <c r="X219" s="26"/>
      <c r="Y219" s="26"/>
      <c r="Z219" s="26"/>
      <c r="AA219" s="29"/>
      <c r="AB219" s="29"/>
      <c r="AC219" s="16"/>
      <c r="AD219" s="16"/>
      <c r="AE219" s="17"/>
      <c r="AF219" s="17"/>
      <c r="AG219" s="17"/>
      <c r="AH219" s="17"/>
      <c r="AI219" s="19"/>
      <c r="AJ219" s="19"/>
      <c r="AK219" s="19"/>
      <c r="AL219" s="19"/>
      <c r="AM219" s="19"/>
      <c r="AN219" s="19"/>
      <c r="AO219" s="19"/>
      <c r="AP219" s="19"/>
      <c r="AQ219" s="19"/>
      <c r="AR219" s="19"/>
      <c r="AS219" s="19"/>
    </row>
    <row r="220" spans="2:45" s="2" customFormat="1">
      <c r="B220" s="22"/>
      <c r="C220" s="23"/>
      <c r="D220" s="24"/>
      <c r="E220" s="25"/>
      <c r="F220" s="26"/>
      <c r="G220" s="26"/>
      <c r="H220" s="26"/>
      <c r="I220" s="26"/>
      <c r="J220" s="26"/>
      <c r="K220" s="26"/>
      <c r="L220" s="26"/>
      <c r="M220" s="26"/>
      <c r="N220" s="26"/>
      <c r="O220" s="29"/>
      <c r="P220" s="26"/>
      <c r="Q220" s="26"/>
      <c r="R220" s="26"/>
      <c r="S220" s="26"/>
      <c r="T220" s="26"/>
      <c r="U220" s="26"/>
      <c r="V220" s="26"/>
      <c r="W220" s="26"/>
      <c r="X220" s="26"/>
      <c r="Y220" s="26"/>
      <c r="Z220" s="26"/>
      <c r="AA220" s="29"/>
      <c r="AB220" s="29"/>
      <c r="AC220" s="16"/>
      <c r="AD220" s="16"/>
      <c r="AE220" s="17"/>
      <c r="AF220" s="17"/>
      <c r="AG220" s="17"/>
      <c r="AH220" s="17"/>
      <c r="AI220" s="19"/>
      <c r="AJ220" s="19"/>
      <c r="AK220" s="19"/>
      <c r="AL220" s="19"/>
      <c r="AM220" s="19"/>
      <c r="AN220" s="19"/>
      <c r="AO220" s="19"/>
      <c r="AP220" s="19"/>
      <c r="AQ220" s="19"/>
      <c r="AR220" s="19"/>
      <c r="AS220" s="19"/>
    </row>
    <row r="221" spans="2:45" s="2" customFormat="1">
      <c r="B221" s="22"/>
      <c r="C221" s="23"/>
      <c r="D221" s="24"/>
      <c r="E221" s="25"/>
      <c r="F221" s="26"/>
      <c r="G221" s="26"/>
      <c r="H221" s="26"/>
      <c r="I221" s="26"/>
      <c r="J221" s="26"/>
      <c r="K221" s="26"/>
      <c r="L221" s="26"/>
      <c r="M221" s="26"/>
      <c r="N221" s="26"/>
      <c r="O221" s="29"/>
      <c r="P221" s="26"/>
      <c r="Q221" s="26"/>
      <c r="R221" s="26"/>
      <c r="S221" s="26"/>
      <c r="T221" s="26"/>
      <c r="U221" s="26"/>
      <c r="V221" s="26"/>
      <c r="W221" s="26"/>
      <c r="X221" s="26"/>
      <c r="Y221" s="26"/>
      <c r="Z221" s="26"/>
      <c r="AA221" s="29"/>
      <c r="AB221" s="29"/>
      <c r="AC221" s="16"/>
      <c r="AD221" s="16"/>
      <c r="AE221" s="17"/>
      <c r="AF221" s="17"/>
      <c r="AG221" s="17"/>
      <c r="AH221" s="17"/>
      <c r="AI221" s="19"/>
      <c r="AJ221" s="19"/>
      <c r="AK221" s="19"/>
      <c r="AL221" s="19"/>
      <c r="AM221" s="19"/>
      <c r="AN221" s="19"/>
      <c r="AO221" s="19"/>
      <c r="AP221" s="19"/>
      <c r="AQ221" s="19"/>
      <c r="AR221" s="19"/>
      <c r="AS221" s="19"/>
    </row>
    <row r="222" spans="2:45" s="2" customFormat="1">
      <c r="B222" s="22"/>
      <c r="C222" s="23"/>
      <c r="D222" s="24"/>
      <c r="E222" s="25"/>
      <c r="F222" s="26"/>
      <c r="G222" s="26"/>
      <c r="H222" s="26"/>
      <c r="I222" s="26"/>
      <c r="J222" s="26"/>
      <c r="K222" s="26"/>
      <c r="L222" s="26"/>
      <c r="M222" s="26"/>
      <c r="N222" s="26"/>
      <c r="O222" s="29"/>
      <c r="P222" s="26"/>
      <c r="Q222" s="26"/>
      <c r="R222" s="26"/>
      <c r="S222" s="26"/>
      <c r="T222" s="26"/>
      <c r="U222" s="26"/>
      <c r="V222" s="26"/>
      <c r="W222" s="26"/>
      <c r="X222" s="26"/>
      <c r="Y222" s="26"/>
      <c r="Z222" s="26"/>
      <c r="AA222" s="29"/>
      <c r="AB222" s="29"/>
      <c r="AC222" s="16"/>
      <c r="AD222" s="16"/>
      <c r="AE222" s="17"/>
      <c r="AF222" s="17"/>
      <c r="AG222" s="17"/>
      <c r="AH222" s="17"/>
      <c r="AI222" s="19"/>
      <c r="AJ222" s="19"/>
      <c r="AK222" s="19"/>
      <c r="AL222" s="19"/>
      <c r="AM222" s="19"/>
      <c r="AN222" s="19"/>
      <c r="AO222" s="19"/>
      <c r="AP222" s="19"/>
      <c r="AQ222" s="19"/>
      <c r="AR222" s="19"/>
      <c r="AS222" s="19"/>
    </row>
    <row r="223" spans="2:45" s="2" customFormat="1">
      <c r="B223" s="22"/>
      <c r="C223" s="23"/>
      <c r="D223" s="24"/>
      <c r="E223" s="25"/>
      <c r="F223" s="26"/>
      <c r="G223" s="26"/>
      <c r="H223" s="26"/>
      <c r="I223" s="26"/>
      <c r="J223" s="26"/>
      <c r="K223" s="26"/>
      <c r="L223" s="26"/>
      <c r="M223" s="26"/>
      <c r="N223" s="26"/>
      <c r="O223" s="29"/>
      <c r="P223" s="26"/>
      <c r="Q223" s="26"/>
      <c r="R223" s="26"/>
      <c r="S223" s="26"/>
      <c r="T223" s="26"/>
      <c r="U223" s="26"/>
      <c r="V223" s="26"/>
      <c r="W223" s="26"/>
      <c r="X223" s="26"/>
      <c r="Y223" s="26"/>
      <c r="Z223" s="26"/>
      <c r="AA223" s="29"/>
      <c r="AB223" s="29"/>
      <c r="AC223" s="16"/>
      <c r="AD223" s="16"/>
      <c r="AE223" s="17"/>
      <c r="AF223" s="17"/>
      <c r="AG223" s="17"/>
      <c r="AH223" s="17"/>
      <c r="AI223" s="19"/>
      <c r="AJ223" s="19"/>
      <c r="AK223" s="19"/>
      <c r="AL223" s="19"/>
      <c r="AM223" s="19"/>
      <c r="AN223" s="19"/>
      <c r="AO223" s="19"/>
      <c r="AP223" s="19"/>
      <c r="AQ223" s="19"/>
      <c r="AR223" s="19"/>
      <c r="AS223" s="19"/>
    </row>
    <row r="224" spans="2:45" s="2" customFormat="1">
      <c r="B224" s="22"/>
      <c r="C224" s="23"/>
      <c r="D224" s="24"/>
      <c r="E224" s="25"/>
      <c r="F224" s="26"/>
      <c r="G224" s="26"/>
      <c r="H224" s="26"/>
      <c r="I224" s="26"/>
      <c r="J224" s="26"/>
      <c r="K224" s="26"/>
      <c r="L224" s="26"/>
      <c r="M224" s="26"/>
      <c r="N224" s="26"/>
      <c r="O224" s="29"/>
      <c r="P224" s="26"/>
      <c r="Q224" s="26"/>
      <c r="R224" s="26"/>
      <c r="S224" s="26"/>
      <c r="T224" s="26"/>
      <c r="U224" s="26"/>
      <c r="V224" s="26"/>
      <c r="W224" s="26"/>
      <c r="X224" s="26"/>
      <c r="Y224" s="26"/>
      <c r="Z224" s="26"/>
      <c r="AA224" s="29"/>
      <c r="AB224" s="29"/>
      <c r="AC224" s="16"/>
      <c r="AD224" s="16"/>
      <c r="AE224" s="17"/>
      <c r="AF224" s="17"/>
      <c r="AG224" s="17"/>
      <c r="AH224" s="17"/>
      <c r="AI224" s="19"/>
      <c r="AJ224" s="19"/>
      <c r="AK224" s="19"/>
      <c r="AL224" s="19"/>
      <c r="AM224" s="19"/>
      <c r="AN224" s="19"/>
      <c r="AO224" s="19"/>
      <c r="AP224" s="19"/>
      <c r="AQ224" s="19"/>
      <c r="AR224" s="19"/>
      <c r="AS224" s="19"/>
    </row>
    <row r="225" spans="2:45" s="2" customFormat="1">
      <c r="B225" s="22"/>
      <c r="C225" s="23"/>
      <c r="D225" s="24"/>
      <c r="E225" s="25"/>
      <c r="F225" s="26"/>
      <c r="G225" s="26"/>
      <c r="H225" s="26"/>
      <c r="I225" s="26"/>
      <c r="J225" s="26"/>
      <c r="K225" s="26"/>
      <c r="L225" s="26"/>
      <c r="M225" s="26"/>
      <c r="N225" s="26"/>
      <c r="O225" s="29"/>
      <c r="P225" s="26"/>
      <c r="Q225" s="26"/>
      <c r="R225" s="26"/>
      <c r="S225" s="26"/>
      <c r="T225" s="26"/>
      <c r="U225" s="26"/>
      <c r="V225" s="26"/>
      <c r="W225" s="26"/>
      <c r="X225" s="26"/>
      <c r="Y225" s="26"/>
      <c r="Z225" s="26"/>
      <c r="AA225" s="29"/>
      <c r="AB225" s="29"/>
      <c r="AC225" s="16"/>
      <c r="AD225" s="16"/>
      <c r="AE225" s="17"/>
      <c r="AF225" s="17"/>
      <c r="AG225" s="17"/>
      <c r="AH225" s="17"/>
      <c r="AI225" s="19"/>
      <c r="AJ225" s="19"/>
      <c r="AK225" s="19"/>
      <c r="AL225" s="19"/>
      <c r="AM225" s="19"/>
      <c r="AN225" s="19"/>
      <c r="AO225" s="19"/>
      <c r="AP225" s="19"/>
      <c r="AQ225" s="19"/>
      <c r="AR225" s="19"/>
      <c r="AS225" s="19"/>
    </row>
    <row r="226" spans="2:45" s="2" customFormat="1">
      <c r="B226" s="22"/>
      <c r="C226" s="23"/>
      <c r="D226" s="24"/>
      <c r="E226" s="25"/>
      <c r="F226" s="26"/>
      <c r="G226" s="26"/>
      <c r="H226" s="26"/>
      <c r="I226" s="26"/>
      <c r="J226" s="26"/>
      <c r="K226" s="26"/>
      <c r="L226" s="26"/>
      <c r="M226" s="26"/>
      <c r="N226" s="26"/>
      <c r="O226" s="29"/>
      <c r="P226" s="26"/>
      <c r="Q226" s="26"/>
      <c r="R226" s="26"/>
      <c r="S226" s="26"/>
      <c r="T226" s="26"/>
      <c r="U226" s="26"/>
      <c r="V226" s="26"/>
      <c r="W226" s="26"/>
      <c r="X226" s="26"/>
      <c r="Y226" s="26"/>
      <c r="Z226" s="26"/>
      <c r="AA226" s="29"/>
      <c r="AB226" s="29"/>
      <c r="AC226" s="16"/>
      <c r="AD226" s="16"/>
      <c r="AE226" s="17"/>
      <c r="AF226" s="17"/>
      <c r="AG226" s="17"/>
      <c r="AH226" s="17"/>
      <c r="AI226" s="19"/>
      <c r="AJ226" s="19"/>
      <c r="AK226" s="19"/>
      <c r="AL226" s="19"/>
      <c r="AM226" s="19"/>
      <c r="AN226" s="19"/>
      <c r="AO226" s="19"/>
      <c r="AP226" s="19"/>
      <c r="AQ226" s="19"/>
      <c r="AR226" s="19"/>
      <c r="AS226" s="19"/>
    </row>
    <row r="227" spans="2:45" s="2" customFormat="1">
      <c r="B227" s="22"/>
      <c r="C227" s="23"/>
      <c r="D227" s="24"/>
      <c r="E227" s="25"/>
      <c r="F227" s="26"/>
      <c r="G227" s="26"/>
      <c r="H227" s="26"/>
      <c r="I227" s="26"/>
      <c r="J227" s="26"/>
      <c r="K227" s="26"/>
      <c r="L227" s="26"/>
      <c r="M227" s="26"/>
      <c r="N227" s="26"/>
      <c r="O227" s="29"/>
      <c r="P227" s="26"/>
      <c r="Q227" s="26"/>
      <c r="R227" s="26"/>
      <c r="S227" s="26"/>
      <c r="T227" s="26"/>
      <c r="U227" s="26"/>
      <c r="V227" s="26"/>
      <c r="W227" s="26"/>
      <c r="X227" s="26"/>
      <c r="Y227" s="26"/>
      <c r="Z227" s="26"/>
      <c r="AA227" s="29"/>
      <c r="AB227" s="29"/>
      <c r="AC227" s="16"/>
      <c r="AD227" s="16"/>
      <c r="AE227" s="17"/>
      <c r="AF227" s="17"/>
      <c r="AG227" s="17"/>
      <c r="AH227" s="17"/>
      <c r="AI227" s="19"/>
      <c r="AJ227" s="19"/>
      <c r="AK227" s="19"/>
      <c r="AL227" s="19"/>
      <c r="AM227" s="19"/>
      <c r="AN227" s="19"/>
      <c r="AO227" s="19"/>
      <c r="AP227" s="19"/>
      <c r="AQ227" s="19"/>
      <c r="AR227" s="19"/>
      <c r="AS227" s="19"/>
    </row>
    <row r="228" spans="2:45" s="2" customFormat="1">
      <c r="B228" s="22"/>
      <c r="C228" s="23"/>
      <c r="D228" s="24"/>
      <c r="E228" s="25"/>
      <c r="F228" s="26"/>
      <c r="G228" s="26"/>
      <c r="H228" s="26"/>
      <c r="I228" s="26"/>
      <c r="J228" s="26"/>
      <c r="K228" s="26"/>
      <c r="L228" s="26"/>
      <c r="M228" s="26"/>
      <c r="N228" s="26"/>
      <c r="O228" s="29"/>
      <c r="P228" s="26"/>
      <c r="Q228" s="26"/>
      <c r="R228" s="26"/>
      <c r="S228" s="26"/>
      <c r="T228" s="26"/>
      <c r="U228" s="26"/>
      <c r="V228" s="26"/>
      <c r="W228" s="26"/>
      <c r="X228" s="26"/>
      <c r="Y228" s="26"/>
      <c r="Z228" s="26"/>
      <c r="AA228" s="29"/>
      <c r="AB228" s="29"/>
      <c r="AC228" s="16"/>
      <c r="AD228" s="16"/>
      <c r="AE228" s="17"/>
      <c r="AF228" s="17"/>
      <c r="AG228" s="17"/>
      <c r="AH228" s="17"/>
      <c r="AI228" s="19"/>
      <c r="AJ228" s="19"/>
      <c r="AK228" s="19"/>
      <c r="AL228" s="19"/>
      <c r="AM228" s="19"/>
      <c r="AN228" s="19"/>
      <c r="AO228" s="19"/>
      <c r="AP228" s="19"/>
      <c r="AQ228" s="19"/>
      <c r="AR228" s="19"/>
      <c r="AS228" s="19"/>
    </row>
    <row r="229" spans="2:45" s="2" customFormat="1">
      <c r="B229" s="22"/>
      <c r="C229" s="23"/>
      <c r="D229" s="24"/>
      <c r="E229" s="25"/>
      <c r="F229" s="26"/>
      <c r="G229" s="26"/>
      <c r="H229" s="26"/>
      <c r="I229" s="26"/>
      <c r="J229" s="26"/>
      <c r="K229" s="26"/>
      <c r="L229" s="26"/>
      <c r="M229" s="26"/>
      <c r="N229" s="26"/>
      <c r="O229" s="29"/>
      <c r="P229" s="26"/>
      <c r="Q229" s="26"/>
      <c r="R229" s="26"/>
      <c r="S229" s="26"/>
      <c r="T229" s="26"/>
      <c r="U229" s="26"/>
      <c r="V229" s="26"/>
      <c r="W229" s="26"/>
      <c r="X229" s="26"/>
      <c r="Y229" s="26"/>
      <c r="Z229" s="26"/>
      <c r="AA229" s="29"/>
      <c r="AB229" s="29"/>
      <c r="AC229" s="16"/>
      <c r="AD229" s="16"/>
      <c r="AE229" s="17"/>
      <c r="AF229" s="17"/>
      <c r="AG229" s="17"/>
      <c r="AH229" s="17"/>
      <c r="AI229" s="19"/>
      <c r="AJ229" s="19"/>
      <c r="AK229" s="19"/>
      <c r="AL229" s="19"/>
      <c r="AM229" s="19"/>
      <c r="AN229" s="19"/>
      <c r="AO229" s="19"/>
      <c r="AP229" s="19"/>
      <c r="AQ229" s="19"/>
      <c r="AR229" s="19"/>
      <c r="AS229" s="19"/>
    </row>
    <row r="230" spans="2:45" s="2" customFormat="1">
      <c r="B230" s="22"/>
      <c r="C230" s="23"/>
      <c r="D230" s="24"/>
      <c r="E230" s="25"/>
      <c r="F230" s="26"/>
      <c r="G230" s="26"/>
      <c r="H230" s="26"/>
      <c r="I230" s="26"/>
      <c r="J230" s="26"/>
      <c r="K230" s="26"/>
      <c r="L230" s="26"/>
      <c r="M230" s="26"/>
      <c r="N230" s="26"/>
      <c r="O230" s="29"/>
      <c r="P230" s="26"/>
      <c r="Q230" s="26"/>
      <c r="R230" s="26"/>
      <c r="S230" s="26"/>
      <c r="T230" s="26"/>
      <c r="U230" s="26"/>
      <c r="V230" s="26"/>
      <c r="W230" s="26"/>
      <c r="X230" s="26"/>
      <c r="Y230" s="26"/>
      <c r="Z230" s="26"/>
      <c r="AA230" s="29"/>
      <c r="AB230" s="29"/>
      <c r="AC230" s="16"/>
      <c r="AD230" s="16"/>
      <c r="AE230" s="17"/>
      <c r="AF230" s="17"/>
      <c r="AG230" s="17"/>
      <c r="AH230" s="17"/>
      <c r="AI230" s="19"/>
      <c r="AJ230" s="19"/>
      <c r="AK230" s="19"/>
      <c r="AL230" s="19"/>
      <c r="AM230" s="19"/>
      <c r="AN230" s="19"/>
      <c r="AO230" s="19"/>
      <c r="AP230" s="19"/>
      <c r="AQ230" s="19"/>
      <c r="AR230" s="19"/>
      <c r="AS230" s="19"/>
    </row>
    <row r="231" spans="2:45" s="2" customFormat="1">
      <c r="B231" s="22"/>
      <c r="C231" s="23"/>
      <c r="D231" s="24"/>
      <c r="E231" s="25"/>
      <c r="F231" s="26"/>
      <c r="G231" s="26"/>
      <c r="H231" s="26"/>
      <c r="I231" s="26"/>
      <c r="J231" s="26"/>
      <c r="K231" s="26"/>
      <c r="L231" s="26"/>
      <c r="M231" s="26"/>
      <c r="N231" s="26"/>
      <c r="O231" s="29"/>
      <c r="P231" s="26"/>
      <c r="Q231" s="26"/>
      <c r="R231" s="26"/>
      <c r="S231" s="26"/>
      <c r="T231" s="26"/>
      <c r="U231" s="26"/>
      <c r="V231" s="26"/>
      <c r="W231" s="26"/>
      <c r="X231" s="26"/>
      <c r="Y231" s="26"/>
      <c r="Z231" s="26"/>
      <c r="AA231" s="29"/>
      <c r="AB231" s="29"/>
      <c r="AC231" s="16"/>
      <c r="AD231" s="16"/>
      <c r="AE231" s="17"/>
      <c r="AF231" s="17"/>
      <c r="AG231" s="17"/>
      <c r="AH231" s="17"/>
      <c r="AI231" s="19"/>
      <c r="AJ231" s="19"/>
      <c r="AK231" s="19"/>
      <c r="AL231" s="19"/>
      <c r="AM231" s="19"/>
      <c r="AN231" s="19"/>
      <c r="AO231" s="19"/>
      <c r="AP231" s="19"/>
      <c r="AQ231" s="19"/>
      <c r="AR231" s="19"/>
      <c r="AS231" s="19"/>
    </row>
    <row r="232" spans="2:45" s="2" customFormat="1">
      <c r="B232" s="22"/>
      <c r="C232" s="23"/>
      <c r="D232" s="24"/>
      <c r="E232" s="25"/>
      <c r="F232" s="26"/>
      <c r="G232" s="26"/>
      <c r="H232" s="26"/>
      <c r="I232" s="26"/>
      <c r="J232" s="26"/>
      <c r="K232" s="26"/>
      <c r="L232" s="26"/>
      <c r="M232" s="26"/>
      <c r="N232" s="26"/>
      <c r="O232" s="29"/>
      <c r="P232" s="26"/>
      <c r="Q232" s="26"/>
      <c r="R232" s="26"/>
      <c r="S232" s="26"/>
      <c r="T232" s="26"/>
      <c r="U232" s="26"/>
      <c r="V232" s="26"/>
      <c r="W232" s="26"/>
      <c r="X232" s="26"/>
      <c r="Y232" s="26"/>
      <c r="Z232" s="26"/>
      <c r="AA232" s="29"/>
      <c r="AB232" s="29"/>
      <c r="AC232" s="16"/>
      <c r="AD232" s="16"/>
      <c r="AE232" s="17"/>
      <c r="AF232" s="17"/>
      <c r="AG232" s="17"/>
      <c r="AH232" s="17"/>
      <c r="AI232" s="19"/>
      <c r="AJ232" s="19"/>
      <c r="AK232" s="19"/>
      <c r="AL232" s="19"/>
      <c r="AM232" s="19"/>
      <c r="AN232" s="19"/>
      <c r="AO232" s="19"/>
      <c r="AP232" s="19"/>
      <c r="AQ232" s="19"/>
      <c r="AR232" s="19"/>
      <c r="AS232" s="19"/>
    </row>
    <row r="233" spans="2:45" s="2" customFormat="1">
      <c r="B233" s="22"/>
      <c r="C233" s="23"/>
      <c r="D233" s="24"/>
      <c r="E233" s="25"/>
      <c r="F233" s="26"/>
      <c r="G233" s="26"/>
      <c r="H233" s="26"/>
      <c r="I233" s="26"/>
      <c r="J233" s="26"/>
      <c r="K233" s="26"/>
      <c r="L233" s="26"/>
      <c r="M233" s="26"/>
      <c r="N233" s="26"/>
      <c r="O233" s="29"/>
      <c r="P233" s="26"/>
      <c r="Q233" s="26"/>
      <c r="R233" s="26"/>
      <c r="S233" s="26"/>
      <c r="T233" s="26"/>
      <c r="U233" s="26"/>
      <c r="V233" s="26"/>
      <c r="W233" s="26"/>
      <c r="X233" s="26"/>
      <c r="Y233" s="26"/>
      <c r="Z233" s="26"/>
      <c r="AA233" s="29"/>
      <c r="AB233" s="29"/>
      <c r="AC233" s="16"/>
      <c r="AD233" s="16"/>
      <c r="AE233" s="17"/>
      <c r="AF233" s="17"/>
      <c r="AG233" s="17"/>
      <c r="AH233" s="17"/>
      <c r="AI233" s="19"/>
      <c r="AJ233" s="19"/>
      <c r="AK233" s="19"/>
      <c r="AL233" s="19"/>
      <c r="AM233" s="19"/>
      <c r="AN233" s="19"/>
      <c r="AO233" s="19"/>
      <c r="AP233" s="19"/>
      <c r="AQ233" s="19"/>
      <c r="AR233" s="19"/>
      <c r="AS233" s="19"/>
    </row>
    <row r="234" spans="2:45" s="2" customFormat="1">
      <c r="B234" s="22"/>
      <c r="C234" s="23"/>
      <c r="D234" s="24"/>
      <c r="E234" s="25"/>
      <c r="F234" s="26"/>
      <c r="G234" s="26"/>
      <c r="H234" s="26"/>
      <c r="I234" s="26"/>
      <c r="J234" s="26"/>
      <c r="K234" s="26"/>
      <c r="L234" s="26"/>
      <c r="M234" s="26"/>
      <c r="N234" s="26"/>
      <c r="O234" s="29"/>
      <c r="P234" s="26"/>
      <c r="Q234" s="26"/>
      <c r="R234" s="26"/>
      <c r="S234" s="26"/>
      <c r="T234" s="26"/>
      <c r="U234" s="26"/>
      <c r="V234" s="26"/>
      <c r="W234" s="26"/>
      <c r="X234" s="26"/>
      <c r="Y234" s="26"/>
      <c r="Z234" s="26"/>
      <c r="AA234" s="29"/>
      <c r="AB234" s="29"/>
      <c r="AC234" s="16"/>
      <c r="AD234" s="16"/>
      <c r="AE234" s="17"/>
      <c r="AF234" s="17"/>
      <c r="AG234" s="17"/>
      <c r="AH234" s="17"/>
      <c r="AI234" s="19"/>
      <c r="AJ234" s="19"/>
      <c r="AK234" s="19"/>
      <c r="AL234" s="19"/>
      <c r="AM234" s="19"/>
      <c r="AN234" s="19"/>
      <c r="AO234" s="19"/>
      <c r="AP234" s="19"/>
      <c r="AQ234" s="19"/>
      <c r="AR234" s="19"/>
      <c r="AS234" s="19"/>
    </row>
    <row r="235" spans="2:45" s="2" customFormat="1">
      <c r="B235" s="22"/>
      <c r="C235" s="23"/>
      <c r="D235" s="24"/>
      <c r="E235" s="25"/>
      <c r="F235" s="26"/>
      <c r="G235" s="26"/>
      <c r="H235" s="26"/>
      <c r="I235" s="26"/>
      <c r="J235" s="26"/>
      <c r="K235" s="26"/>
      <c r="L235" s="26"/>
      <c r="M235" s="26"/>
      <c r="N235" s="26"/>
      <c r="O235" s="29"/>
      <c r="P235" s="26"/>
      <c r="Q235" s="26"/>
      <c r="R235" s="26"/>
      <c r="S235" s="26"/>
      <c r="T235" s="26"/>
      <c r="U235" s="26"/>
      <c r="V235" s="26"/>
      <c r="W235" s="26"/>
      <c r="X235" s="26"/>
      <c r="Y235" s="26"/>
      <c r="Z235" s="26"/>
      <c r="AA235" s="29"/>
      <c r="AB235" s="29"/>
      <c r="AC235" s="16"/>
      <c r="AD235" s="16"/>
      <c r="AE235" s="17"/>
      <c r="AF235" s="17"/>
      <c r="AG235" s="17"/>
      <c r="AH235" s="17"/>
      <c r="AI235" s="19"/>
      <c r="AJ235" s="19"/>
      <c r="AK235" s="19"/>
      <c r="AL235" s="19"/>
      <c r="AM235" s="19"/>
      <c r="AN235" s="19"/>
      <c r="AO235" s="19"/>
      <c r="AP235" s="19"/>
      <c r="AQ235" s="19"/>
      <c r="AR235" s="19"/>
      <c r="AS235" s="19"/>
    </row>
    <row r="236" spans="2:45" s="2" customFormat="1">
      <c r="B236" s="22"/>
      <c r="C236" s="23"/>
      <c r="D236" s="24"/>
      <c r="E236" s="25"/>
      <c r="F236" s="26"/>
      <c r="G236" s="26"/>
      <c r="H236" s="26"/>
      <c r="I236" s="26"/>
      <c r="J236" s="26"/>
      <c r="K236" s="26"/>
      <c r="L236" s="26"/>
      <c r="M236" s="26"/>
      <c r="N236" s="26"/>
      <c r="O236" s="29"/>
      <c r="P236" s="26"/>
      <c r="Q236" s="26"/>
      <c r="R236" s="26"/>
      <c r="S236" s="26"/>
      <c r="T236" s="26"/>
      <c r="U236" s="26"/>
      <c r="V236" s="26"/>
      <c r="W236" s="26"/>
      <c r="X236" s="26"/>
      <c r="Y236" s="26"/>
      <c r="Z236" s="26"/>
      <c r="AA236" s="29"/>
      <c r="AB236" s="29"/>
      <c r="AC236" s="16"/>
      <c r="AD236" s="16"/>
      <c r="AE236" s="17"/>
      <c r="AF236" s="17"/>
      <c r="AG236" s="17"/>
      <c r="AH236" s="17"/>
      <c r="AI236" s="19"/>
      <c r="AJ236" s="19"/>
      <c r="AK236" s="19"/>
      <c r="AL236" s="19"/>
      <c r="AM236" s="19"/>
      <c r="AN236" s="19"/>
      <c r="AO236" s="19"/>
      <c r="AP236" s="19"/>
      <c r="AQ236" s="19"/>
      <c r="AR236" s="19"/>
      <c r="AS236" s="19"/>
    </row>
    <row r="237" spans="2:45" s="2" customFormat="1">
      <c r="B237" s="22"/>
      <c r="C237" s="23"/>
      <c r="D237" s="24"/>
      <c r="E237" s="25"/>
      <c r="F237" s="26"/>
      <c r="G237" s="26"/>
      <c r="H237" s="26"/>
      <c r="I237" s="26"/>
      <c r="J237" s="26"/>
      <c r="K237" s="26"/>
      <c r="L237" s="26"/>
      <c r="M237" s="26"/>
      <c r="N237" s="26"/>
      <c r="O237" s="29"/>
      <c r="P237" s="26"/>
      <c r="Q237" s="26"/>
      <c r="R237" s="26"/>
      <c r="S237" s="26"/>
      <c r="T237" s="26"/>
      <c r="U237" s="26"/>
      <c r="V237" s="26"/>
      <c r="W237" s="26"/>
      <c r="X237" s="26"/>
      <c r="Y237" s="26"/>
      <c r="Z237" s="26"/>
      <c r="AA237" s="29"/>
      <c r="AB237" s="29"/>
      <c r="AC237" s="16"/>
      <c r="AD237" s="16"/>
      <c r="AE237" s="17"/>
      <c r="AF237" s="17"/>
      <c r="AG237" s="17"/>
      <c r="AH237" s="17"/>
      <c r="AI237" s="19"/>
      <c r="AJ237" s="19"/>
      <c r="AK237" s="19"/>
      <c r="AL237" s="19"/>
      <c r="AM237" s="19"/>
      <c r="AN237" s="19"/>
      <c r="AO237" s="19"/>
      <c r="AP237" s="19"/>
      <c r="AQ237" s="19"/>
      <c r="AR237" s="19"/>
      <c r="AS237" s="19"/>
    </row>
    <row r="238" spans="2:45" s="2" customFormat="1">
      <c r="B238" s="22"/>
      <c r="C238" s="23"/>
      <c r="D238" s="24"/>
      <c r="E238" s="25"/>
      <c r="F238" s="26"/>
      <c r="G238" s="26"/>
      <c r="H238" s="26"/>
      <c r="I238" s="26"/>
      <c r="J238" s="26"/>
      <c r="K238" s="26"/>
      <c r="L238" s="26"/>
      <c r="M238" s="26"/>
      <c r="N238" s="26"/>
      <c r="O238" s="29"/>
      <c r="P238" s="26"/>
      <c r="Q238" s="26"/>
      <c r="R238" s="26"/>
      <c r="S238" s="26"/>
      <c r="T238" s="26"/>
      <c r="U238" s="26"/>
      <c r="V238" s="26"/>
      <c r="W238" s="26"/>
      <c r="X238" s="26"/>
      <c r="Y238" s="26"/>
      <c r="Z238" s="26"/>
      <c r="AA238" s="29"/>
      <c r="AB238" s="29"/>
      <c r="AC238" s="16"/>
      <c r="AD238" s="16"/>
      <c r="AE238" s="17"/>
      <c r="AF238" s="17"/>
      <c r="AG238" s="17"/>
      <c r="AH238" s="17"/>
      <c r="AI238" s="19"/>
      <c r="AJ238" s="19"/>
      <c r="AK238" s="19"/>
      <c r="AL238" s="19"/>
      <c r="AM238" s="19"/>
      <c r="AN238" s="19"/>
      <c r="AO238" s="19"/>
      <c r="AP238" s="19"/>
      <c r="AQ238" s="19"/>
      <c r="AR238" s="19"/>
      <c r="AS238" s="19"/>
    </row>
    <row r="239" spans="2:45" s="2" customFormat="1">
      <c r="B239" s="22"/>
      <c r="C239" s="23"/>
      <c r="D239" s="24"/>
      <c r="E239" s="25"/>
      <c r="F239" s="26"/>
      <c r="G239" s="26"/>
      <c r="H239" s="26"/>
      <c r="I239" s="26"/>
      <c r="J239" s="26"/>
      <c r="K239" s="26"/>
      <c r="L239" s="26"/>
      <c r="M239" s="26"/>
      <c r="N239" s="26"/>
      <c r="O239" s="29"/>
      <c r="P239" s="26"/>
      <c r="Q239" s="26"/>
      <c r="R239" s="26"/>
      <c r="S239" s="26"/>
      <c r="T239" s="26"/>
      <c r="U239" s="26"/>
      <c r="V239" s="26"/>
      <c r="W239" s="26"/>
      <c r="X239" s="26"/>
      <c r="Y239" s="26"/>
      <c r="Z239" s="26"/>
      <c r="AA239" s="29"/>
      <c r="AB239" s="29"/>
      <c r="AC239" s="16"/>
      <c r="AD239" s="16"/>
      <c r="AE239" s="17"/>
      <c r="AF239" s="17"/>
      <c r="AG239" s="17"/>
      <c r="AH239" s="17"/>
      <c r="AI239" s="19"/>
      <c r="AJ239" s="19"/>
      <c r="AK239" s="19"/>
      <c r="AL239" s="19"/>
      <c r="AM239" s="19"/>
      <c r="AN239" s="19"/>
      <c r="AO239" s="19"/>
      <c r="AP239" s="19"/>
      <c r="AQ239" s="19"/>
      <c r="AR239" s="19"/>
      <c r="AS239" s="19"/>
    </row>
    <row r="240" spans="2:45" s="2" customFormat="1">
      <c r="B240" s="22"/>
      <c r="C240" s="23"/>
      <c r="D240" s="24"/>
      <c r="E240" s="25"/>
      <c r="F240" s="26"/>
      <c r="G240" s="26"/>
      <c r="H240" s="26"/>
      <c r="I240" s="26"/>
      <c r="J240" s="26"/>
      <c r="K240" s="26"/>
      <c r="L240" s="26"/>
      <c r="M240" s="26"/>
      <c r="N240" s="26"/>
      <c r="O240" s="29"/>
      <c r="P240" s="26"/>
      <c r="Q240" s="26"/>
      <c r="R240" s="26"/>
      <c r="S240" s="26"/>
      <c r="T240" s="26"/>
      <c r="U240" s="26"/>
      <c r="V240" s="26"/>
      <c r="W240" s="26"/>
      <c r="X240" s="26"/>
      <c r="Y240" s="26"/>
      <c r="Z240" s="26"/>
      <c r="AA240" s="29"/>
      <c r="AB240" s="29"/>
      <c r="AC240" s="16"/>
      <c r="AD240" s="16"/>
      <c r="AE240" s="17"/>
      <c r="AF240" s="17"/>
      <c r="AG240" s="17"/>
      <c r="AH240" s="17"/>
      <c r="AI240" s="19"/>
      <c r="AJ240" s="19"/>
      <c r="AK240" s="19"/>
      <c r="AL240" s="19"/>
      <c r="AM240" s="19"/>
      <c r="AN240" s="19"/>
      <c r="AO240" s="19"/>
      <c r="AP240" s="19"/>
      <c r="AQ240" s="19"/>
      <c r="AR240" s="19"/>
      <c r="AS240" s="19"/>
    </row>
    <row r="241" spans="2:45" s="2" customFormat="1">
      <c r="B241" s="22"/>
      <c r="C241" s="23"/>
      <c r="D241" s="24"/>
      <c r="E241" s="25"/>
      <c r="F241" s="26"/>
      <c r="G241" s="26"/>
      <c r="H241" s="26"/>
      <c r="I241" s="26"/>
      <c r="J241" s="26"/>
      <c r="K241" s="26"/>
      <c r="L241" s="26"/>
      <c r="M241" s="26"/>
      <c r="N241" s="26"/>
      <c r="O241" s="29"/>
      <c r="P241" s="26"/>
      <c r="Q241" s="26"/>
      <c r="R241" s="26"/>
      <c r="S241" s="26"/>
      <c r="T241" s="26"/>
      <c r="U241" s="26"/>
      <c r="V241" s="26"/>
      <c r="W241" s="26"/>
      <c r="X241" s="26"/>
      <c r="Y241" s="26"/>
      <c r="Z241" s="26"/>
      <c r="AA241" s="29"/>
      <c r="AB241" s="29"/>
      <c r="AC241" s="16"/>
      <c r="AD241" s="16"/>
      <c r="AE241" s="17"/>
      <c r="AF241" s="17"/>
      <c r="AG241" s="17"/>
      <c r="AH241" s="17"/>
      <c r="AI241" s="19"/>
      <c r="AJ241" s="19"/>
      <c r="AK241" s="19"/>
      <c r="AL241" s="19"/>
      <c r="AM241" s="19"/>
      <c r="AN241" s="19"/>
      <c r="AO241" s="19"/>
      <c r="AP241" s="19"/>
      <c r="AQ241" s="19"/>
      <c r="AR241" s="19"/>
      <c r="AS241" s="19"/>
    </row>
    <row r="242" spans="2:45" s="2" customFormat="1">
      <c r="B242" s="22"/>
      <c r="C242" s="23"/>
      <c r="D242" s="24"/>
      <c r="E242" s="25"/>
      <c r="F242" s="26"/>
      <c r="G242" s="26"/>
      <c r="H242" s="26"/>
      <c r="I242" s="26"/>
      <c r="J242" s="26"/>
      <c r="K242" s="26"/>
      <c r="L242" s="26"/>
      <c r="M242" s="26"/>
      <c r="N242" s="26"/>
      <c r="O242" s="29"/>
      <c r="P242" s="26"/>
      <c r="Q242" s="26"/>
      <c r="R242" s="26"/>
      <c r="S242" s="26"/>
      <c r="T242" s="26"/>
      <c r="U242" s="26"/>
      <c r="V242" s="26"/>
      <c r="W242" s="26"/>
      <c r="X242" s="26"/>
      <c r="Y242" s="26"/>
      <c r="Z242" s="26"/>
      <c r="AA242" s="29"/>
      <c r="AB242" s="29"/>
      <c r="AC242" s="16"/>
      <c r="AD242" s="16"/>
      <c r="AE242" s="17"/>
      <c r="AF242" s="17"/>
      <c r="AG242" s="17"/>
      <c r="AH242" s="17"/>
      <c r="AI242" s="19"/>
      <c r="AJ242" s="19"/>
      <c r="AK242" s="19"/>
      <c r="AL242" s="19"/>
      <c r="AM242" s="19"/>
      <c r="AN242" s="19"/>
      <c r="AO242" s="19"/>
      <c r="AP242" s="19"/>
      <c r="AQ242" s="19"/>
      <c r="AR242" s="19"/>
      <c r="AS242" s="19"/>
    </row>
    <row r="243" spans="2:45" s="2" customFormat="1">
      <c r="B243" s="22"/>
      <c r="C243" s="23"/>
      <c r="D243" s="24"/>
      <c r="E243" s="25"/>
      <c r="F243" s="26"/>
      <c r="G243" s="26"/>
      <c r="H243" s="26"/>
      <c r="I243" s="26"/>
      <c r="J243" s="26"/>
      <c r="K243" s="26"/>
      <c r="L243" s="26"/>
      <c r="M243" s="26"/>
      <c r="N243" s="26"/>
      <c r="O243" s="29"/>
      <c r="P243" s="26"/>
      <c r="Q243" s="26"/>
      <c r="R243" s="26"/>
      <c r="S243" s="26"/>
      <c r="T243" s="26"/>
      <c r="U243" s="26"/>
      <c r="V243" s="26"/>
      <c r="W243" s="26"/>
      <c r="X243" s="26"/>
      <c r="Y243" s="26"/>
      <c r="Z243" s="26"/>
      <c r="AA243" s="29"/>
      <c r="AB243" s="29"/>
      <c r="AC243" s="16"/>
      <c r="AD243" s="16"/>
      <c r="AE243" s="17"/>
      <c r="AF243" s="17"/>
      <c r="AG243" s="17"/>
      <c r="AH243" s="17"/>
      <c r="AI243" s="19"/>
      <c r="AJ243" s="19"/>
      <c r="AK243" s="19"/>
      <c r="AL243" s="19"/>
      <c r="AM243" s="19"/>
      <c r="AN243" s="19"/>
      <c r="AO243" s="19"/>
      <c r="AP243" s="19"/>
      <c r="AQ243" s="19"/>
      <c r="AR243" s="19"/>
      <c r="AS243" s="19"/>
    </row>
    <row r="244" spans="2:45" s="2" customFormat="1">
      <c r="B244" s="22"/>
      <c r="C244" s="23"/>
      <c r="D244" s="24"/>
      <c r="E244" s="25"/>
      <c r="F244" s="26"/>
      <c r="G244" s="26"/>
      <c r="H244" s="26"/>
      <c r="I244" s="26"/>
      <c r="J244" s="26"/>
      <c r="K244" s="26"/>
      <c r="L244" s="26"/>
      <c r="M244" s="26"/>
      <c r="N244" s="26"/>
      <c r="O244" s="29"/>
      <c r="P244" s="26"/>
      <c r="Q244" s="26"/>
      <c r="R244" s="26"/>
      <c r="S244" s="26"/>
      <c r="T244" s="26"/>
      <c r="U244" s="26"/>
      <c r="V244" s="26"/>
      <c r="W244" s="26"/>
      <c r="X244" s="26"/>
      <c r="Y244" s="26"/>
      <c r="Z244" s="26"/>
      <c r="AA244" s="29"/>
      <c r="AB244" s="29"/>
      <c r="AC244" s="16"/>
      <c r="AD244" s="16"/>
      <c r="AE244" s="17"/>
      <c r="AF244" s="17"/>
      <c r="AG244" s="17"/>
      <c r="AH244" s="17"/>
      <c r="AI244" s="19"/>
      <c r="AJ244" s="19"/>
      <c r="AK244" s="19"/>
      <c r="AL244" s="19"/>
      <c r="AM244" s="19"/>
      <c r="AN244" s="19"/>
      <c r="AO244" s="19"/>
      <c r="AP244" s="19"/>
      <c r="AQ244" s="19"/>
      <c r="AR244" s="19"/>
      <c r="AS244" s="19"/>
    </row>
    <row r="245" spans="2:45" s="2" customFormat="1">
      <c r="B245" s="22"/>
      <c r="C245" s="23"/>
      <c r="D245" s="24"/>
      <c r="E245" s="25"/>
      <c r="F245" s="26"/>
      <c r="G245" s="26"/>
      <c r="H245" s="26"/>
      <c r="I245" s="26"/>
      <c r="J245" s="26"/>
      <c r="K245" s="26"/>
      <c r="L245" s="26"/>
      <c r="M245" s="26"/>
      <c r="N245" s="26"/>
      <c r="O245" s="29"/>
      <c r="P245" s="26"/>
      <c r="Q245" s="26"/>
      <c r="R245" s="26"/>
      <c r="S245" s="26"/>
      <c r="T245" s="26"/>
      <c r="U245" s="26"/>
      <c r="V245" s="26"/>
      <c r="W245" s="26"/>
      <c r="X245" s="26"/>
      <c r="Y245" s="26"/>
      <c r="Z245" s="26"/>
      <c r="AA245" s="29"/>
      <c r="AB245" s="29"/>
      <c r="AC245" s="16"/>
      <c r="AD245" s="16"/>
      <c r="AE245" s="17"/>
      <c r="AF245" s="17"/>
      <c r="AG245" s="17"/>
      <c r="AH245" s="17"/>
      <c r="AI245" s="19"/>
      <c r="AJ245" s="19"/>
      <c r="AK245" s="19"/>
      <c r="AL245" s="19"/>
      <c r="AM245" s="19"/>
      <c r="AN245" s="19"/>
      <c r="AO245" s="19"/>
      <c r="AP245" s="19"/>
      <c r="AQ245" s="19"/>
      <c r="AR245" s="19"/>
      <c r="AS245" s="19"/>
    </row>
    <row r="246" spans="2:45" s="2" customFormat="1">
      <c r="B246" s="22"/>
      <c r="C246" s="23"/>
      <c r="D246" s="24"/>
      <c r="E246" s="25"/>
      <c r="F246" s="26"/>
      <c r="G246" s="26"/>
      <c r="H246" s="26"/>
      <c r="I246" s="26"/>
      <c r="J246" s="26"/>
      <c r="K246" s="26"/>
      <c r="L246" s="26"/>
      <c r="M246" s="26"/>
      <c r="N246" s="26"/>
      <c r="O246" s="29"/>
      <c r="P246" s="26"/>
      <c r="Q246" s="26"/>
      <c r="R246" s="26"/>
      <c r="S246" s="26"/>
      <c r="T246" s="26"/>
      <c r="U246" s="26"/>
      <c r="V246" s="26"/>
      <c r="W246" s="26"/>
      <c r="X246" s="26"/>
      <c r="Y246" s="26"/>
      <c r="Z246" s="26"/>
      <c r="AA246" s="29"/>
      <c r="AB246" s="29"/>
      <c r="AC246" s="16"/>
      <c r="AD246" s="16"/>
      <c r="AE246" s="17"/>
      <c r="AF246" s="17"/>
      <c r="AG246" s="17"/>
      <c r="AH246" s="17"/>
      <c r="AI246" s="19"/>
      <c r="AJ246" s="19"/>
      <c r="AK246" s="19"/>
      <c r="AL246" s="19"/>
      <c r="AM246" s="19"/>
      <c r="AN246" s="19"/>
      <c r="AO246" s="19"/>
      <c r="AP246" s="19"/>
      <c r="AQ246" s="19"/>
      <c r="AR246" s="19"/>
      <c r="AS246" s="19"/>
    </row>
    <row r="247" spans="2:45" s="2" customFormat="1">
      <c r="B247" s="22"/>
      <c r="C247" s="23"/>
      <c r="D247" s="24"/>
      <c r="E247" s="25"/>
      <c r="F247" s="26"/>
      <c r="G247" s="26"/>
      <c r="H247" s="26"/>
      <c r="I247" s="26"/>
      <c r="J247" s="26"/>
      <c r="K247" s="26"/>
      <c r="L247" s="26"/>
      <c r="M247" s="26"/>
      <c r="N247" s="26"/>
      <c r="O247" s="29"/>
      <c r="P247" s="26"/>
      <c r="Q247" s="26"/>
      <c r="R247" s="26"/>
      <c r="S247" s="26"/>
      <c r="T247" s="26"/>
      <c r="U247" s="26"/>
      <c r="V247" s="26"/>
      <c r="W247" s="26"/>
      <c r="X247" s="26"/>
      <c r="Y247" s="26"/>
      <c r="Z247" s="26"/>
      <c r="AA247" s="29"/>
      <c r="AB247" s="29"/>
      <c r="AC247" s="16"/>
      <c r="AD247" s="16"/>
      <c r="AE247" s="17"/>
      <c r="AF247" s="17"/>
      <c r="AG247" s="17"/>
      <c r="AH247" s="17"/>
      <c r="AI247" s="19"/>
      <c r="AJ247" s="19"/>
      <c r="AK247" s="19"/>
      <c r="AL247" s="19"/>
      <c r="AM247" s="19"/>
      <c r="AN247" s="19"/>
      <c r="AO247" s="19"/>
      <c r="AP247" s="19"/>
      <c r="AQ247" s="19"/>
      <c r="AR247" s="19"/>
      <c r="AS247" s="19"/>
    </row>
    <row r="248" spans="2:45" s="2" customFormat="1">
      <c r="B248" s="22"/>
      <c r="C248" s="23"/>
      <c r="D248" s="24"/>
      <c r="E248" s="25"/>
      <c r="F248" s="26"/>
      <c r="G248" s="26"/>
      <c r="H248" s="26"/>
      <c r="I248" s="26"/>
      <c r="J248" s="26"/>
      <c r="K248" s="26"/>
      <c r="L248" s="26"/>
      <c r="M248" s="26"/>
      <c r="N248" s="26"/>
      <c r="O248" s="29"/>
      <c r="P248" s="26"/>
      <c r="Q248" s="26"/>
      <c r="R248" s="26"/>
      <c r="S248" s="26"/>
      <c r="T248" s="26"/>
      <c r="U248" s="26"/>
      <c r="V248" s="26"/>
      <c r="W248" s="26"/>
      <c r="X248" s="26"/>
      <c r="Y248" s="26"/>
      <c r="Z248" s="26"/>
      <c r="AA248" s="29"/>
      <c r="AB248" s="29"/>
      <c r="AC248" s="16"/>
      <c r="AD248" s="16"/>
      <c r="AE248" s="17"/>
      <c r="AF248" s="17"/>
      <c r="AG248" s="17"/>
      <c r="AH248" s="17"/>
      <c r="AI248" s="19"/>
      <c r="AJ248" s="19"/>
      <c r="AK248" s="19"/>
      <c r="AL248" s="19"/>
      <c r="AM248" s="19"/>
      <c r="AN248" s="19"/>
      <c r="AO248" s="19"/>
      <c r="AP248" s="19"/>
      <c r="AQ248" s="19"/>
      <c r="AR248" s="19"/>
      <c r="AS248" s="19"/>
    </row>
    <row r="249" spans="2:45" s="2" customFormat="1">
      <c r="B249" s="22"/>
      <c r="C249" s="23"/>
      <c r="D249" s="24"/>
      <c r="E249" s="25"/>
      <c r="F249" s="26"/>
      <c r="G249" s="26"/>
      <c r="H249" s="26"/>
      <c r="I249" s="26"/>
      <c r="J249" s="26"/>
      <c r="K249" s="26"/>
      <c r="L249" s="26"/>
      <c r="M249" s="26"/>
      <c r="N249" s="26"/>
      <c r="O249" s="29"/>
      <c r="P249" s="26"/>
      <c r="Q249" s="26"/>
      <c r="R249" s="26"/>
      <c r="S249" s="26"/>
      <c r="T249" s="26"/>
      <c r="U249" s="26"/>
      <c r="V249" s="26"/>
      <c r="W249" s="26"/>
      <c r="X249" s="26"/>
      <c r="Y249" s="26"/>
      <c r="Z249" s="26"/>
      <c r="AA249" s="29"/>
      <c r="AB249" s="29"/>
      <c r="AC249" s="16"/>
      <c r="AD249" s="16"/>
      <c r="AE249" s="17"/>
      <c r="AF249" s="17"/>
      <c r="AG249" s="17"/>
      <c r="AH249" s="17"/>
      <c r="AI249" s="19"/>
      <c r="AJ249" s="19"/>
      <c r="AK249" s="19"/>
      <c r="AL249" s="19"/>
      <c r="AM249" s="19"/>
      <c r="AN249" s="19"/>
      <c r="AO249" s="19"/>
      <c r="AP249" s="19"/>
      <c r="AQ249" s="19"/>
      <c r="AR249" s="19"/>
      <c r="AS249" s="19"/>
    </row>
    <row r="250" spans="2:45" s="2" customFormat="1">
      <c r="B250" s="22"/>
      <c r="C250" s="23"/>
      <c r="D250" s="24"/>
      <c r="E250" s="25"/>
      <c r="F250" s="26"/>
      <c r="G250" s="26"/>
      <c r="H250" s="26"/>
      <c r="I250" s="26"/>
      <c r="J250" s="26"/>
      <c r="K250" s="26"/>
      <c r="L250" s="26"/>
      <c r="M250" s="26"/>
      <c r="N250" s="26"/>
      <c r="O250" s="29"/>
      <c r="P250" s="26"/>
      <c r="Q250" s="26"/>
      <c r="R250" s="26"/>
      <c r="S250" s="26"/>
      <c r="T250" s="26"/>
      <c r="U250" s="26"/>
      <c r="V250" s="26"/>
      <c r="W250" s="26"/>
      <c r="X250" s="26"/>
      <c r="Y250" s="26"/>
      <c r="Z250" s="26"/>
      <c r="AA250" s="29"/>
      <c r="AB250" s="29"/>
      <c r="AC250" s="16"/>
      <c r="AD250" s="16"/>
      <c r="AE250" s="17"/>
      <c r="AF250" s="17"/>
      <c r="AG250" s="17"/>
      <c r="AH250" s="17"/>
      <c r="AI250" s="19"/>
      <c r="AJ250" s="19"/>
      <c r="AK250" s="19"/>
      <c r="AL250" s="19"/>
      <c r="AM250" s="19"/>
      <c r="AN250" s="19"/>
      <c r="AO250" s="19"/>
      <c r="AP250" s="19"/>
      <c r="AQ250" s="19"/>
      <c r="AR250" s="19"/>
      <c r="AS250" s="19"/>
    </row>
    <row r="251" spans="2:45" s="2" customFormat="1">
      <c r="B251" s="22"/>
      <c r="C251" s="23"/>
      <c r="D251" s="24"/>
      <c r="E251" s="25"/>
      <c r="F251" s="26"/>
      <c r="G251" s="26"/>
      <c r="H251" s="26"/>
      <c r="I251" s="26"/>
      <c r="J251" s="26"/>
      <c r="K251" s="26"/>
      <c r="L251" s="26"/>
      <c r="M251" s="26"/>
      <c r="N251" s="26"/>
      <c r="O251" s="29"/>
      <c r="P251" s="26"/>
      <c r="Q251" s="26"/>
      <c r="R251" s="26"/>
      <c r="S251" s="26"/>
      <c r="T251" s="26"/>
      <c r="U251" s="26"/>
      <c r="V251" s="26"/>
      <c r="W251" s="26"/>
      <c r="X251" s="26"/>
      <c r="Y251" s="26"/>
      <c r="Z251" s="26"/>
      <c r="AA251" s="29"/>
      <c r="AB251" s="29"/>
      <c r="AC251" s="16"/>
      <c r="AD251" s="16"/>
      <c r="AE251" s="17"/>
      <c r="AF251" s="17"/>
      <c r="AG251" s="17"/>
      <c r="AH251" s="17"/>
      <c r="AI251" s="19"/>
      <c r="AJ251" s="19"/>
      <c r="AK251" s="19"/>
      <c r="AL251" s="19"/>
      <c r="AM251" s="19"/>
      <c r="AN251" s="19"/>
      <c r="AO251" s="19"/>
      <c r="AP251" s="19"/>
      <c r="AQ251" s="19"/>
      <c r="AR251" s="19"/>
      <c r="AS251" s="19"/>
    </row>
    <row r="252" spans="2:45" s="2" customFormat="1">
      <c r="B252" s="22"/>
      <c r="C252" s="23"/>
      <c r="D252" s="24"/>
      <c r="E252" s="25"/>
      <c r="F252" s="26"/>
      <c r="G252" s="26"/>
      <c r="H252" s="26"/>
      <c r="I252" s="26"/>
      <c r="J252" s="26"/>
      <c r="K252" s="26"/>
      <c r="L252" s="26"/>
      <c r="M252" s="26"/>
      <c r="N252" s="26"/>
      <c r="O252" s="29"/>
      <c r="P252" s="26"/>
      <c r="Q252" s="26"/>
      <c r="R252" s="26"/>
      <c r="S252" s="26"/>
      <c r="T252" s="26"/>
      <c r="U252" s="26"/>
      <c r="V252" s="26"/>
      <c r="W252" s="26"/>
      <c r="X252" s="26"/>
      <c r="Y252" s="26"/>
      <c r="Z252" s="26"/>
      <c r="AA252" s="29"/>
      <c r="AB252" s="29"/>
      <c r="AC252" s="16"/>
      <c r="AD252" s="16"/>
      <c r="AE252" s="17"/>
      <c r="AF252" s="17"/>
      <c r="AG252" s="17"/>
      <c r="AH252" s="17"/>
      <c r="AI252" s="19"/>
      <c r="AJ252" s="19"/>
      <c r="AK252" s="19"/>
      <c r="AL252" s="19"/>
      <c r="AM252" s="19"/>
      <c r="AN252" s="19"/>
      <c r="AO252" s="19"/>
      <c r="AP252" s="19"/>
      <c r="AQ252" s="19"/>
      <c r="AR252" s="19"/>
      <c r="AS252" s="19"/>
    </row>
    <row r="253" spans="2:45" s="2" customFormat="1">
      <c r="B253" s="22"/>
      <c r="C253" s="23"/>
      <c r="D253" s="24"/>
      <c r="E253" s="25"/>
      <c r="F253" s="26"/>
      <c r="G253" s="26"/>
      <c r="H253" s="26"/>
      <c r="I253" s="26"/>
      <c r="J253" s="26"/>
      <c r="K253" s="26"/>
      <c r="L253" s="26"/>
      <c r="M253" s="26"/>
      <c r="N253" s="26"/>
      <c r="O253" s="29"/>
      <c r="P253" s="26"/>
      <c r="Q253" s="26"/>
      <c r="R253" s="26"/>
      <c r="S253" s="26"/>
      <c r="T253" s="26"/>
      <c r="U253" s="26"/>
      <c r="V253" s="26"/>
      <c r="W253" s="26"/>
      <c r="X253" s="26"/>
      <c r="Y253" s="26"/>
      <c r="Z253" s="26"/>
      <c r="AA253" s="29"/>
      <c r="AB253" s="29"/>
      <c r="AC253" s="16"/>
      <c r="AD253" s="16"/>
      <c r="AE253" s="17"/>
      <c r="AF253" s="17"/>
      <c r="AG253" s="17"/>
      <c r="AH253" s="17"/>
      <c r="AI253" s="19"/>
      <c r="AJ253" s="19"/>
      <c r="AK253" s="19"/>
      <c r="AL253" s="19"/>
      <c r="AM253" s="19"/>
      <c r="AN253" s="19"/>
      <c r="AO253" s="19"/>
      <c r="AP253" s="19"/>
      <c r="AQ253" s="19"/>
      <c r="AR253" s="19"/>
      <c r="AS253" s="19"/>
    </row>
    <row r="254" spans="2:45" s="2" customFormat="1">
      <c r="B254" s="22"/>
      <c r="C254" s="23"/>
      <c r="D254" s="24"/>
      <c r="E254" s="25"/>
      <c r="F254" s="26"/>
      <c r="G254" s="26"/>
      <c r="H254" s="26"/>
      <c r="I254" s="26"/>
      <c r="J254" s="26"/>
      <c r="K254" s="26"/>
      <c r="L254" s="26"/>
      <c r="M254" s="26"/>
      <c r="N254" s="26"/>
      <c r="O254" s="29"/>
      <c r="P254" s="26"/>
      <c r="Q254" s="26"/>
      <c r="R254" s="26"/>
      <c r="S254" s="26"/>
      <c r="T254" s="26"/>
      <c r="U254" s="26"/>
      <c r="V254" s="26"/>
      <c r="W254" s="26"/>
      <c r="X254" s="26"/>
      <c r="Y254" s="26"/>
      <c r="Z254" s="26"/>
      <c r="AA254" s="29"/>
      <c r="AB254" s="29"/>
      <c r="AC254" s="16"/>
      <c r="AD254" s="16"/>
      <c r="AE254" s="17"/>
      <c r="AF254" s="17"/>
      <c r="AG254" s="17"/>
      <c r="AH254" s="17"/>
      <c r="AI254" s="19"/>
      <c r="AJ254" s="19"/>
      <c r="AK254" s="19"/>
      <c r="AL254" s="19"/>
      <c r="AM254" s="19"/>
      <c r="AN254" s="19"/>
      <c r="AO254" s="19"/>
      <c r="AP254" s="19"/>
      <c r="AQ254" s="19"/>
      <c r="AR254" s="19"/>
      <c r="AS254" s="19"/>
    </row>
    <row r="255" spans="2:45" s="2" customFormat="1">
      <c r="B255" s="22"/>
      <c r="C255" s="23"/>
      <c r="D255" s="24"/>
      <c r="E255" s="25"/>
      <c r="F255" s="26"/>
      <c r="G255" s="26"/>
      <c r="H255" s="26"/>
      <c r="I255" s="26"/>
      <c r="J255" s="26"/>
      <c r="K255" s="26"/>
      <c r="L255" s="26"/>
      <c r="M255" s="26"/>
      <c r="N255" s="26"/>
      <c r="O255" s="29"/>
      <c r="P255" s="26"/>
      <c r="Q255" s="26"/>
      <c r="R255" s="26"/>
      <c r="S255" s="26"/>
      <c r="T255" s="26"/>
      <c r="U255" s="26"/>
      <c r="V255" s="26"/>
      <c r="W255" s="26"/>
      <c r="X255" s="26"/>
      <c r="Y255" s="26"/>
      <c r="Z255" s="26"/>
      <c r="AA255" s="29"/>
      <c r="AB255" s="29"/>
      <c r="AC255" s="16"/>
      <c r="AD255" s="16"/>
      <c r="AE255" s="17"/>
      <c r="AF255" s="17"/>
      <c r="AG255" s="17"/>
      <c r="AH255" s="17"/>
      <c r="AI255" s="19"/>
      <c r="AJ255" s="19"/>
      <c r="AK255" s="19"/>
      <c r="AL255" s="19"/>
      <c r="AM255" s="19"/>
      <c r="AN255" s="19"/>
      <c r="AO255" s="19"/>
      <c r="AP255" s="19"/>
      <c r="AQ255" s="19"/>
      <c r="AR255" s="19"/>
      <c r="AS255" s="19"/>
    </row>
    <row r="256" spans="2:45" s="2" customFormat="1">
      <c r="B256" s="22"/>
      <c r="C256" s="23"/>
      <c r="D256" s="24"/>
      <c r="E256" s="25"/>
      <c r="F256" s="26"/>
      <c r="G256" s="26"/>
      <c r="H256" s="26"/>
      <c r="I256" s="26"/>
      <c r="J256" s="26"/>
      <c r="K256" s="26"/>
      <c r="L256" s="26"/>
      <c r="M256" s="26"/>
      <c r="N256" s="26"/>
      <c r="O256" s="29"/>
      <c r="P256" s="26"/>
      <c r="Q256" s="26"/>
      <c r="R256" s="26"/>
      <c r="S256" s="26"/>
      <c r="T256" s="26"/>
      <c r="U256" s="26"/>
      <c r="V256" s="26"/>
      <c r="W256" s="26"/>
      <c r="X256" s="26"/>
      <c r="Y256" s="26"/>
      <c r="Z256" s="26"/>
      <c r="AA256" s="29"/>
      <c r="AB256" s="29"/>
      <c r="AC256" s="16"/>
      <c r="AD256" s="16"/>
      <c r="AE256" s="17"/>
      <c r="AF256" s="17"/>
      <c r="AG256" s="17"/>
      <c r="AH256" s="17"/>
      <c r="AI256" s="19"/>
      <c r="AJ256" s="19"/>
      <c r="AK256" s="19"/>
      <c r="AL256" s="19"/>
      <c r="AM256" s="19"/>
      <c r="AN256" s="19"/>
      <c r="AO256" s="19"/>
      <c r="AP256" s="19"/>
      <c r="AQ256" s="19"/>
      <c r="AR256" s="19"/>
      <c r="AS256" s="19"/>
    </row>
    <row r="257" spans="2:45" s="2" customFormat="1">
      <c r="B257" s="22"/>
      <c r="C257" s="23"/>
      <c r="D257" s="24"/>
      <c r="E257" s="25"/>
      <c r="F257" s="26"/>
      <c r="G257" s="26"/>
      <c r="H257" s="26"/>
      <c r="I257" s="26"/>
      <c r="J257" s="26"/>
      <c r="K257" s="26"/>
      <c r="L257" s="26"/>
      <c r="M257" s="26"/>
      <c r="N257" s="26"/>
      <c r="O257" s="29"/>
      <c r="P257" s="26"/>
      <c r="Q257" s="26"/>
      <c r="R257" s="26"/>
      <c r="S257" s="26"/>
      <c r="T257" s="26"/>
      <c r="U257" s="26"/>
      <c r="V257" s="26"/>
      <c r="W257" s="26"/>
      <c r="X257" s="26"/>
      <c r="Y257" s="26"/>
      <c r="Z257" s="26"/>
      <c r="AA257" s="29"/>
      <c r="AB257" s="29"/>
      <c r="AC257" s="16"/>
      <c r="AD257" s="16"/>
      <c r="AE257" s="17"/>
      <c r="AF257" s="17"/>
      <c r="AG257" s="17"/>
      <c r="AH257" s="17"/>
      <c r="AI257" s="19"/>
      <c r="AJ257" s="19"/>
      <c r="AK257" s="19"/>
      <c r="AL257" s="19"/>
      <c r="AM257" s="19"/>
      <c r="AN257" s="19"/>
      <c r="AO257" s="19"/>
      <c r="AP257" s="19"/>
      <c r="AQ257" s="19"/>
      <c r="AR257" s="19"/>
      <c r="AS257" s="19"/>
    </row>
    <row r="258" spans="2:45" s="2" customFormat="1">
      <c r="B258" s="22"/>
      <c r="C258" s="23"/>
      <c r="D258" s="24"/>
      <c r="E258" s="25"/>
      <c r="F258" s="26"/>
      <c r="G258" s="26"/>
      <c r="H258" s="26"/>
      <c r="I258" s="26"/>
      <c r="J258" s="26"/>
      <c r="K258" s="26"/>
      <c r="L258" s="26"/>
      <c r="M258" s="26"/>
      <c r="N258" s="26"/>
      <c r="O258" s="29"/>
      <c r="P258" s="26"/>
      <c r="Q258" s="26"/>
      <c r="R258" s="26"/>
      <c r="S258" s="26"/>
      <c r="T258" s="26"/>
      <c r="U258" s="26"/>
      <c r="V258" s="26"/>
      <c r="W258" s="26"/>
      <c r="X258" s="26"/>
      <c r="Y258" s="26"/>
      <c r="Z258" s="26"/>
      <c r="AA258" s="29"/>
      <c r="AB258" s="29"/>
      <c r="AC258" s="16"/>
      <c r="AD258" s="16"/>
      <c r="AE258" s="17"/>
      <c r="AF258" s="17"/>
      <c r="AG258" s="17"/>
      <c r="AH258" s="17"/>
      <c r="AI258" s="19"/>
      <c r="AJ258" s="19"/>
      <c r="AK258" s="19"/>
      <c r="AL258" s="19"/>
      <c r="AM258" s="19"/>
      <c r="AN258" s="19"/>
      <c r="AO258" s="19"/>
      <c r="AP258" s="19"/>
      <c r="AQ258" s="19"/>
      <c r="AR258" s="19"/>
      <c r="AS258" s="19"/>
    </row>
    <row r="259" spans="2:45" s="2" customFormat="1">
      <c r="B259" s="22"/>
      <c r="C259" s="23"/>
      <c r="D259" s="24"/>
      <c r="E259" s="25"/>
      <c r="F259" s="26"/>
      <c r="G259" s="26"/>
      <c r="H259" s="26"/>
      <c r="I259" s="26"/>
      <c r="J259" s="26"/>
      <c r="K259" s="26"/>
      <c r="L259" s="26"/>
      <c r="M259" s="26"/>
      <c r="N259" s="26"/>
      <c r="O259" s="29"/>
      <c r="P259" s="26"/>
      <c r="Q259" s="26"/>
      <c r="R259" s="26"/>
      <c r="S259" s="26"/>
      <c r="T259" s="26"/>
      <c r="U259" s="26"/>
      <c r="V259" s="26"/>
      <c r="W259" s="26"/>
      <c r="X259" s="26"/>
      <c r="Y259" s="26"/>
      <c r="Z259" s="26"/>
      <c r="AA259" s="29"/>
      <c r="AB259" s="29"/>
      <c r="AC259" s="16"/>
      <c r="AD259" s="16"/>
      <c r="AE259" s="17"/>
      <c r="AF259" s="17"/>
      <c r="AG259" s="17"/>
      <c r="AH259" s="17"/>
      <c r="AI259" s="19"/>
      <c r="AJ259" s="19"/>
      <c r="AK259" s="19"/>
      <c r="AL259" s="19"/>
      <c r="AM259" s="19"/>
      <c r="AN259" s="19"/>
      <c r="AO259" s="19"/>
      <c r="AP259" s="19"/>
      <c r="AQ259" s="19"/>
      <c r="AR259" s="19"/>
      <c r="AS259" s="19"/>
    </row>
    <row r="260" spans="2:45" s="2" customFormat="1">
      <c r="B260" s="22"/>
      <c r="C260" s="23"/>
      <c r="D260" s="24"/>
      <c r="E260" s="25"/>
      <c r="F260" s="26"/>
      <c r="G260" s="26"/>
      <c r="H260" s="26"/>
      <c r="I260" s="26"/>
      <c r="J260" s="26"/>
      <c r="K260" s="26"/>
      <c r="L260" s="26"/>
      <c r="M260" s="26"/>
      <c r="N260" s="26"/>
      <c r="O260" s="29"/>
      <c r="P260" s="26"/>
      <c r="Q260" s="26"/>
      <c r="R260" s="26"/>
      <c r="S260" s="26"/>
      <c r="T260" s="26"/>
      <c r="U260" s="26"/>
      <c r="V260" s="26"/>
      <c r="W260" s="26"/>
      <c r="X260" s="26"/>
      <c r="Y260" s="26"/>
      <c r="Z260" s="26"/>
      <c r="AA260" s="29"/>
      <c r="AB260" s="29"/>
      <c r="AC260" s="16"/>
      <c r="AD260" s="16"/>
      <c r="AE260" s="17"/>
      <c r="AF260" s="17"/>
      <c r="AG260" s="17"/>
      <c r="AH260" s="17"/>
      <c r="AI260" s="19"/>
      <c r="AJ260" s="19"/>
      <c r="AK260" s="19"/>
      <c r="AL260" s="19"/>
      <c r="AM260" s="19"/>
      <c r="AN260" s="19"/>
      <c r="AO260" s="19"/>
      <c r="AP260" s="19"/>
      <c r="AQ260" s="19"/>
      <c r="AR260" s="19"/>
      <c r="AS260" s="19"/>
    </row>
    <row r="261" spans="2:45" s="2" customFormat="1">
      <c r="B261" s="22"/>
      <c r="C261" s="23"/>
      <c r="D261" s="24"/>
      <c r="E261" s="25"/>
      <c r="F261" s="26"/>
      <c r="G261" s="26"/>
      <c r="H261" s="26"/>
      <c r="I261" s="26"/>
      <c r="J261" s="26"/>
      <c r="K261" s="26"/>
      <c r="L261" s="26"/>
      <c r="M261" s="26"/>
      <c r="N261" s="26"/>
      <c r="O261" s="29"/>
      <c r="P261" s="26"/>
      <c r="Q261" s="26"/>
      <c r="R261" s="26"/>
      <c r="S261" s="26"/>
      <c r="T261" s="26"/>
      <c r="U261" s="26"/>
      <c r="V261" s="26"/>
      <c r="W261" s="26"/>
      <c r="X261" s="26"/>
      <c r="Y261" s="26"/>
      <c r="Z261" s="26"/>
      <c r="AA261" s="29"/>
      <c r="AB261" s="29"/>
      <c r="AC261" s="16"/>
      <c r="AD261" s="16"/>
      <c r="AE261" s="17"/>
      <c r="AF261" s="17"/>
      <c r="AG261" s="17"/>
      <c r="AH261" s="17"/>
      <c r="AI261" s="19"/>
      <c r="AJ261" s="19"/>
      <c r="AK261" s="19"/>
      <c r="AL261" s="19"/>
      <c r="AM261" s="19"/>
      <c r="AN261" s="19"/>
      <c r="AO261" s="19"/>
      <c r="AP261" s="19"/>
      <c r="AQ261" s="19"/>
      <c r="AR261" s="19"/>
      <c r="AS261" s="19"/>
    </row>
    <row r="262" spans="2:45" s="2" customFormat="1">
      <c r="B262" s="22"/>
      <c r="C262" s="23"/>
      <c r="D262" s="24"/>
      <c r="E262" s="25"/>
      <c r="F262" s="26"/>
      <c r="G262" s="26"/>
      <c r="H262" s="26"/>
      <c r="I262" s="26"/>
      <c r="J262" s="26"/>
      <c r="K262" s="26"/>
      <c r="L262" s="26"/>
      <c r="M262" s="26"/>
      <c r="N262" s="26"/>
      <c r="O262" s="29"/>
      <c r="P262" s="26"/>
      <c r="Q262" s="26"/>
      <c r="R262" s="26"/>
      <c r="S262" s="26"/>
      <c r="T262" s="26"/>
      <c r="U262" s="26"/>
      <c r="V262" s="26"/>
      <c r="W262" s="26"/>
      <c r="X262" s="26"/>
      <c r="Y262" s="26"/>
      <c r="Z262" s="26"/>
      <c r="AA262" s="29"/>
      <c r="AB262" s="29"/>
      <c r="AC262" s="16"/>
      <c r="AD262" s="16"/>
      <c r="AE262" s="17"/>
      <c r="AF262" s="17"/>
      <c r="AG262" s="17"/>
      <c r="AH262" s="17"/>
      <c r="AI262" s="19"/>
      <c r="AJ262" s="19"/>
      <c r="AK262" s="19"/>
      <c r="AL262" s="19"/>
      <c r="AM262" s="19"/>
      <c r="AN262" s="19"/>
      <c r="AO262" s="19"/>
      <c r="AP262" s="19"/>
      <c r="AQ262" s="19"/>
      <c r="AR262" s="19"/>
      <c r="AS262" s="19"/>
    </row>
    <row r="263" spans="2:45" s="2" customFormat="1">
      <c r="B263" s="22"/>
      <c r="C263" s="23"/>
      <c r="D263" s="24"/>
      <c r="E263" s="25"/>
      <c r="F263" s="26"/>
      <c r="G263" s="26"/>
      <c r="H263" s="26"/>
      <c r="I263" s="26"/>
      <c r="J263" s="26"/>
      <c r="K263" s="26"/>
      <c r="L263" s="26"/>
      <c r="M263" s="26"/>
      <c r="N263" s="26"/>
      <c r="O263" s="29"/>
      <c r="P263" s="26"/>
      <c r="Q263" s="26"/>
      <c r="R263" s="26"/>
      <c r="S263" s="26"/>
      <c r="T263" s="26"/>
      <c r="U263" s="26"/>
      <c r="V263" s="26"/>
      <c r="W263" s="26"/>
      <c r="X263" s="26"/>
      <c r="Y263" s="26"/>
      <c r="Z263" s="26"/>
      <c r="AA263" s="29"/>
      <c r="AB263" s="29"/>
      <c r="AC263" s="16"/>
      <c r="AD263" s="16"/>
      <c r="AE263" s="17"/>
      <c r="AF263" s="17"/>
      <c r="AG263" s="17"/>
      <c r="AH263" s="17"/>
      <c r="AI263" s="19"/>
      <c r="AJ263" s="19"/>
      <c r="AK263" s="19"/>
      <c r="AL263" s="19"/>
      <c r="AM263" s="19"/>
      <c r="AN263" s="19"/>
      <c r="AO263" s="19"/>
      <c r="AP263" s="19"/>
      <c r="AQ263" s="19"/>
      <c r="AR263" s="19"/>
      <c r="AS263" s="19"/>
    </row>
    <row r="264" spans="2:45" s="2" customFormat="1">
      <c r="B264" s="22"/>
      <c r="C264" s="23"/>
      <c r="D264" s="24"/>
      <c r="E264" s="25"/>
      <c r="F264" s="26"/>
      <c r="G264" s="26"/>
      <c r="H264" s="26"/>
      <c r="I264" s="26"/>
      <c r="J264" s="26"/>
      <c r="K264" s="26"/>
      <c r="L264" s="26"/>
      <c r="M264" s="26"/>
      <c r="N264" s="26"/>
      <c r="O264" s="29"/>
      <c r="P264" s="26"/>
      <c r="Q264" s="26"/>
      <c r="R264" s="26"/>
      <c r="S264" s="26"/>
      <c r="T264" s="26"/>
      <c r="U264" s="26"/>
      <c r="V264" s="26"/>
      <c r="W264" s="26"/>
      <c r="X264" s="26"/>
      <c r="Y264" s="26"/>
      <c r="Z264" s="26"/>
      <c r="AA264" s="29"/>
      <c r="AB264" s="29"/>
      <c r="AC264" s="16"/>
      <c r="AD264" s="16"/>
      <c r="AE264" s="17"/>
      <c r="AF264" s="17"/>
      <c r="AG264" s="17"/>
      <c r="AH264" s="17"/>
      <c r="AI264" s="19"/>
      <c r="AJ264" s="19"/>
      <c r="AK264" s="19"/>
      <c r="AL264" s="19"/>
      <c r="AM264" s="19"/>
      <c r="AN264" s="19"/>
      <c r="AO264" s="19"/>
      <c r="AP264" s="19"/>
      <c r="AQ264" s="19"/>
      <c r="AR264" s="19"/>
      <c r="AS264" s="19"/>
    </row>
    <row r="265" spans="2:45" s="2" customFormat="1">
      <c r="B265" s="22"/>
      <c r="C265" s="23"/>
      <c r="D265" s="24"/>
      <c r="E265" s="25"/>
      <c r="F265" s="26"/>
      <c r="G265" s="26"/>
      <c r="H265" s="26"/>
      <c r="I265" s="26"/>
      <c r="J265" s="26"/>
      <c r="K265" s="26"/>
      <c r="L265" s="26"/>
      <c r="M265" s="26"/>
      <c r="N265" s="26"/>
      <c r="O265" s="29"/>
      <c r="P265" s="26"/>
      <c r="Q265" s="26"/>
      <c r="R265" s="26"/>
      <c r="S265" s="26"/>
      <c r="T265" s="26"/>
      <c r="U265" s="26"/>
      <c r="V265" s="26"/>
      <c r="W265" s="26"/>
      <c r="X265" s="26"/>
      <c r="Y265" s="26"/>
      <c r="Z265" s="26"/>
      <c r="AA265" s="29"/>
      <c r="AB265" s="29"/>
      <c r="AC265" s="16"/>
      <c r="AD265" s="16"/>
      <c r="AE265" s="17"/>
      <c r="AF265" s="17"/>
      <c r="AG265" s="17"/>
      <c r="AH265" s="17"/>
      <c r="AI265" s="19"/>
      <c r="AJ265" s="19"/>
      <c r="AK265" s="19"/>
      <c r="AL265" s="19"/>
      <c r="AM265" s="19"/>
      <c r="AN265" s="19"/>
      <c r="AO265" s="19"/>
      <c r="AP265" s="19"/>
      <c r="AQ265" s="19"/>
      <c r="AR265" s="19"/>
      <c r="AS265" s="19"/>
    </row>
    <row r="266" spans="2:45" s="2" customFormat="1">
      <c r="B266" s="22"/>
      <c r="C266" s="23"/>
      <c r="D266" s="24"/>
      <c r="E266" s="25"/>
      <c r="F266" s="26"/>
      <c r="G266" s="26"/>
      <c r="H266" s="26"/>
      <c r="I266" s="26"/>
      <c r="J266" s="26"/>
      <c r="K266" s="26"/>
      <c r="L266" s="26"/>
      <c r="M266" s="26"/>
      <c r="N266" s="26"/>
      <c r="O266" s="29"/>
      <c r="P266" s="26"/>
      <c r="Q266" s="26"/>
      <c r="R266" s="26"/>
      <c r="S266" s="26"/>
      <c r="T266" s="26"/>
      <c r="U266" s="26"/>
      <c r="V266" s="26"/>
      <c r="W266" s="26"/>
      <c r="X266" s="26"/>
      <c r="Y266" s="26"/>
      <c r="Z266" s="26"/>
      <c r="AA266" s="29"/>
      <c r="AB266" s="29"/>
      <c r="AC266" s="16"/>
      <c r="AD266" s="16"/>
      <c r="AE266" s="17"/>
      <c r="AF266" s="17"/>
      <c r="AG266" s="17"/>
      <c r="AH266" s="17"/>
      <c r="AI266" s="19"/>
      <c r="AJ266" s="19"/>
      <c r="AK266" s="19"/>
      <c r="AL266" s="19"/>
      <c r="AM266" s="19"/>
      <c r="AN266" s="19"/>
      <c r="AO266" s="19"/>
      <c r="AP266" s="19"/>
      <c r="AQ266" s="19"/>
      <c r="AR266" s="19"/>
      <c r="AS266" s="19"/>
    </row>
    <row r="267" spans="2:45" s="2" customFormat="1">
      <c r="B267" s="22"/>
      <c r="C267" s="23"/>
      <c r="D267" s="24"/>
      <c r="E267" s="25"/>
      <c r="F267" s="26"/>
      <c r="G267" s="26"/>
      <c r="H267" s="26"/>
      <c r="I267" s="26"/>
      <c r="J267" s="26"/>
      <c r="K267" s="26"/>
      <c r="L267" s="26"/>
      <c r="M267" s="26"/>
      <c r="N267" s="26"/>
      <c r="O267" s="29"/>
      <c r="P267" s="26"/>
      <c r="Q267" s="26"/>
      <c r="R267" s="26"/>
      <c r="S267" s="26"/>
      <c r="T267" s="26"/>
      <c r="U267" s="26"/>
      <c r="V267" s="26"/>
      <c r="W267" s="26"/>
      <c r="X267" s="26"/>
      <c r="Y267" s="26"/>
      <c r="Z267" s="26"/>
      <c r="AA267" s="29"/>
      <c r="AB267" s="29"/>
      <c r="AC267" s="16"/>
      <c r="AD267" s="16"/>
      <c r="AE267" s="17"/>
      <c r="AF267" s="17"/>
      <c r="AG267" s="17"/>
      <c r="AH267" s="17"/>
      <c r="AI267" s="19"/>
      <c r="AJ267" s="19"/>
      <c r="AK267" s="19"/>
      <c r="AL267" s="19"/>
      <c r="AM267" s="19"/>
      <c r="AN267" s="19"/>
      <c r="AO267" s="19"/>
      <c r="AP267" s="19"/>
      <c r="AQ267" s="19"/>
      <c r="AR267" s="19"/>
      <c r="AS267" s="19"/>
    </row>
    <row r="268" spans="2:45" s="2" customFormat="1">
      <c r="B268" s="22"/>
      <c r="C268" s="23"/>
      <c r="D268" s="24"/>
      <c r="E268" s="25"/>
      <c r="F268" s="26"/>
      <c r="G268" s="26"/>
      <c r="H268" s="26"/>
      <c r="I268" s="26"/>
      <c r="J268" s="26"/>
      <c r="K268" s="26"/>
      <c r="L268" s="26"/>
      <c r="M268" s="26"/>
      <c r="N268" s="26"/>
      <c r="O268" s="29"/>
      <c r="P268" s="26"/>
      <c r="Q268" s="26"/>
      <c r="R268" s="26"/>
      <c r="S268" s="26"/>
      <c r="T268" s="26"/>
      <c r="U268" s="26"/>
      <c r="V268" s="26"/>
      <c r="W268" s="26"/>
      <c r="X268" s="26"/>
      <c r="Y268" s="26"/>
      <c r="Z268" s="26"/>
      <c r="AA268" s="29"/>
      <c r="AB268" s="29"/>
      <c r="AC268" s="16"/>
      <c r="AD268" s="16"/>
      <c r="AE268" s="17"/>
      <c r="AF268" s="17"/>
      <c r="AG268" s="17"/>
      <c r="AH268" s="17"/>
      <c r="AI268" s="19"/>
      <c r="AJ268" s="19"/>
      <c r="AK268" s="19"/>
      <c r="AL268" s="19"/>
      <c r="AM268" s="19"/>
      <c r="AN268" s="19"/>
      <c r="AO268" s="19"/>
      <c r="AP268" s="19"/>
      <c r="AQ268" s="19"/>
      <c r="AR268" s="19"/>
      <c r="AS268" s="19"/>
    </row>
    <row r="269" spans="2:45" s="2" customFormat="1">
      <c r="B269" s="22"/>
      <c r="C269" s="23"/>
      <c r="D269" s="24"/>
      <c r="E269" s="25"/>
      <c r="F269" s="26"/>
      <c r="G269" s="26"/>
      <c r="H269" s="26"/>
      <c r="I269" s="26"/>
      <c r="J269" s="26"/>
      <c r="K269" s="26"/>
      <c r="L269" s="26"/>
      <c r="M269" s="26"/>
      <c r="N269" s="26"/>
      <c r="O269" s="29"/>
      <c r="P269" s="26"/>
      <c r="Q269" s="26"/>
      <c r="R269" s="26"/>
      <c r="S269" s="26"/>
      <c r="T269" s="26"/>
      <c r="U269" s="26"/>
      <c r="V269" s="26"/>
      <c r="W269" s="26"/>
      <c r="X269" s="26"/>
      <c r="Y269" s="26"/>
      <c r="Z269" s="26"/>
      <c r="AA269" s="29"/>
      <c r="AB269" s="29"/>
      <c r="AC269" s="16"/>
      <c r="AD269" s="16"/>
      <c r="AE269" s="17"/>
      <c r="AF269" s="17"/>
      <c r="AG269" s="17"/>
      <c r="AH269" s="17"/>
      <c r="AI269" s="19"/>
      <c r="AJ269" s="19"/>
      <c r="AK269" s="19"/>
      <c r="AL269" s="19"/>
      <c r="AM269" s="19"/>
      <c r="AN269" s="19"/>
      <c r="AO269" s="19"/>
      <c r="AP269" s="19"/>
      <c r="AQ269" s="19"/>
      <c r="AR269" s="19"/>
      <c r="AS269" s="19"/>
    </row>
    <row r="270" spans="2:45" s="2" customFormat="1">
      <c r="B270" s="22"/>
      <c r="C270" s="23"/>
      <c r="D270" s="24"/>
      <c r="E270" s="25"/>
      <c r="F270" s="26"/>
      <c r="G270" s="26"/>
      <c r="H270" s="26"/>
      <c r="I270" s="26"/>
      <c r="J270" s="26"/>
      <c r="K270" s="26"/>
      <c r="L270" s="26"/>
      <c r="M270" s="26"/>
      <c r="N270" s="26"/>
      <c r="O270" s="29"/>
      <c r="P270" s="26"/>
      <c r="Q270" s="26"/>
      <c r="R270" s="26"/>
      <c r="S270" s="26"/>
      <c r="T270" s="26"/>
      <c r="U270" s="26"/>
      <c r="V270" s="26"/>
      <c r="W270" s="26"/>
      <c r="X270" s="26"/>
      <c r="Y270" s="26"/>
      <c r="Z270" s="26"/>
      <c r="AA270" s="29"/>
      <c r="AB270" s="29"/>
      <c r="AC270" s="16"/>
      <c r="AD270" s="16"/>
      <c r="AE270" s="17"/>
      <c r="AF270" s="17"/>
      <c r="AG270" s="17"/>
      <c r="AH270" s="17"/>
      <c r="AI270" s="19"/>
      <c r="AJ270" s="19"/>
      <c r="AK270" s="19"/>
      <c r="AL270" s="19"/>
      <c r="AM270" s="19"/>
      <c r="AN270" s="19"/>
      <c r="AO270" s="19"/>
      <c r="AP270" s="19"/>
      <c r="AQ270" s="19"/>
      <c r="AR270" s="19"/>
      <c r="AS270" s="19"/>
    </row>
    <row r="271" spans="2:45" s="2" customFormat="1">
      <c r="B271" s="22"/>
      <c r="C271" s="23"/>
      <c r="D271" s="24"/>
      <c r="E271" s="25"/>
      <c r="F271" s="26"/>
      <c r="G271" s="26"/>
      <c r="H271" s="26"/>
      <c r="I271" s="26"/>
      <c r="J271" s="26"/>
      <c r="K271" s="26"/>
      <c r="L271" s="26"/>
      <c r="M271" s="26"/>
      <c r="N271" s="26"/>
      <c r="O271" s="29"/>
      <c r="P271" s="26"/>
      <c r="Q271" s="26"/>
      <c r="R271" s="26"/>
      <c r="S271" s="26"/>
      <c r="T271" s="26"/>
      <c r="U271" s="26"/>
      <c r="V271" s="26"/>
      <c r="W271" s="26"/>
      <c r="X271" s="26"/>
      <c r="Y271" s="26"/>
      <c r="Z271" s="26"/>
      <c r="AA271" s="29"/>
      <c r="AB271" s="29"/>
      <c r="AC271" s="16"/>
      <c r="AD271" s="16"/>
      <c r="AE271" s="17"/>
      <c r="AF271" s="17"/>
      <c r="AG271" s="17"/>
      <c r="AH271" s="17"/>
      <c r="AI271" s="19"/>
      <c r="AJ271" s="19"/>
      <c r="AK271" s="19"/>
      <c r="AL271" s="19"/>
      <c r="AM271" s="19"/>
      <c r="AN271" s="19"/>
      <c r="AO271" s="19"/>
      <c r="AP271" s="19"/>
      <c r="AQ271" s="19"/>
      <c r="AR271" s="19"/>
      <c r="AS271" s="19"/>
    </row>
    <row r="272" spans="2:45" s="2" customFormat="1">
      <c r="B272" s="22"/>
      <c r="C272" s="23"/>
      <c r="D272" s="24"/>
      <c r="E272" s="25"/>
      <c r="F272" s="26"/>
      <c r="G272" s="26"/>
      <c r="H272" s="26"/>
      <c r="I272" s="26"/>
      <c r="J272" s="26"/>
      <c r="K272" s="26"/>
      <c r="L272" s="26"/>
      <c r="M272" s="26"/>
      <c r="N272" s="26"/>
      <c r="O272" s="29"/>
      <c r="P272" s="26"/>
      <c r="Q272" s="26"/>
      <c r="R272" s="26"/>
      <c r="S272" s="26"/>
      <c r="T272" s="26"/>
      <c r="U272" s="26"/>
      <c r="V272" s="26"/>
      <c r="W272" s="26"/>
      <c r="X272" s="26"/>
      <c r="Y272" s="26"/>
      <c r="Z272" s="26"/>
      <c r="AA272" s="29"/>
      <c r="AB272" s="29"/>
      <c r="AC272" s="16"/>
      <c r="AD272" s="16"/>
      <c r="AE272" s="17"/>
      <c r="AF272" s="17"/>
      <c r="AG272" s="17"/>
      <c r="AH272" s="17"/>
      <c r="AI272" s="19"/>
      <c r="AJ272" s="19"/>
      <c r="AK272" s="19"/>
      <c r="AL272" s="19"/>
      <c r="AM272" s="19"/>
      <c r="AN272" s="19"/>
      <c r="AO272" s="19"/>
      <c r="AP272" s="19"/>
      <c r="AQ272" s="19"/>
      <c r="AR272" s="19"/>
      <c r="AS272" s="19"/>
    </row>
    <row r="273" spans="2:45" s="2" customFormat="1">
      <c r="B273" s="22"/>
      <c r="C273" s="23"/>
      <c r="D273" s="24"/>
      <c r="E273" s="25"/>
      <c r="F273" s="26"/>
      <c r="G273" s="26"/>
      <c r="H273" s="26"/>
      <c r="I273" s="26"/>
      <c r="J273" s="26"/>
      <c r="K273" s="26"/>
      <c r="L273" s="26"/>
      <c r="M273" s="26"/>
      <c r="N273" s="26"/>
      <c r="O273" s="29"/>
      <c r="P273" s="26"/>
      <c r="Q273" s="26"/>
      <c r="R273" s="26"/>
      <c r="S273" s="26"/>
      <c r="T273" s="26"/>
      <c r="U273" s="26"/>
      <c r="V273" s="26"/>
      <c r="W273" s="26"/>
      <c r="X273" s="26"/>
      <c r="Y273" s="26"/>
      <c r="Z273" s="26"/>
      <c r="AA273" s="29"/>
      <c r="AB273" s="29"/>
      <c r="AC273" s="16"/>
      <c r="AD273" s="16"/>
      <c r="AE273" s="17"/>
      <c r="AF273" s="17"/>
      <c r="AG273" s="17"/>
      <c r="AH273" s="17"/>
      <c r="AI273" s="19"/>
      <c r="AJ273" s="19"/>
      <c r="AK273" s="19"/>
      <c r="AL273" s="19"/>
      <c r="AM273" s="19"/>
      <c r="AN273" s="19"/>
      <c r="AO273" s="19"/>
      <c r="AP273" s="19"/>
      <c r="AQ273" s="19"/>
      <c r="AR273" s="19"/>
      <c r="AS273" s="19"/>
    </row>
    <row r="274" spans="2:45" s="2" customFormat="1">
      <c r="B274" s="22"/>
      <c r="C274" s="23"/>
      <c r="D274" s="24"/>
      <c r="E274" s="25"/>
      <c r="F274" s="26"/>
      <c r="G274" s="26"/>
      <c r="H274" s="26"/>
      <c r="I274" s="26"/>
      <c r="J274" s="26"/>
      <c r="K274" s="26"/>
      <c r="L274" s="26"/>
      <c r="M274" s="26"/>
      <c r="N274" s="26"/>
      <c r="O274" s="29"/>
      <c r="P274" s="26"/>
      <c r="Q274" s="26"/>
      <c r="R274" s="26"/>
      <c r="S274" s="26"/>
      <c r="T274" s="26"/>
      <c r="U274" s="26"/>
      <c r="V274" s="26"/>
      <c r="W274" s="26"/>
      <c r="X274" s="26"/>
      <c r="Y274" s="26"/>
      <c r="Z274" s="26"/>
      <c r="AA274" s="29"/>
      <c r="AB274" s="29"/>
      <c r="AC274" s="16"/>
      <c r="AD274" s="16"/>
      <c r="AE274" s="17"/>
      <c r="AF274" s="17"/>
      <c r="AG274" s="17"/>
      <c r="AH274" s="17"/>
      <c r="AI274" s="19"/>
      <c r="AJ274" s="19"/>
      <c r="AK274" s="19"/>
      <c r="AL274" s="19"/>
      <c r="AM274" s="19"/>
      <c r="AN274" s="19"/>
      <c r="AO274" s="19"/>
      <c r="AP274" s="19"/>
      <c r="AQ274" s="19"/>
      <c r="AR274" s="19"/>
      <c r="AS274" s="19"/>
    </row>
    <row r="275" spans="2:45" s="2" customFormat="1">
      <c r="B275" s="22"/>
      <c r="C275" s="23"/>
      <c r="D275" s="24"/>
      <c r="E275" s="25"/>
      <c r="F275" s="26"/>
      <c r="G275" s="26"/>
      <c r="H275" s="26"/>
      <c r="I275" s="26"/>
      <c r="J275" s="26"/>
      <c r="K275" s="26"/>
      <c r="L275" s="26"/>
      <c r="M275" s="26"/>
      <c r="N275" s="26"/>
      <c r="O275" s="29"/>
      <c r="P275" s="26"/>
      <c r="Q275" s="26"/>
      <c r="R275" s="26"/>
      <c r="S275" s="26"/>
      <c r="T275" s="26"/>
      <c r="U275" s="26"/>
      <c r="V275" s="26"/>
      <c r="W275" s="26"/>
      <c r="X275" s="26"/>
      <c r="Y275" s="26"/>
      <c r="Z275" s="26"/>
      <c r="AA275" s="29"/>
      <c r="AB275" s="29"/>
      <c r="AC275" s="16"/>
      <c r="AD275" s="16"/>
      <c r="AE275" s="17"/>
      <c r="AF275" s="17"/>
      <c r="AG275" s="17"/>
      <c r="AH275" s="17"/>
      <c r="AI275" s="19"/>
      <c r="AJ275" s="19"/>
      <c r="AK275" s="19"/>
      <c r="AL275" s="19"/>
      <c r="AM275" s="19"/>
      <c r="AN275" s="19"/>
      <c r="AO275" s="19"/>
      <c r="AP275" s="19"/>
      <c r="AQ275" s="19"/>
      <c r="AR275" s="19"/>
      <c r="AS275" s="19"/>
    </row>
    <row r="276" spans="2:45" s="2" customFormat="1">
      <c r="B276" s="22"/>
      <c r="C276" s="23"/>
      <c r="D276" s="24"/>
      <c r="E276" s="25"/>
      <c r="F276" s="26"/>
      <c r="G276" s="26"/>
      <c r="H276" s="26"/>
      <c r="I276" s="26"/>
      <c r="J276" s="26"/>
      <c r="K276" s="26"/>
      <c r="L276" s="26"/>
      <c r="M276" s="26"/>
      <c r="N276" s="26"/>
      <c r="O276" s="29"/>
      <c r="P276" s="26"/>
      <c r="Q276" s="26"/>
      <c r="R276" s="26"/>
      <c r="S276" s="26"/>
      <c r="T276" s="26"/>
      <c r="U276" s="26"/>
      <c r="V276" s="26"/>
      <c r="W276" s="26"/>
      <c r="X276" s="26"/>
      <c r="Y276" s="26"/>
      <c r="Z276" s="26"/>
      <c r="AA276" s="29"/>
      <c r="AB276" s="29"/>
      <c r="AC276" s="16"/>
      <c r="AD276" s="16"/>
      <c r="AE276" s="17"/>
      <c r="AF276" s="17"/>
      <c r="AG276" s="17"/>
      <c r="AH276" s="17"/>
      <c r="AI276" s="19"/>
      <c r="AJ276" s="19"/>
      <c r="AK276" s="19"/>
      <c r="AL276" s="19"/>
      <c r="AM276" s="19"/>
      <c r="AN276" s="19"/>
      <c r="AO276" s="19"/>
      <c r="AP276" s="19"/>
      <c r="AQ276" s="19"/>
      <c r="AR276" s="19"/>
      <c r="AS276" s="19"/>
    </row>
    <row r="277" spans="2:45" s="2" customFormat="1">
      <c r="B277" s="22"/>
      <c r="C277" s="23"/>
      <c r="D277" s="24"/>
      <c r="E277" s="25"/>
      <c r="F277" s="26"/>
      <c r="G277" s="26"/>
      <c r="H277" s="26"/>
      <c r="I277" s="26"/>
      <c r="J277" s="26"/>
      <c r="K277" s="26"/>
      <c r="L277" s="26"/>
      <c r="M277" s="26"/>
      <c r="N277" s="26"/>
      <c r="O277" s="29"/>
      <c r="P277" s="26"/>
      <c r="Q277" s="26"/>
      <c r="R277" s="26"/>
      <c r="S277" s="26"/>
      <c r="T277" s="26"/>
      <c r="U277" s="26"/>
      <c r="V277" s="26"/>
      <c r="W277" s="26"/>
      <c r="X277" s="26"/>
      <c r="Y277" s="26"/>
      <c r="Z277" s="26"/>
      <c r="AA277" s="29"/>
      <c r="AB277" s="29"/>
      <c r="AC277" s="16"/>
      <c r="AD277" s="16"/>
      <c r="AE277" s="17"/>
      <c r="AF277" s="17"/>
      <c r="AG277" s="17"/>
      <c r="AH277" s="17"/>
      <c r="AI277" s="19"/>
      <c r="AJ277" s="19"/>
      <c r="AK277" s="19"/>
      <c r="AL277" s="19"/>
      <c r="AM277" s="19"/>
      <c r="AN277" s="19"/>
      <c r="AO277" s="19"/>
      <c r="AP277" s="19"/>
      <c r="AQ277" s="19"/>
      <c r="AR277" s="19"/>
      <c r="AS277" s="19"/>
    </row>
    <row r="278" spans="2:45" s="2" customFormat="1">
      <c r="B278" s="22"/>
      <c r="C278" s="23"/>
      <c r="D278" s="24"/>
      <c r="E278" s="25"/>
      <c r="F278" s="26"/>
      <c r="G278" s="26"/>
      <c r="H278" s="26"/>
      <c r="I278" s="26"/>
      <c r="J278" s="26"/>
      <c r="K278" s="26"/>
      <c r="L278" s="26"/>
      <c r="M278" s="26"/>
      <c r="N278" s="26"/>
      <c r="O278" s="29"/>
      <c r="P278" s="26"/>
      <c r="Q278" s="26"/>
      <c r="R278" s="26"/>
      <c r="S278" s="26"/>
      <c r="T278" s="26"/>
      <c r="U278" s="26"/>
      <c r="V278" s="26"/>
      <c r="W278" s="26"/>
      <c r="X278" s="26"/>
      <c r="Y278" s="26"/>
      <c r="Z278" s="26"/>
      <c r="AA278" s="29"/>
      <c r="AB278" s="29"/>
      <c r="AC278" s="16"/>
      <c r="AD278" s="16"/>
      <c r="AE278" s="17"/>
      <c r="AF278" s="17"/>
      <c r="AG278" s="17"/>
      <c r="AH278" s="17"/>
      <c r="AI278" s="19"/>
      <c r="AJ278" s="19"/>
      <c r="AK278" s="19"/>
      <c r="AL278" s="19"/>
      <c r="AM278" s="19"/>
      <c r="AN278" s="19"/>
      <c r="AO278" s="19"/>
      <c r="AP278" s="19"/>
      <c r="AQ278" s="19"/>
      <c r="AR278" s="19"/>
      <c r="AS278" s="19"/>
    </row>
    <row r="279" spans="2:45" s="2" customFormat="1">
      <c r="B279" s="22"/>
      <c r="C279" s="23"/>
      <c r="D279" s="24"/>
      <c r="E279" s="25"/>
      <c r="F279" s="26"/>
      <c r="G279" s="26"/>
      <c r="H279" s="26"/>
      <c r="I279" s="26"/>
      <c r="J279" s="26"/>
      <c r="K279" s="26"/>
      <c r="L279" s="26"/>
      <c r="M279" s="26"/>
      <c r="N279" s="26"/>
      <c r="O279" s="29"/>
      <c r="P279" s="26"/>
      <c r="Q279" s="26"/>
      <c r="R279" s="26"/>
      <c r="S279" s="26"/>
      <c r="T279" s="26"/>
      <c r="U279" s="26"/>
      <c r="V279" s="26"/>
      <c r="W279" s="26"/>
      <c r="X279" s="26"/>
      <c r="Y279" s="26"/>
      <c r="Z279" s="26"/>
      <c r="AA279" s="29"/>
      <c r="AB279" s="29"/>
      <c r="AC279" s="16"/>
      <c r="AD279" s="16"/>
      <c r="AE279" s="17"/>
      <c r="AF279" s="17"/>
      <c r="AG279" s="17"/>
      <c r="AH279" s="17"/>
      <c r="AI279" s="19"/>
      <c r="AJ279" s="19"/>
      <c r="AK279" s="19"/>
      <c r="AL279" s="19"/>
      <c r="AM279" s="19"/>
      <c r="AN279" s="19"/>
      <c r="AO279" s="19"/>
      <c r="AP279" s="19"/>
      <c r="AQ279" s="19"/>
      <c r="AR279" s="19"/>
      <c r="AS279" s="19"/>
    </row>
    <row r="280" spans="2:45" s="2" customFormat="1">
      <c r="B280" s="22"/>
      <c r="C280" s="23"/>
      <c r="D280" s="24"/>
      <c r="E280" s="25"/>
      <c r="F280" s="26"/>
      <c r="G280" s="26"/>
      <c r="H280" s="26"/>
      <c r="I280" s="26"/>
      <c r="J280" s="26"/>
      <c r="K280" s="26"/>
      <c r="L280" s="26"/>
      <c r="M280" s="26"/>
      <c r="N280" s="26"/>
      <c r="O280" s="29"/>
      <c r="P280" s="26"/>
      <c r="Q280" s="26"/>
      <c r="R280" s="26"/>
      <c r="S280" s="26"/>
      <c r="T280" s="26"/>
      <c r="U280" s="26"/>
      <c r="V280" s="26"/>
      <c r="W280" s="26"/>
      <c r="X280" s="26"/>
      <c r="Y280" s="26"/>
      <c r="Z280" s="26"/>
      <c r="AA280" s="29"/>
      <c r="AB280" s="29"/>
      <c r="AC280" s="16"/>
      <c r="AD280" s="16"/>
      <c r="AE280" s="17"/>
      <c r="AF280" s="17"/>
      <c r="AG280" s="17"/>
      <c r="AH280" s="17"/>
      <c r="AI280" s="19"/>
      <c r="AJ280" s="19"/>
      <c r="AK280" s="19"/>
      <c r="AL280" s="19"/>
      <c r="AM280" s="19"/>
      <c r="AN280" s="19"/>
      <c r="AO280" s="19"/>
      <c r="AP280" s="19"/>
      <c r="AQ280" s="19"/>
      <c r="AR280" s="19"/>
      <c r="AS280" s="19"/>
    </row>
    <row r="281" spans="2:45" s="2" customFormat="1">
      <c r="B281" s="22"/>
      <c r="C281" s="23"/>
      <c r="D281" s="24"/>
      <c r="E281" s="25"/>
      <c r="F281" s="26"/>
      <c r="G281" s="26"/>
      <c r="H281" s="26"/>
      <c r="I281" s="26"/>
      <c r="J281" s="26"/>
      <c r="K281" s="26"/>
      <c r="L281" s="26"/>
      <c r="M281" s="26"/>
      <c r="N281" s="26"/>
      <c r="O281" s="29"/>
      <c r="P281" s="26"/>
      <c r="Q281" s="26"/>
      <c r="R281" s="26"/>
      <c r="S281" s="26"/>
      <c r="T281" s="26"/>
      <c r="U281" s="26"/>
      <c r="V281" s="26"/>
      <c r="W281" s="26"/>
      <c r="X281" s="26"/>
      <c r="Y281" s="26"/>
      <c r="Z281" s="26"/>
      <c r="AA281" s="29"/>
      <c r="AB281" s="29"/>
      <c r="AC281" s="16"/>
      <c r="AD281" s="16"/>
      <c r="AE281" s="17"/>
      <c r="AF281" s="17"/>
      <c r="AG281" s="17"/>
      <c r="AH281" s="17"/>
      <c r="AI281" s="19"/>
      <c r="AJ281" s="19"/>
      <c r="AK281" s="19"/>
      <c r="AL281" s="19"/>
      <c r="AM281" s="19"/>
      <c r="AN281" s="19"/>
      <c r="AO281" s="19"/>
      <c r="AP281" s="19"/>
      <c r="AQ281" s="19"/>
      <c r="AR281" s="19"/>
      <c r="AS281" s="19"/>
    </row>
    <row r="282" spans="2:45" s="2" customFormat="1">
      <c r="B282" s="22"/>
      <c r="C282" s="23"/>
      <c r="D282" s="24"/>
      <c r="E282" s="25"/>
      <c r="F282" s="26"/>
      <c r="G282" s="26"/>
      <c r="H282" s="26"/>
      <c r="I282" s="26"/>
      <c r="J282" s="26"/>
      <c r="K282" s="26"/>
      <c r="L282" s="26"/>
      <c r="M282" s="26"/>
      <c r="N282" s="26"/>
      <c r="O282" s="29"/>
      <c r="P282" s="26"/>
      <c r="Q282" s="26"/>
      <c r="R282" s="26"/>
      <c r="S282" s="26"/>
      <c r="T282" s="26"/>
      <c r="U282" s="26"/>
      <c r="V282" s="26"/>
      <c r="W282" s="26"/>
      <c r="X282" s="26"/>
      <c r="Y282" s="26"/>
      <c r="Z282" s="26"/>
      <c r="AA282" s="29"/>
      <c r="AB282" s="29"/>
      <c r="AC282" s="16"/>
      <c r="AD282" s="16"/>
      <c r="AE282" s="17"/>
      <c r="AF282" s="17"/>
      <c r="AG282" s="17"/>
      <c r="AH282" s="17"/>
      <c r="AI282" s="19"/>
      <c r="AJ282" s="19"/>
      <c r="AK282" s="19"/>
      <c r="AL282" s="19"/>
      <c r="AM282" s="19"/>
      <c r="AN282" s="19"/>
      <c r="AO282" s="19"/>
      <c r="AP282" s="19"/>
      <c r="AQ282" s="19"/>
      <c r="AR282" s="19"/>
      <c r="AS282" s="19"/>
    </row>
    <row r="283" spans="2:45" s="2" customFormat="1">
      <c r="B283" s="22"/>
      <c r="C283" s="23"/>
      <c r="D283" s="24"/>
      <c r="E283" s="25"/>
      <c r="F283" s="26"/>
      <c r="G283" s="26"/>
      <c r="H283" s="26"/>
      <c r="I283" s="26"/>
      <c r="J283" s="26"/>
      <c r="K283" s="26"/>
      <c r="L283" s="26"/>
      <c r="M283" s="26"/>
      <c r="N283" s="26"/>
      <c r="O283" s="29"/>
      <c r="P283" s="26"/>
      <c r="Q283" s="26"/>
      <c r="R283" s="26"/>
      <c r="S283" s="26"/>
      <c r="T283" s="26"/>
      <c r="U283" s="26"/>
      <c r="V283" s="26"/>
      <c r="W283" s="26"/>
      <c r="X283" s="26"/>
      <c r="Y283" s="26"/>
      <c r="Z283" s="26"/>
      <c r="AA283" s="29"/>
      <c r="AB283" s="29"/>
      <c r="AC283" s="16"/>
      <c r="AD283" s="16"/>
      <c r="AE283" s="17"/>
      <c r="AF283" s="17"/>
      <c r="AG283" s="17"/>
      <c r="AH283" s="17"/>
      <c r="AI283" s="19"/>
      <c r="AJ283" s="19"/>
      <c r="AK283" s="19"/>
      <c r="AL283" s="19"/>
      <c r="AM283" s="19"/>
      <c r="AN283" s="19"/>
      <c r="AO283" s="19"/>
      <c r="AP283" s="19"/>
      <c r="AQ283" s="19"/>
      <c r="AR283" s="19"/>
      <c r="AS283" s="19"/>
    </row>
    <row r="284" spans="2:45" s="2" customFormat="1">
      <c r="B284" s="22"/>
      <c r="C284" s="23"/>
      <c r="D284" s="24"/>
      <c r="E284" s="25"/>
      <c r="F284" s="26"/>
      <c r="G284" s="26"/>
      <c r="H284" s="26"/>
      <c r="I284" s="26"/>
      <c r="J284" s="26"/>
      <c r="K284" s="26"/>
      <c r="L284" s="26"/>
      <c r="M284" s="26"/>
      <c r="N284" s="26"/>
      <c r="O284" s="29"/>
      <c r="P284" s="26"/>
      <c r="Q284" s="26"/>
      <c r="R284" s="26"/>
      <c r="S284" s="26"/>
      <c r="T284" s="26"/>
      <c r="U284" s="26"/>
      <c r="V284" s="26"/>
      <c r="W284" s="26"/>
      <c r="X284" s="26"/>
      <c r="Y284" s="26"/>
      <c r="Z284" s="26"/>
      <c r="AA284" s="29"/>
      <c r="AB284" s="29"/>
      <c r="AC284" s="16"/>
      <c r="AD284" s="16"/>
      <c r="AE284" s="17"/>
      <c r="AF284" s="17"/>
      <c r="AG284" s="17"/>
      <c r="AH284" s="17"/>
      <c r="AI284" s="19"/>
      <c r="AJ284" s="19"/>
      <c r="AK284" s="19"/>
      <c r="AL284" s="19"/>
      <c r="AM284" s="19"/>
      <c r="AN284" s="19"/>
      <c r="AO284" s="19"/>
      <c r="AP284" s="19"/>
      <c r="AQ284" s="19"/>
      <c r="AR284" s="19"/>
      <c r="AS284" s="19"/>
    </row>
    <row r="285" spans="2:45" s="2" customFormat="1">
      <c r="B285" s="22"/>
      <c r="C285" s="23"/>
      <c r="D285" s="24"/>
      <c r="E285" s="25"/>
      <c r="F285" s="26"/>
      <c r="G285" s="26"/>
      <c r="H285" s="26"/>
      <c r="I285" s="26"/>
      <c r="J285" s="26"/>
      <c r="K285" s="26"/>
      <c r="L285" s="26"/>
      <c r="M285" s="26"/>
      <c r="N285" s="26"/>
      <c r="O285" s="29"/>
      <c r="P285" s="26"/>
      <c r="Q285" s="26"/>
      <c r="R285" s="26"/>
      <c r="S285" s="26"/>
      <c r="T285" s="26"/>
      <c r="U285" s="26"/>
      <c r="V285" s="26"/>
      <c r="W285" s="26"/>
      <c r="X285" s="26"/>
      <c r="Y285" s="26"/>
      <c r="Z285" s="26"/>
      <c r="AA285" s="29"/>
      <c r="AB285" s="29"/>
      <c r="AC285" s="16"/>
      <c r="AD285" s="16"/>
      <c r="AE285" s="17"/>
      <c r="AF285" s="17"/>
      <c r="AG285" s="17"/>
      <c r="AH285" s="17"/>
      <c r="AI285" s="19"/>
      <c r="AJ285" s="19"/>
      <c r="AK285" s="19"/>
      <c r="AL285" s="19"/>
      <c r="AM285" s="19"/>
      <c r="AN285" s="19"/>
      <c r="AO285" s="19"/>
      <c r="AP285" s="19"/>
      <c r="AQ285" s="19"/>
      <c r="AR285" s="19"/>
      <c r="AS285" s="19"/>
    </row>
    <row r="286" spans="2:45" s="2" customFormat="1">
      <c r="B286" s="22"/>
      <c r="C286" s="23"/>
      <c r="D286" s="24"/>
      <c r="E286" s="25"/>
      <c r="F286" s="26"/>
      <c r="G286" s="26"/>
      <c r="H286" s="26"/>
      <c r="I286" s="26"/>
      <c r="J286" s="26"/>
      <c r="K286" s="26"/>
      <c r="L286" s="26"/>
      <c r="M286" s="26"/>
      <c r="N286" s="26"/>
      <c r="O286" s="29"/>
      <c r="P286" s="26"/>
      <c r="Q286" s="26"/>
      <c r="R286" s="26"/>
      <c r="S286" s="26"/>
      <c r="T286" s="26"/>
      <c r="U286" s="26"/>
      <c r="V286" s="26"/>
      <c r="W286" s="26"/>
      <c r="X286" s="26"/>
      <c r="Y286" s="26"/>
      <c r="Z286" s="26"/>
      <c r="AA286" s="29"/>
      <c r="AB286" s="29"/>
      <c r="AC286" s="16"/>
      <c r="AD286" s="16"/>
      <c r="AE286" s="17"/>
      <c r="AF286" s="17"/>
      <c r="AG286" s="17"/>
      <c r="AH286" s="17"/>
      <c r="AI286" s="19"/>
      <c r="AJ286" s="19"/>
      <c r="AK286" s="19"/>
      <c r="AL286" s="19"/>
      <c r="AM286" s="19"/>
      <c r="AN286" s="19"/>
      <c r="AO286" s="19"/>
      <c r="AP286" s="19"/>
      <c r="AQ286" s="19"/>
      <c r="AR286" s="19"/>
      <c r="AS286" s="19"/>
    </row>
    <row r="287" spans="2:45" s="2" customFormat="1">
      <c r="B287" s="22"/>
      <c r="C287" s="23"/>
      <c r="D287" s="24"/>
      <c r="E287" s="25"/>
      <c r="F287" s="26"/>
      <c r="G287" s="26"/>
      <c r="H287" s="26"/>
      <c r="I287" s="26"/>
      <c r="J287" s="26"/>
      <c r="K287" s="26"/>
      <c r="L287" s="26"/>
      <c r="M287" s="26"/>
      <c r="N287" s="26"/>
      <c r="O287" s="29"/>
      <c r="P287" s="26"/>
      <c r="Q287" s="26"/>
      <c r="R287" s="26"/>
      <c r="S287" s="26"/>
      <c r="T287" s="26"/>
      <c r="U287" s="26"/>
      <c r="V287" s="26"/>
      <c r="W287" s="26"/>
      <c r="X287" s="26"/>
      <c r="Y287" s="26"/>
      <c r="Z287" s="26"/>
      <c r="AA287" s="29"/>
      <c r="AB287" s="29"/>
      <c r="AC287" s="16"/>
      <c r="AD287" s="16"/>
      <c r="AE287" s="17"/>
      <c r="AF287" s="17"/>
      <c r="AG287" s="17"/>
      <c r="AH287" s="17"/>
      <c r="AI287" s="19"/>
      <c r="AJ287" s="19"/>
      <c r="AK287" s="19"/>
      <c r="AL287" s="19"/>
      <c r="AM287" s="19"/>
      <c r="AN287" s="19"/>
      <c r="AO287" s="19"/>
      <c r="AP287" s="19"/>
      <c r="AQ287" s="19"/>
      <c r="AR287" s="19"/>
      <c r="AS287" s="19"/>
    </row>
    <row r="288" spans="2:45" s="2" customFormat="1">
      <c r="B288" s="22"/>
      <c r="C288" s="23"/>
      <c r="D288" s="24"/>
      <c r="E288" s="25"/>
      <c r="F288" s="26"/>
      <c r="G288" s="26"/>
      <c r="H288" s="26"/>
      <c r="I288" s="26"/>
      <c r="J288" s="26"/>
      <c r="K288" s="26"/>
      <c r="L288" s="26"/>
      <c r="M288" s="26"/>
      <c r="N288" s="26"/>
      <c r="O288" s="29"/>
      <c r="P288" s="26"/>
      <c r="Q288" s="26"/>
      <c r="R288" s="26"/>
      <c r="S288" s="26"/>
      <c r="T288" s="26"/>
      <c r="U288" s="26"/>
      <c r="V288" s="26"/>
      <c r="W288" s="26"/>
      <c r="X288" s="26"/>
      <c r="Y288" s="26"/>
      <c r="Z288" s="26"/>
      <c r="AA288" s="29"/>
      <c r="AB288" s="29"/>
      <c r="AC288" s="16"/>
      <c r="AD288" s="16"/>
      <c r="AE288" s="17"/>
      <c r="AF288" s="17"/>
      <c r="AG288" s="17"/>
      <c r="AH288" s="17"/>
      <c r="AI288" s="19"/>
      <c r="AJ288" s="19"/>
      <c r="AK288" s="19"/>
      <c r="AL288" s="19"/>
      <c r="AM288" s="19"/>
      <c r="AN288" s="19"/>
      <c r="AO288" s="19"/>
      <c r="AP288" s="19"/>
      <c r="AQ288" s="19"/>
      <c r="AR288" s="19"/>
      <c r="AS288" s="19"/>
    </row>
    <row r="289" spans="2:45" s="2" customFormat="1">
      <c r="B289" s="22"/>
      <c r="C289" s="23"/>
      <c r="D289" s="24"/>
      <c r="E289" s="25"/>
      <c r="F289" s="26"/>
      <c r="G289" s="26"/>
      <c r="H289" s="26"/>
      <c r="I289" s="26"/>
      <c r="J289" s="26"/>
      <c r="K289" s="26"/>
      <c r="L289" s="26"/>
      <c r="M289" s="26"/>
      <c r="N289" s="26"/>
      <c r="O289" s="29"/>
      <c r="P289" s="26"/>
      <c r="Q289" s="26"/>
      <c r="R289" s="26"/>
      <c r="S289" s="26"/>
      <c r="T289" s="26"/>
      <c r="U289" s="26"/>
      <c r="V289" s="26"/>
      <c r="W289" s="26"/>
      <c r="X289" s="26"/>
      <c r="Y289" s="26"/>
      <c r="Z289" s="26"/>
      <c r="AA289" s="29"/>
      <c r="AB289" s="29"/>
      <c r="AC289" s="16"/>
      <c r="AD289" s="16"/>
      <c r="AE289" s="17"/>
      <c r="AF289" s="17"/>
      <c r="AG289" s="17"/>
      <c r="AH289" s="17"/>
      <c r="AI289" s="19"/>
      <c r="AJ289" s="19"/>
      <c r="AK289" s="19"/>
      <c r="AL289" s="19"/>
      <c r="AM289" s="19"/>
      <c r="AN289" s="19"/>
      <c r="AO289" s="19"/>
      <c r="AP289" s="19"/>
      <c r="AQ289" s="19"/>
      <c r="AR289" s="19"/>
      <c r="AS289" s="19"/>
    </row>
    <row r="290" spans="2:45" s="2" customFormat="1">
      <c r="B290" s="22"/>
      <c r="C290" s="23"/>
      <c r="D290" s="24"/>
      <c r="E290" s="25"/>
      <c r="F290" s="26"/>
      <c r="G290" s="26"/>
      <c r="H290" s="26"/>
      <c r="I290" s="26"/>
      <c r="J290" s="26"/>
      <c r="K290" s="26"/>
      <c r="L290" s="26"/>
      <c r="M290" s="26"/>
      <c r="N290" s="26"/>
      <c r="O290" s="29"/>
      <c r="P290" s="26"/>
      <c r="Q290" s="26"/>
      <c r="R290" s="26"/>
      <c r="S290" s="26"/>
      <c r="T290" s="26"/>
      <c r="U290" s="26"/>
      <c r="V290" s="26"/>
      <c r="W290" s="26"/>
      <c r="X290" s="26"/>
      <c r="Y290" s="26"/>
      <c r="Z290" s="26"/>
      <c r="AA290" s="29"/>
      <c r="AB290" s="29"/>
      <c r="AC290" s="16"/>
      <c r="AD290" s="16"/>
      <c r="AE290" s="17"/>
      <c r="AF290" s="17"/>
      <c r="AG290" s="17"/>
      <c r="AH290" s="17"/>
      <c r="AI290" s="19"/>
      <c r="AJ290" s="19"/>
      <c r="AK290" s="19"/>
      <c r="AL290" s="19"/>
      <c r="AM290" s="19"/>
      <c r="AN290" s="19"/>
      <c r="AO290" s="19"/>
      <c r="AP290" s="19"/>
      <c r="AQ290" s="19"/>
      <c r="AR290" s="19"/>
      <c r="AS290" s="19"/>
    </row>
    <row r="291" spans="2:45" s="2" customFormat="1">
      <c r="B291" s="22"/>
      <c r="C291" s="23"/>
      <c r="D291" s="24"/>
      <c r="E291" s="25"/>
      <c r="F291" s="26"/>
      <c r="G291" s="26"/>
      <c r="H291" s="26"/>
      <c r="I291" s="26"/>
      <c r="J291" s="26"/>
      <c r="K291" s="26"/>
      <c r="L291" s="26"/>
      <c r="M291" s="26"/>
      <c r="N291" s="26"/>
      <c r="O291" s="29"/>
      <c r="P291" s="26"/>
      <c r="Q291" s="26"/>
      <c r="R291" s="26"/>
      <c r="S291" s="26"/>
      <c r="T291" s="26"/>
      <c r="U291" s="26"/>
      <c r="V291" s="26"/>
      <c r="W291" s="26"/>
      <c r="X291" s="26"/>
      <c r="Y291" s="26"/>
      <c r="Z291" s="26"/>
      <c r="AA291" s="29"/>
      <c r="AB291" s="29"/>
      <c r="AC291" s="16"/>
      <c r="AD291" s="16"/>
      <c r="AE291" s="17"/>
      <c r="AF291" s="17"/>
      <c r="AG291" s="17"/>
      <c r="AH291" s="17"/>
      <c r="AI291" s="19"/>
      <c r="AJ291" s="19"/>
      <c r="AK291" s="19"/>
      <c r="AL291" s="19"/>
      <c r="AM291" s="19"/>
      <c r="AN291" s="19"/>
      <c r="AO291" s="19"/>
      <c r="AP291" s="19"/>
      <c r="AQ291" s="19"/>
      <c r="AR291" s="19"/>
      <c r="AS291" s="19"/>
    </row>
    <row r="292" spans="2:45" s="2" customFormat="1">
      <c r="B292" s="22"/>
      <c r="C292" s="23"/>
      <c r="D292" s="24"/>
      <c r="E292" s="25"/>
      <c r="F292" s="26"/>
      <c r="G292" s="26"/>
      <c r="H292" s="26"/>
      <c r="I292" s="26"/>
      <c r="J292" s="26"/>
      <c r="K292" s="26"/>
      <c r="L292" s="26"/>
      <c r="M292" s="26"/>
      <c r="N292" s="26"/>
      <c r="O292" s="29"/>
      <c r="P292" s="26"/>
      <c r="Q292" s="26"/>
      <c r="R292" s="26"/>
      <c r="S292" s="26"/>
      <c r="T292" s="26"/>
      <c r="U292" s="26"/>
      <c r="V292" s="26"/>
      <c r="W292" s="26"/>
      <c r="X292" s="26"/>
      <c r="Y292" s="26"/>
      <c r="Z292" s="26"/>
      <c r="AA292" s="29"/>
      <c r="AB292" s="29"/>
      <c r="AC292" s="16"/>
      <c r="AD292" s="16"/>
      <c r="AE292" s="17"/>
      <c r="AF292" s="17"/>
      <c r="AG292" s="17"/>
      <c r="AH292" s="17"/>
      <c r="AI292" s="19"/>
      <c r="AJ292" s="19"/>
      <c r="AK292" s="19"/>
      <c r="AL292" s="19"/>
      <c r="AM292" s="19"/>
      <c r="AN292" s="19"/>
      <c r="AO292" s="19"/>
      <c r="AP292" s="19"/>
      <c r="AQ292" s="19"/>
      <c r="AR292" s="19"/>
      <c r="AS292" s="19"/>
    </row>
    <row r="293" spans="2:45" s="2" customFormat="1">
      <c r="B293" s="22"/>
      <c r="C293" s="23"/>
      <c r="D293" s="24"/>
      <c r="E293" s="25"/>
      <c r="F293" s="26"/>
      <c r="G293" s="26"/>
      <c r="H293" s="26"/>
      <c r="I293" s="26"/>
      <c r="J293" s="26"/>
      <c r="K293" s="26"/>
      <c r="L293" s="26"/>
      <c r="M293" s="26"/>
      <c r="N293" s="26"/>
      <c r="O293" s="29"/>
      <c r="P293" s="26"/>
      <c r="Q293" s="26"/>
      <c r="R293" s="26"/>
      <c r="S293" s="26"/>
      <c r="T293" s="26"/>
      <c r="U293" s="26"/>
      <c r="V293" s="26"/>
      <c r="W293" s="26"/>
      <c r="X293" s="26"/>
      <c r="Y293" s="26"/>
      <c r="Z293" s="26"/>
      <c r="AA293" s="29"/>
      <c r="AB293" s="29"/>
      <c r="AC293" s="16"/>
      <c r="AD293" s="16"/>
      <c r="AE293" s="17"/>
      <c r="AF293" s="17"/>
      <c r="AG293" s="17"/>
      <c r="AH293" s="17"/>
      <c r="AI293" s="19"/>
      <c r="AJ293" s="19"/>
      <c r="AK293" s="19"/>
      <c r="AL293" s="19"/>
      <c r="AM293" s="19"/>
      <c r="AN293" s="19"/>
      <c r="AO293" s="19"/>
      <c r="AP293" s="19"/>
      <c r="AQ293" s="19"/>
      <c r="AR293" s="19"/>
      <c r="AS293" s="19"/>
    </row>
    <row r="294" spans="2:45" s="2" customFormat="1">
      <c r="B294" s="22"/>
      <c r="C294" s="23"/>
      <c r="D294" s="24"/>
      <c r="E294" s="25"/>
      <c r="F294" s="26"/>
      <c r="G294" s="26"/>
      <c r="H294" s="26"/>
      <c r="I294" s="26"/>
      <c r="J294" s="26"/>
      <c r="K294" s="26"/>
      <c r="L294" s="26"/>
      <c r="M294" s="26"/>
      <c r="N294" s="26"/>
      <c r="O294" s="29"/>
      <c r="P294" s="26"/>
      <c r="Q294" s="26"/>
      <c r="R294" s="26"/>
      <c r="S294" s="26"/>
      <c r="T294" s="26"/>
      <c r="U294" s="26"/>
      <c r="V294" s="26"/>
      <c r="W294" s="26"/>
      <c r="X294" s="26"/>
      <c r="Y294" s="26"/>
      <c r="Z294" s="26"/>
      <c r="AA294" s="29"/>
      <c r="AB294" s="29"/>
      <c r="AC294" s="16"/>
      <c r="AD294" s="16"/>
      <c r="AE294" s="17"/>
      <c r="AF294" s="17"/>
      <c r="AG294" s="17"/>
      <c r="AH294" s="17"/>
      <c r="AI294" s="19"/>
      <c r="AJ294" s="19"/>
      <c r="AK294" s="19"/>
      <c r="AL294" s="19"/>
      <c r="AM294" s="19"/>
      <c r="AN294" s="19"/>
      <c r="AO294" s="19"/>
      <c r="AP294" s="19"/>
      <c r="AQ294" s="19"/>
      <c r="AR294" s="19"/>
      <c r="AS294" s="19"/>
    </row>
    <row r="295" spans="2:45" s="2" customFormat="1">
      <c r="B295" s="22"/>
      <c r="C295" s="23"/>
      <c r="D295" s="24"/>
      <c r="E295" s="25"/>
      <c r="F295" s="26"/>
      <c r="G295" s="26"/>
      <c r="H295" s="26"/>
      <c r="I295" s="26"/>
      <c r="J295" s="26"/>
      <c r="K295" s="26"/>
      <c r="L295" s="26"/>
      <c r="M295" s="26"/>
      <c r="N295" s="26"/>
      <c r="O295" s="29"/>
      <c r="P295" s="26"/>
      <c r="Q295" s="26"/>
      <c r="R295" s="26"/>
      <c r="S295" s="26"/>
      <c r="T295" s="26"/>
      <c r="U295" s="26"/>
      <c r="V295" s="26"/>
      <c r="W295" s="26"/>
      <c r="X295" s="26"/>
      <c r="Y295" s="26"/>
      <c r="Z295" s="26"/>
      <c r="AA295" s="29"/>
      <c r="AB295" s="29"/>
      <c r="AC295" s="16"/>
      <c r="AD295" s="16"/>
      <c r="AE295" s="17"/>
      <c r="AF295" s="17"/>
      <c r="AG295" s="17"/>
      <c r="AH295" s="17"/>
      <c r="AI295" s="19"/>
      <c r="AJ295" s="19"/>
      <c r="AK295" s="19"/>
      <c r="AL295" s="19"/>
      <c r="AM295" s="19"/>
      <c r="AN295" s="19"/>
      <c r="AO295" s="19"/>
      <c r="AP295" s="19"/>
      <c r="AQ295" s="19"/>
      <c r="AR295" s="19"/>
      <c r="AS295" s="19"/>
    </row>
    <row r="296" spans="2:45" s="2" customFormat="1">
      <c r="B296" s="22"/>
      <c r="C296" s="23"/>
      <c r="D296" s="24"/>
      <c r="E296" s="25"/>
      <c r="F296" s="26"/>
      <c r="G296" s="26"/>
      <c r="H296" s="26"/>
      <c r="I296" s="26"/>
      <c r="J296" s="26"/>
      <c r="K296" s="26"/>
      <c r="L296" s="26"/>
      <c r="M296" s="26"/>
      <c r="N296" s="26"/>
      <c r="O296" s="29"/>
      <c r="P296" s="26"/>
      <c r="Q296" s="26"/>
      <c r="R296" s="26"/>
      <c r="S296" s="26"/>
      <c r="T296" s="26"/>
      <c r="U296" s="26"/>
      <c r="V296" s="26"/>
      <c r="W296" s="26"/>
      <c r="X296" s="26"/>
      <c r="Y296" s="26"/>
      <c r="Z296" s="26"/>
      <c r="AA296" s="29"/>
      <c r="AB296" s="29"/>
      <c r="AC296" s="16"/>
      <c r="AD296" s="16"/>
      <c r="AE296" s="17"/>
      <c r="AF296" s="17"/>
      <c r="AG296" s="17"/>
      <c r="AH296" s="17"/>
      <c r="AI296" s="19"/>
      <c r="AJ296" s="19"/>
      <c r="AK296" s="19"/>
      <c r="AL296" s="19"/>
      <c r="AM296" s="19"/>
      <c r="AN296" s="19"/>
      <c r="AO296" s="19"/>
      <c r="AP296" s="19"/>
      <c r="AQ296" s="19"/>
      <c r="AR296" s="19"/>
      <c r="AS296" s="19"/>
    </row>
    <row r="297" spans="2:45" s="2" customFormat="1">
      <c r="B297" s="22"/>
      <c r="C297" s="23"/>
      <c r="D297" s="24"/>
      <c r="E297" s="25"/>
      <c r="F297" s="26"/>
      <c r="G297" s="26"/>
      <c r="H297" s="26"/>
      <c r="I297" s="26"/>
      <c r="J297" s="26"/>
      <c r="K297" s="26"/>
      <c r="L297" s="26"/>
      <c r="M297" s="26"/>
      <c r="N297" s="26"/>
      <c r="O297" s="29"/>
      <c r="P297" s="26"/>
      <c r="Q297" s="26"/>
      <c r="R297" s="26"/>
      <c r="S297" s="26"/>
      <c r="T297" s="26"/>
      <c r="U297" s="26"/>
      <c r="V297" s="26"/>
      <c r="W297" s="26"/>
      <c r="X297" s="26"/>
      <c r="Y297" s="26"/>
      <c r="Z297" s="26"/>
      <c r="AA297" s="29"/>
      <c r="AB297" s="29"/>
      <c r="AC297" s="16"/>
      <c r="AD297" s="16"/>
      <c r="AE297" s="17"/>
      <c r="AF297" s="17"/>
      <c r="AG297" s="17"/>
      <c r="AH297" s="17"/>
      <c r="AI297" s="19"/>
      <c r="AJ297" s="19"/>
      <c r="AK297" s="19"/>
      <c r="AL297" s="19"/>
      <c r="AM297" s="19"/>
      <c r="AN297" s="19"/>
      <c r="AO297" s="19"/>
      <c r="AP297" s="19"/>
      <c r="AQ297" s="19"/>
      <c r="AR297" s="19"/>
      <c r="AS297" s="19"/>
    </row>
    <row r="298" spans="2:45" s="2" customFormat="1">
      <c r="B298" s="22"/>
      <c r="C298" s="23"/>
      <c r="D298" s="24"/>
      <c r="E298" s="25"/>
      <c r="F298" s="26"/>
      <c r="G298" s="26"/>
      <c r="H298" s="26"/>
      <c r="I298" s="26"/>
      <c r="J298" s="26"/>
      <c r="K298" s="26"/>
      <c r="L298" s="26"/>
      <c r="M298" s="26"/>
      <c r="N298" s="26"/>
      <c r="O298" s="29"/>
      <c r="P298" s="26"/>
      <c r="Q298" s="26"/>
      <c r="R298" s="26"/>
      <c r="S298" s="26"/>
      <c r="T298" s="26"/>
      <c r="U298" s="26"/>
      <c r="V298" s="26"/>
      <c r="W298" s="26"/>
      <c r="X298" s="26"/>
      <c r="Y298" s="26"/>
      <c r="Z298" s="26"/>
      <c r="AA298" s="29"/>
      <c r="AB298" s="29"/>
      <c r="AC298" s="16"/>
      <c r="AD298" s="16"/>
      <c r="AE298" s="17"/>
      <c r="AF298" s="17"/>
      <c r="AG298" s="17"/>
      <c r="AH298" s="17"/>
      <c r="AI298" s="19"/>
      <c r="AJ298" s="19"/>
      <c r="AK298" s="19"/>
      <c r="AL298" s="19"/>
      <c r="AM298" s="19"/>
      <c r="AN298" s="19"/>
      <c r="AO298" s="19"/>
      <c r="AP298" s="19"/>
      <c r="AQ298" s="19"/>
      <c r="AR298" s="19"/>
      <c r="AS298" s="19"/>
    </row>
    <row r="299" spans="2:45" s="2" customFormat="1">
      <c r="B299" s="22"/>
      <c r="C299" s="23"/>
      <c r="D299" s="24"/>
      <c r="E299" s="25"/>
      <c r="F299" s="26"/>
      <c r="G299" s="26"/>
      <c r="H299" s="26"/>
      <c r="I299" s="26"/>
      <c r="J299" s="26"/>
      <c r="K299" s="26"/>
      <c r="L299" s="26"/>
      <c r="M299" s="26"/>
      <c r="N299" s="26"/>
      <c r="O299" s="29"/>
      <c r="P299" s="26"/>
      <c r="Q299" s="26"/>
      <c r="R299" s="26"/>
      <c r="S299" s="26"/>
      <c r="T299" s="26"/>
      <c r="U299" s="26"/>
      <c r="V299" s="26"/>
      <c r="W299" s="26"/>
      <c r="X299" s="26"/>
      <c r="Y299" s="26"/>
      <c r="Z299" s="26"/>
      <c r="AA299" s="29"/>
      <c r="AB299" s="29"/>
      <c r="AC299" s="16"/>
      <c r="AD299" s="16"/>
      <c r="AE299" s="17"/>
      <c r="AF299" s="17"/>
      <c r="AG299" s="17"/>
      <c r="AH299" s="17"/>
      <c r="AI299" s="19"/>
      <c r="AJ299" s="19"/>
      <c r="AK299" s="19"/>
      <c r="AL299" s="19"/>
      <c r="AM299" s="19"/>
      <c r="AN299" s="19"/>
      <c r="AO299" s="19"/>
      <c r="AP299" s="19"/>
      <c r="AQ299" s="19"/>
      <c r="AR299" s="19"/>
      <c r="AS299" s="19"/>
    </row>
    <row r="300" spans="2:45" s="2" customFormat="1">
      <c r="B300" s="22"/>
      <c r="C300" s="23"/>
      <c r="D300" s="24"/>
      <c r="E300" s="25"/>
      <c r="F300" s="26"/>
      <c r="G300" s="26"/>
      <c r="H300" s="26"/>
      <c r="I300" s="26"/>
      <c r="J300" s="26"/>
      <c r="K300" s="26"/>
      <c r="L300" s="26"/>
      <c r="M300" s="26"/>
      <c r="N300" s="26"/>
      <c r="O300" s="29"/>
      <c r="P300" s="26"/>
      <c r="Q300" s="26"/>
      <c r="R300" s="26"/>
      <c r="S300" s="26"/>
      <c r="T300" s="26"/>
      <c r="U300" s="26"/>
      <c r="V300" s="26"/>
      <c r="W300" s="26"/>
      <c r="X300" s="26"/>
      <c r="Y300" s="26"/>
      <c r="Z300" s="26"/>
      <c r="AA300" s="29"/>
      <c r="AB300" s="29"/>
      <c r="AC300" s="16"/>
      <c r="AD300" s="16"/>
      <c r="AE300" s="17"/>
      <c r="AF300" s="17"/>
      <c r="AG300" s="17"/>
      <c r="AH300" s="17"/>
      <c r="AI300" s="19"/>
      <c r="AJ300" s="19"/>
      <c r="AK300" s="19"/>
      <c r="AL300" s="19"/>
      <c r="AM300" s="19"/>
      <c r="AN300" s="19"/>
      <c r="AO300" s="19"/>
      <c r="AP300" s="19"/>
      <c r="AQ300" s="19"/>
      <c r="AR300" s="19"/>
      <c r="AS300" s="19"/>
    </row>
    <row r="301" spans="2:45" s="2" customFormat="1">
      <c r="B301" s="22"/>
      <c r="C301" s="23"/>
      <c r="D301" s="24"/>
      <c r="E301" s="25"/>
      <c r="F301" s="26"/>
      <c r="G301" s="26"/>
      <c r="H301" s="26"/>
      <c r="I301" s="26"/>
      <c r="J301" s="26"/>
      <c r="K301" s="26"/>
      <c r="L301" s="26"/>
      <c r="M301" s="26"/>
      <c r="N301" s="26"/>
      <c r="O301" s="29"/>
      <c r="P301" s="26"/>
      <c r="Q301" s="26"/>
      <c r="R301" s="26"/>
      <c r="S301" s="26"/>
      <c r="T301" s="26"/>
      <c r="U301" s="26"/>
      <c r="V301" s="26"/>
      <c r="W301" s="26"/>
      <c r="X301" s="26"/>
      <c r="Y301" s="26"/>
      <c r="Z301" s="26"/>
      <c r="AA301" s="29"/>
      <c r="AB301" s="29"/>
      <c r="AC301" s="16"/>
      <c r="AD301" s="16"/>
      <c r="AE301" s="17"/>
      <c r="AF301" s="17"/>
      <c r="AG301" s="17"/>
      <c r="AH301" s="17"/>
      <c r="AI301" s="19"/>
      <c r="AJ301" s="19"/>
      <c r="AK301" s="19"/>
      <c r="AL301" s="19"/>
      <c r="AM301" s="19"/>
      <c r="AN301" s="19"/>
      <c r="AO301" s="19"/>
      <c r="AP301" s="19"/>
      <c r="AQ301" s="19"/>
      <c r="AR301" s="19"/>
      <c r="AS301" s="19"/>
    </row>
    <row r="302" spans="2:45" s="2" customFormat="1">
      <c r="B302" s="22"/>
      <c r="C302" s="23"/>
      <c r="D302" s="24"/>
      <c r="E302" s="25"/>
      <c r="F302" s="26"/>
      <c r="G302" s="26"/>
      <c r="H302" s="26"/>
      <c r="I302" s="26"/>
      <c r="J302" s="26"/>
      <c r="K302" s="26"/>
      <c r="L302" s="26"/>
      <c r="M302" s="26"/>
      <c r="N302" s="26"/>
      <c r="O302" s="29"/>
      <c r="P302" s="26"/>
      <c r="Q302" s="26"/>
      <c r="R302" s="26"/>
      <c r="S302" s="26"/>
      <c r="T302" s="26"/>
      <c r="U302" s="26"/>
      <c r="V302" s="26"/>
      <c r="W302" s="26"/>
      <c r="X302" s="26"/>
      <c r="Y302" s="26"/>
      <c r="Z302" s="26"/>
      <c r="AA302" s="29"/>
      <c r="AB302" s="29"/>
      <c r="AC302" s="16"/>
      <c r="AD302" s="16"/>
      <c r="AE302" s="17"/>
      <c r="AF302" s="17"/>
      <c r="AG302" s="17"/>
      <c r="AH302" s="17"/>
      <c r="AI302" s="19"/>
      <c r="AJ302" s="19"/>
      <c r="AK302" s="19"/>
      <c r="AL302" s="19"/>
      <c r="AM302" s="19"/>
      <c r="AN302" s="19"/>
      <c r="AO302" s="19"/>
      <c r="AP302" s="19"/>
      <c r="AQ302" s="19"/>
      <c r="AR302" s="19"/>
      <c r="AS302" s="19"/>
    </row>
    <row r="303" spans="2:45" s="2" customFormat="1">
      <c r="B303" s="22"/>
      <c r="C303" s="23"/>
      <c r="D303" s="24"/>
      <c r="E303" s="25"/>
      <c r="F303" s="26"/>
      <c r="G303" s="26"/>
      <c r="H303" s="26"/>
      <c r="I303" s="26"/>
      <c r="J303" s="26"/>
      <c r="K303" s="26"/>
      <c r="L303" s="26"/>
      <c r="M303" s="26"/>
      <c r="N303" s="26"/>
      <c r="O303" s="29"/>
      <c r="P303" s="26"/>
      <c r="Q303" s="26"/>
      <c r="R303" s="26"/>
      <c r="S303" s="26"/>
      <c r="T303" s="26"/>
      <c r="U303" s="26"/>
      <c r="V303" s="26"/>
      <c r="W303" s="26"/>
      <c r="X303" s="26"/>
      <c r="Y303" s="26"/>
      <c r="Z303" s="26"/>
      <c r="AA303" s="29"/>
      <c r="AB303" s="29"/>
      <c r="AC303" s="16"/>
      <c r="AD303" s="16"/>
      <c r="AE303" s="17"/>
      <c r="AF303" s="17"/>
      <c r="AG303" s="17"/>
      <c r="AH303" s="17"/>
      <c r="AI303" s="19"/>
      <c r="AJ303" s="19"/>
      <c r="AK303" s="19"/>
      <c r="AL303" s="19"/>
      <c r="AM303" s="19"/>
      <c r="AN303" s="19"/>
      <c r="AO303" s="19"/>
      <c r="AP303" s="19"/>
      <c r="AQ303" s="19"/>
      <c r="AR303" s="19"/>
      <c r="AS303" s="19"/>
    </row>
    <row r="304" spans="2:45" s="2" customFormat="1">
      <c r="B304" s="22"/>
      <c r="C304" s="23"/>
      <c r="D304" s="24"/>
      <c r="E304" s="25"/>
      <c r="F304" s="26"/>
      <c r="G304" s="26"/>
      <c r="H304" s="26"/>
      <c r="I304" s="26"/>
      <c r="J304" s="26"/>
      <c r="K304" s="26"/>
      <c r="L304" s="26"/>
      <c r="M304" s="26"/>
      <c r="N304" s="26"/>
      <c r="O304" s="29"/>
      <c r="P304" s="26"/>
      <c r="Q304" s="26"/>
      <c r="R304" s="26"/>
      <c r="S304" s="26"/>
      <c r="T304" s="26"/>
      <c r="U304" s="26"/>
      <c r="V304" s="26"/>
      <c r="W304" s="26"/>
      <c r="X304" s="26"/>
      <c r="Y304" s="26"/>
      <c r="Z304" s="26"/>
      <c r="AA304" s="29"/>
      <c r="AB304" s="29"/>
      <c r="AC304" s="16"/>
      <c r="AD304" s="16"/>
      <c r="AE304" s="17"/>
      <c r="AF304" s="17"/>
      <c r="AG304" s="17"/>
      <c r="AH304" s="17"/>
      <c r="AI304" s="19"/>
      <c r="AJ304" s="19"/>
      <c r="AK304" s="19"/>
      <c r="AL304" s="19"/>
      <c r="AM304" s="19"/>
      <c r="AN304" s="19"/>
      <c r="AO304" s="19"/>
      <c r="AP304" s="19"/>
      <c r="AQ304" s="19"/>
      <c r="AR304" s="19"/>
      <c r="AS304" s="19"/>
    </row>
    <row r="305" spans="2:45" s="2" customFormat="1">
      <c r="B305" s="22"/>
      <c r="C305" s="23"/>
      <c r="D305" s="24"/>
      <c r="E305" s="25"/>
      <c r="F305" s="26"/>
      <c r="G305" s="26"/>
      <c r="H305" s="26"/>
      <c r="I305" s="26"/>
      <c r="J305" s="26"/>
      <c r="K305" s="26"/>
      <c r="L305" s="26"/>
      <c r="M305" s="26"/>
      <c r="N305" s="26"/>
      <c r="O305" s="29"/>
      <c r="P305" s="26"/>
      <c r="Q305" s="26"/>
      <c r="R305" s="26"/>
      <c r="S305" s="26"/>
      <c r="T305" s="26"/>
      <c r="U305" s="26"/>
      <c r="V305" s="26"/>
      <c r="W305" s="26"/>
      <c r="X305" s="26"/>
      <c r="Y305" s="26"/>
      <c r="Z305" s="26"/>
      <c r="AA305" s="29"/>
      <c r="AB305" s="29"/>
      <c r="AC305" s="16"/>
      <c r="AD305" s="16"/>
      <c r="AE305" s="17"/>
      <c r="AF305" s="17"/>
      <c r="AG305" s="17"/>
      <c r="AH305" s="17"/>
      <c r="AI305" s="19"/>
      <c r="AJ305" s="19"/>
      <c r="AK305" s="19"/>
      <c r="AL305" s="19"/>
      <c r="AM305" s="19"/>
      <c r="AN305" s="19"/>
      <c r="AO305" s="19"/>
      <c r="AP305" s="19"/>
      <c r="AQ305" s="19"/>
      <c r="AR305" s="19"/>
      <c r="AS305" s="19"/>
    </row>
    <row r="306" spans="2:45" s="2" customFormat="1">
      <c r="B306" s="22"/>
      <c r="C306" s="23"/>
      <c r="D306" s="24"/>
      <c r="E306" s="25"/>
      <c r="F306" s="26"/>
      <c r="G306" s="26"/>
      <c r="H306" s="26"/>
      <c r="I306" s="26"/>
      <c r="J306" s="26"/>
      <c r="K306" s="26"/>
      <c r="L306" s="26"/>
      <c r="M306" s="26"/>
      <c r="N306" s="26"/>
      <c r="O306" s="29"/>
      <c r="P306" s="26"/>
      <c r="Q306" s="26"/>
      <c r="R306" s="26"/>
      <c r="S306" s="26"/>
      <c r="T306" s="26"/>
      <c r="U306" s="26"/>
      <c r="V306" s="26"/>
      <c r="W306" s="26"/>
      <c r="X306" s="26"/>
      <c r="Y306" s="26"/>
      <c r="Z306" s="26"/>
      <c r="AA306" s="29"/>
      <c r="AB306" s="29"/>
      <c r="AC306" s="16"/>
      <c r="AD306" s="16"/>
      <c r="AE306" s="17"/>
      <c r="AF306" s="17"/>
      <c r="AG306" s="17"/>
      <c r="AH306" s="17"/>
      <c r="AI306" s="19"/>
      <c r="AJ306" s="19"/>
      <c r="AK306" s="19"/>
      <c r="AL306" s="19"/>
      <c r="AM306" s="19"/>
      <c r="AN306" s="19"/>
      <c r="AO306" s="19"/>
      <c r="AP306" s="19"/>
      <c r="AQ306" s="19"/>
      <c r="AR306" s="19"/>
      <c r="AS306" s="19"/>
    </row>
    <row r="307" spans="2:45" s="2" customFormat="1">
      <c r="B307" s="22"/>
      <c r="C307" s="23"/>
      <c r="D307" s="24"/>
      <c r="E307" s="25"/>
      <c r="F307" s="26"/>
      <c r="G307" s="26"/>
      <c r="H307" s="26"/>
      <c r="I307" s="26"/>
      <c r="J307" s="26"/>
      <c r="K307" s="26"/>
      <c r="L307" s="26"/>
      <c r="M307" s="26"/>
      <c r="N307" s="26"/>
      <c r="O307" s="29"/>
      <c r="P307" s="26"/>
      <c r="Q307" s="26"/>
      <c r="R307" s="26"/>
      <c r="S307" s="26"/>
      <c r="T307" s="26"/>
      <c r="U307" s="26"/>
      <c r="V307" s="26"/>
      <c r="W307" s="26"/>
      <c r="X307" s="26"/>
      <c r="Y307" s="26"/>
      <c r="Z307" s="26"/>
      <c r="AA307" s="29"/>
      <c r="AB307" s="29"/>
      <c r="AC307" s="16"/>
      <c r="AD307" s="16"/>
      <c r="AE307" s="17"/>
      <c r="AF307" s="17"/>
      <c r="AG307" s="17"/>
      <c r="AH307" s="17"/>
      <c r="AI307" s="19"/>
      <c r="AJ307" s="19"/>
      <c r="AK307" s="19"/>
      <c r="AL307" s="19"/>
      <c r="AM307" s="19"/>
      <c r="AN307" s="19"/>
      <c r="AO307" s="19"/>
      <c r="AP307" s="19"/>
      <c r="AQ307" s="19"/>
      <c r="AR307" s="19"/>
      <c r="AS307" s="19"/>
    </row>
    <row r="308" spans="2:45" s="2" customFormat="1">
      <c r="B308" s="22"/>
      <c r="C308" s="23"/>
      <c r="D308" s="24"/>
      <c r="E308" s="25"/>
      <c r="F308" s="26"/>
      <c r="G308" s="26"/>
      <c r="H308" s="26"/>
      <c r="I308" s="26"/>
      <c r="J308" s="26"/>
      <c r="K308" s="26"/>
      <c r="L308" s="26"/>
      <c r="M308" s="26"/>
      <c r="N308" s="26"/>
      <c r="O308" s="29"/>
      <c r="P308" s="26"/>
      <c r="Q308" s="26"/>
      <c r="R308" s="26"/>
      <c r="S308" s="26"/>
      <c r="T308" s="26"/>
      <c r="U308" s="26"/>
      <c r="V308" s="26"/>
      <c r="W308" s="26"/>
      <c r="X308" s="26"/>
      <c r="Y308" s="26"/>
      <c r="Z308" s="26"/>
      <c r="AA308" s="29"/>
      <c r="AB308" s="29"/>
      <c r="AC308" s="16"/>
      <c r="AD308" s="16"/>
      <c r="AE308" s="17"/>
      <c r="AF308" s="17"/>
      <c r="AG308" s="17"/>
      <c r="AH308" s="17"/>
      <c r="AI308" s="19"/>
      <c r="AJ308" s="19"/>
      <c r="AK308" s="19"/>
      <c r="AL308" s="19"/>
      <c r="AM308" s="19"/>
      <c r="AN308" s="19"/>
      <c r="AO308" s="19"/>
      <c r="AP308" s="19"/>
      <c r="AQ308" s="19"/>
      <c r="AR308" s="19"/>
      <c r="AS308" s="19"/>
    </row>
    <row r="309" spans="2:45" s="2" customFormat="1">
      <c r="B309" s="22"/>
      <c r="C309" s="23"/>
      <c r="D309" s="24"/>
      <c r="E309" s="25"/>
      <c r="F309" s="26"/>
      <c r="G309" s="26"/>
      <c r="H309" s="26"/>
      <c r="I309" s="26"/>
      <c r="J309" s="26"/>
      <c r="K309" s="26"/>
      <c r="L309" s="26"/>
      <c r="M309" s="26"/>
      <c r="N309" s="26"/>
      <c r="O309" s="29"/>
      <c r="P309" s="26"/>
      <c r="Q309" s="26"/>
      <c r="R309" s="26"/>
      <c r="S309" s="26"/>
      <c r="T309" s="26"/>
      <c r="U309" s="26"/>
      <c r="V309" s="26"/>
      <c r="W309" s="26"/>
      <c r="X309" s="26"/>
      <c r="Y309" s="26"/>
      <c r="Z309" s="26"/>
      <c r="AA309" s="29"/>
      <c r="AB309" s="29"/>
      <c r="AC309" s="16"/>
      <c r="AD309" s="16"/>
      <c r="AE309" s="17"/>
      <c r="AF309" s="17"/>
      <c r="AG309" s="17"/>
      <c r="AH309" s="17"/>
      <c r="AI309" s="19"/>
      <c r="AJ309" s="19"/>
      <c r="AK309" s="19"/>
      <c r="AL309" s="19"/>
      <c r="AM309" s="19"/>
      <c r="AN309" s="19"/>
      <c r="AO309" s="19"/>
      <c r="AP309" s="19"/>
      <c r="AQ309" s="19"/>
      <c r="AR309" s="19"/>
      <c r="AS309" s="19"/>
    </row>
    <row r="310" spans="2:45" s="2" customFormat="1">
      <c r="B310" s="22"/>
      <c r="C310" s="23"/>
      <c r="D310" s="24"/>
      <c r="E310" s="25"/>
      <c r="F310" s="26"/>
      <c r="G310" s="26"/>
      <c r="H310" s="26"/>
      <c r="I310" s="26"/>
      <c r="J310" s="26"/>
      <c r="K310" s="26"/>
      <c r="L310" s="26"/>
      <c r="M310" s="26"/>
      <c r="N310" s="26"/>
      <c r="O310" s="29"/>
      <c r="P310" s="26"/>
      <c r="Q310" s="26"/>
      <c r="R310" s="26"/>
      <c r="S310" s="26"/>
      <c r="T310" s="26"/>
      <c r="U310" s="26"/>
      <c r="V310" s="26"/>
      <c r="W310" s="26"/>
      <c r="X310" s="26"/>
      <c r="Y310" s="26"/>
      <c r="Z310" s="26"/>
      <c r="AA310" s="29"/>
      <c r="AB310" s="29"/>
      <c r="AC310" s="16"/>
      <c r="AD310" s="16"/>
      <c r="AE310" s="17"/>
      <c r="AF310" s="17"/>
      <c r="AG310" s="17"/>
      <c r="AH310" s="17"/>
      <c r="AI310" s="19"/>
      <c r="AJ310" s="19"/>
      <c r="AK310" s="19"/>
      <c r="AL310" s="19"/>
      <c r="AM310" s="19"/>
      <c r="AN310" s="19"/>
      <c r="AO310" s="19"/>
      <c r="AP310" s="19"/>
      <c r="AQ310" s="19"/>
      <c r="AR310" s="19"/>
      <c r="AS310" s="19"/>
    </row>
    <row r="311" spans="2:45" s="2" customFormat="1">
      <c r="B311" s="22"/>
      <c r="C311" s="23"/>
      <c r="D311" s="24"/>
      <c r="E311" s="25"/>
      <c r="F311" s="26"/>
      <c r="G311" s="26"/>
      <c r="H311" s="26"/>
      <c r="I311" s="26"/>
      <c r="J311" s="26"/>
      <c r="K311" s="26"/>
      <c r="L311" s="26"/>
      <c r="M311" s="26"/>
      <c r="N311" s="26"/>
      <c r="O311" s="29"/>
      <c r="P311" s="26"/>
      <c r="Q311" s="26"/>
      <c r="R311" s="26"/>
      <c r="S311" s="26"/>
      <c r="T311" s="26"/>
      <c r="U311" s="26"/>
      <c r="V311" s="26"/>
      <c r="W311" s="26"/>
      <c r="X311" s="26"/>
      <c r="Y311" s="26"/>
      <c r="Z311" s="26"/>
      <c r="AA311" s="29"/>
      <c r="AB311" s="29"/>
      <c r="AC311" s="16"/>
      <c r="AD311" s="16"/>
      <c r="AE311" s="17"/>
      <c r="AF311" s="17"/>
      <c r="AG311" s="17"/>
      <c r="AH311" s="17"/>
      <c r="AI311" s="19"/>
      <c r="AJ311" s="19"/>
      <c r="AK311" s="19"/>
      <c r="AL311" s="19"/>
      <c r="AM311" s="19"/>
      <c r="AN311" s="19"/>
      <c r="AO311" s="19"/>
      <c r="AP311" s="19"/>
      <c r="AQ311" s="19"/>
      <c r="AR311" s="19"/>
      <c r="AS311" s="19"/>
    </row>
    <row r="312" spans="2:45" s="2" customFormat="1">
      <c r="B312" s="22"/>
      <c r="C312" s="23"/>
      <c r="D312" s="24"/>
      <c r="E312" s="25"/>
      <c r="F312" s="26"/>
      <c r="G312" s="26"/>
      <c r="H312" s="26"/>
      <c r="I312" s="26"/>
      <c r="J312" s="26"/>
      <c r="K312" s="26"/>
      <c r="L312" s="26"/>
      <c r="M312" s="26"/>
      <c r="N312" s="26"/>
      <c r="O312" s="29"/>
      <c r="P312" s="26"/>
      <c r="Q312" s="26"/>
      <c r="R312" s="26"/>
      <c r="S312" s="26"/>
      <c r="T312" s="26"/>
      <c r="U312" s="26"/>
      <c r="V312" s="26"/>
      <c r="W312" s="26"/>
      <c r="X312" s="26"/>
      <c r="Y312" s="26"/>
      <c r="Z312" s="26"/>
      <c r="AA312" s="29"/>
      <c r="AB312" s="29"/>
      <c r="AC312" s="16"/>
      <c r="AD312" s="16"/>
      <c r="AE312" s="17"/>
      <c r="AF312" s="17"/>
      <c r="AG312" s="17"/>
      <c r="AH312" s="17"/>
      <c r="AI312" s="19"/>
      <c r="AJ312" s="19"/>
      <c r="AK312" s="19"/>
      <c r="AL312" s="19"/>
      <c r="AM312" s="19"/>
      <c r="AN312" s="19"/>
      <c r="AO312" s="19"/>
      <c r="AP312" s="19"/>
      <c r="AQ312" s="19"/>
      <c r="AR312" s="19"/>
      <c r="AS312" s="19"/>
    </row>
    <row r="313" spans="2:45" s="2" customFormat="1">
      <c r="B313" s="22"/>
      <c r="C313" s="23"/>
      <c r="D313" s="24"/>
      <c r="E313" s="25"/>
      <c r="F313" s="26"/>
      <c r="G313" s="26"/>
      <c r="H313" s="26"/>
      <c r="I313" s="26"/>
      <c r="J313" s="26"/>
      <c r="K313" s="26"/>
      <c r="L313" s="26"/>
      <c r="M313" s="26"/>
      <c r="N313" s="26"/>
      <c r="O313" s="29"/>
      <c r="P313" s="26"/>
      <c r="Q313" s="26"/>
      <c r="R313" s="26"/>
      <c r="S313" s="26"/>
      <c r="T313" s="26"/>
      <c r="U313" s="26"/>
      <c r="V313" s="26"/>
      <c r="W313" s="26"/>
      <c r="X313" s="26"/>
      <c r="Y313" s="26"/>
      <c r="Z313" s="26"/>
      <c r="AA313" s="29"/>
      <c r="AB313" s="29"/>
      <c r="AC313" s="16"/>
      <c r="AD313" s="16"/>
      <c r="AE313" s="17"/>
      <c r="AF313" s="17"/>
      <c r="AG313" s="17"/>
      <c r="AH313" s="17"/>
      <c r="AI313" s="19"/>
      <c r="AJ313" s="19"/>
      <c r="AK313" s="19"/>
      <c r="AL313" s="19"/>
      <c r="AM313" s="19"/>
      <c r="AN313" s="19"/>
      <c r="AO313" s="19"/>
      <c r="AP313" s="19"/>
      <c r="AQ313" s="19"/>
      <c r="AR313" s="19"/>
      <c r="AS313" s="19"/>
    </row>
    <row r="314" spans="2:45" s="2" customFormat="1">
      <c r="B314" s="22"/>
      <c r="C314" s="23"/>
      <c r="D314" s="24"/>
      <c r="E314" s="25"/>
      <c r="F314" s="26"/>
      <c r="G314" s="26"/>
      <c r="H314" s="26"/>
      <c r="I314" s="26"/>
      <c r="J314" s="26"/>
      <c r="K314" s="26"/>
      <c r="L314" s="26"/>
      <c r="M314" s="26"/>
      <c r="N314" s="26"/>
      <c r="O314" s="29"/>
      <c r="P314" s="26"/>
      <c r="Q314" s="26"/>
      <c r="R314" s="26"/>
      <c r="S314" s="26"/>
      <c r="T314" s="26"/>
      <c r="U314" s="26"/>
      <c r="V314" s="26"/>
      <c r="W314" s="26"/>
      <c r="X314" s="26"/>
      <c r="Y314" s="26"/>
      <c r="Z314" s="26"/>
      <c r="AA314" s="29"/>
      <c r="AB314" s="29"/>
      <c r="AC314" s="16"/>
      <c r="AD314" s="16"/>
      <c r="AE314" s="17"/>
      <c r="AF314" s="17"/>
      <c r="AG314" s="17"/>
      <c r="AH314" s="17"/>
      <c r="AI314" s="19"/>
      <c r="AJ314" s="19"/>
      <c r="AK314" s="19"/>
      <c r="AL314" s="19"/>
      <c r="AM314" s="19"/>
      <c r="AN314" s="19"/>
      <c r="AO314" s="19"/>
      <c r="AP314" s="19"/>
      <c r="AQ314" s="19"/>
      <c r="AR314" s="19"/>
      <c r="AS314" s="19"/>
    </row>
    <row r="315" spans="2:45" s="2" customFormat="1">
      <c r="B315" s="22"/>
      <c r="C315" s="23"/>
      <c r="D315" s="24"/>
      <c r="E315" s="25"/>
      <c r="F315" s="26"/>
      <c r="G315" s="26"/>
      <c r="H315" s="26"/>
      <c r="I315" s="26"/>
      <c r="J315" s="26"/>
      <c r="K315" s="26"/>
      <c r="L315" s="26"/>
      <c r="M315" s="26"/>
      <c r="N315" s="26"/>
      <c r="O315" s="29"/>
      <c r="P315" s="26"/>
      <c r="Q315" s="26"/>
      <c r="R315" s="26"/>
      <c r="S315" s="26"/>
      <c r="T315" s="26"/>
      <c r="U315" s="26"/>
      <c r="V315" s="26"/>
      <c r="W315" s="26"/>
      <c r="X315" s="26"/>
      <c r="Y315" s="26"/>
      <c r="Z315" s="26"/>
      <c r="AA315" s="29"/>
      <c r="AB315" s="29"/>
      <c r="AC315" s="16"/>
      <c r="AD315" s="16"/>
      <c r="AE315" s="17"/>
      <c r="AF315" s="17"/>
      <c r="AG315" s="17"/>
      <c r="AH315" s="17"/>
      <c r="AI315" s="19"/>
      <c r="AJ315" s="19"/>
      <c r="AK315" s="19"/>
      <c r="AL315" s="19"/>
      <c r="AM315" s="19"/>
      <c r="AN315" s="19"/>
      <c r="AO315" s="19"/>
      <c r="AP315" s="19"/>
      <c r="AQ315" s="19"/>
      <c r="AR315" s="19"/>
      <c r="AS315" s="19"/>
    </row>
    <row r="316" spans="2:45" s="2" customFormat="1">
      <c r="B316" s="22"/>
      <c r="C316" s="23"/>
      <c r="D316" s="24"/>
      <c r="E316" s="25"/>
      <c r="F316" s="26"/>
      <c r="G316" s="26"/>
      <c r="H316" s="26"/>
      <c r="I316" s="26"/>
      <c r="J316" s="26"/>
      <c r="K316" s="26"/>
      <c r="L316" s="26"/>
      <c r="M316" s="26"/>
      <c r="N316" s="26"/>
      <c r="O316" s="29"/>
      <c r="P316" s="26"/>
      <c r="Q316" s="26"/>
      <c r="R316" s="26"/>
      <c r="S316" s="26"/>
      <c r="T316" s="26"/>
      <c r="U316" s="26"/>
      <c r="V316" s="26"/>
      <c r="W316" s="26"/>
      <c r="X316" s="26"/>
      <c r="Y316" s="26"/>
      <c r="Z316" s="26"/>
      <c r="AA316" s="29"/>
      <c r="AB316" s="29"/>
      <c r="AC316" s="16"/>
      <c r="AD316" s="16"/>
      <c r="AE316" s="17"/>
      <c r="AF316" s="17"/>
      <c r="AG316" s="17"/>
      <c r="AH316" s="17"/>
      <c r="AI316" s="19"/>
      <c r="AJ316" s="19"/>
      <c r="AK316" s="19"/>
      <c r="AL316" s="19"/>
      <c r="AM316" s="19"/>
      <c r="AN316" s="19"/>
      <c r="AO316" s="19"/>
      <c r="AP316" s="19"/>
      <c r="AQ316" s="19"/>
      <c r="AR316" s="19"/>
      <c r="AS316" s="19"/>
    </row>
    <row r="317" spans="2:45" s="2" customFormat="1">
      <c r="B317" s="22"/>
      <c r="C317" s="23"/>
      <c r="D317" s="24"/>
      <c r="E317" s="25"/>
      <c r="F317" s="26"/>
      <c r="G317" s="26"/>
      <c r="H317" s="26"/>
      <c r="I317" s="26"/>
      <c r="J317" s="26"/>
      <c r="K317" s="26"/>
      <c r="L317" s="26"/>
      <c r="M317" s="26"/>
      <c r="N317" s="26"/>
      <c r="O317" s="29"/>
      <c r="P317" s="26"/>
      <c r="Q317" s="26"/>
      <c r="R317" s="26"/>
      <c r="S317" s="26"/>
      <c r="T317" s="26"/>
      <c r="U317" s="26"/>
      <c r="V317" s="26"/>
      <c r="W317" s="26"/>
      <c r="X317" s="26"/>
      <c r="Y317" s="26"/>
      <c r="Z317" s="26"/>
      <c r="AA317" s="29"/>
      <c r="AB317" s="29"/>
      <c r="AC317" s="16"/>
      <c r="AD317" s="16"/>
      <c r="AE317" s="17"/>
      <c r="AF317" s="17"/>
      <c r="AG317" s="17"/>
      <c r="AH317" s="17"/>
      <c r="AI317" s="19"/>
      <c r="AJ317" s="19"/>
      <c r="AK317" s="19"/>
      <c r="AL317" s="19"/>
      <c r="AM317" s="19"/>
      <c r="AN317" s="19"/>
      <c r="AO317" s="19"/>
      <c r="AP317" s="19"/>
      <c r="AQ317" s="19"/>
      <c r="AR317" s="19"/>
      <c r="AS317" s="19"/>
    </row>
    <row r="318" spans="2:45" s="2" customFormat="1">
      <c r="B318" s="22"/>
      <c r="C318" s="23"/>
      <c r="D318" s="24"/>
      <c r="E318" s="25"/>
      <c r="F318" s="26"/>
      <c r="G318" s="26"/>
      <c r="H318" s="26"/>
      <c r="I318" s="26"/>
      <c r="J318" s="26"/>
      <c r="K318" s="26"/>
      <c r="L318" s="26"/>
      <c r="M318" s="26"/>
      <c r="N318" s="26"/>
      <c r="O318" s="29"/>
      <c r="P318" s="26"/>
      <c r="Q318" s="26"/>
      <c r="R318" s="26"/>
      <c r="S318" s="26"/>
      <c r="T318" s="26"/>
      <c r="U318" s="26"/>
      <c r="V318" s="26"/>
      <c r="W318" s="26"/>
      <c r="X318" s="26"/>
      <c r="Y318" s="26"/>
      <c r="Z318" s="26"/>
      <c r="AA318" s="29"/>
      <c r="AB318" s="29"/>
      <c r="AC318" s="16"/>
      <c r="AD318" s="16"/>
      <c r="AE318" s="17"/>
      <c r="AF318" s="17"/>
      <c r="AG318" s="17"/>
      <c r="AH318" s="17"/>
      <c r="AI318" s="19"/>
      <c r="AJ318" s="19"/>
      <c r="AK318" s="19"/>
      <c r="AL318" s="19"/>
      <c r="AM318" s="19"/>
      <c r="AN318" s="19"/>
      <c r="AO318" s="19"/>
      <c r="AP318" s="19"/>
      <c r="AQ318" s="19"/>
      <c r="AR318" s="19"/>
      <c r="AS318" s="19"/>
    </row>
    <row r="319" spans="2:45" s="2" customFormat="1">
      <c r="B319" s="22"/>
      <c r="C319" s="23"/>
      <c r="D319" s="24"/>
      <c r="E319" s="25"/>
      <c r="F319" s="26"/>
      <c r="G319" s="26"/>
      <c r="H319" s="26"/>
      <c r="I319" s="26"/>
      <c r="J319" s="26"/>
      <c r="K319" s="26"/>
      <c r="L319" s="26"/>
      <c r="M319" s="26"/>
      <c r="N319" s="26"/>
      <c r="O319" s="29"/>
      <c r="P319" s="26"/>
      <c r="Q319" s="26"/>
      <c r="R319" s="26"/>
      <c r="S319" s="26"/>
      <c r="T319" s="26"/>
      <c r="U319" s="26"/>
      <c r="V319" s="26"/>
      <c r="W319" s="26"/>
      <c r="X319" s="26"/>
      <c r="Y319" s="26"/>
      <c r="Z319" s="26"/>
      <c r="AA319" s="29"/>
      <c r="AB319" s="29"/>
      <c r="AC319" s="16"/>
      <c r="AD319" s="16"/>
      <c r="AE319" s="17"/>
      <c r="AF319" s="17"/>
      <c r="AG319" s="17"/>
      <c r="AH319" s="17"/>
      <c r="AI319" s="19"/>
      <c r="AJ319" s="19"/>
      <c r="AK319" s="19"/>
      <c r="AL319" s="19"/>
      <c r="AM319" s="19"/>
      <c r="AN319" s="19"/>
      <c r="AO319" s="19"/>
      <c r="AP319" s="19"/>
      <c r="AQ319" s="19"/>
      <c r="AR319" s="19"/>
      <c r="AS319" s="19"/>
    </row>
    <row r="320" spans="2:45" s="2" customFormat="1">
      <c r="B320" s="22"/>
      <c r="C320" s="23"/>
      <c r="D320" s="24"/>
      <c r="E320" s="25"/>
      <c r="F320" s="26"/>
      <c r="G320" s="26"/>
      <c r="H320" s="26"/>
      <c r="I320" s="26"/>
      <c r="J320" s="26"/>
      <c r="K320" s="26"/>
      <c r="L320" s="26"/>
      <c r="M320" s="26"/>
      <c r="N320" s="26"/>
      <c r="O320" s="29"/>
      <c r="P320" s="26"/>
      <c r="Q320" s="26"/>
      <c r="R320" s="26"/>
      <c r="S320" s="26"/>
      <c r="T320" s="26"/>
      <c r="U320" s="26"/>
      <c r="V320" s="26"/>
      <c r="W320" s="26"/>
      <c r="X320" s="26"/>
      <c r="Y320" s="26"/>
      <c r="Z320" s="26"/>
      <c r="AA320" s="29"/>
      <c r="AB320" s="29"/>
      <c r="AC320" s="16"/>
      <c r="AD320" s="16"/>
      <c r="AE320" s="17"/>
      <c r="AF320" s="17"/>
      <c r="AG320" s="17"/>
      <c r="AH320" s="17"/>
      <c r="AI320" s="19"/>
      <c r="AJ320" s="19"/>
      <c r="AK320" s="19"/>
      <c r="AL320" s="19"/>
      <c r="AM320" s="19"/>
      <c r="AN320" s="19"/>
      <c r="AO320" s="19"/>
      <c r="AP320" s="19"/>
      <c r="AQ320" s="19"/>
      <c r="AR320" s="19"/>
      <c r="AS320" s="19"/>
    </row>
    <row r="321" spans="2:45" s="2" customFormat="1">
      <c r="B321" s="22"/>
      <c r="C321" s="23"/>
      <c r="D321" s="24"/>
      <c r="E321" s="25"/>
      <c r="F321" s="26"/>
      <c r="G321" s="26"/>
      <c r="H321" s="26"/>
      <c r="I321" s="26"/>
      <c r="J321" s="26"/>
      <c r="K321" s="26"/>
      <c r="L321" s="26"/>
      <c r="M321" s="26"/>
      <c r="N321" s="26"/>
      <c r="O321" s="29"/>
      <c r="P321" s="26"/>
      <c r="Q321" s="26"/>
      <c r="R321" s="26"/>
      <c r="S321" s="26"/>
      <c r="T321" s="26"/>
      <c r="U321" s="26"/>
      <c r="V321" s="26"/>
      <c r="W321" s="26"/>
      <c r="X321" s="26"/>
      <c r="Y321" s="26"/>
      <c r="Z321" s="26"/>
      <c r="AA321" s="29"/>
      <c r="AB321" s="29"/>
      <c r="AC321" s="16"/>
      <c r="AD321" s="16"/>
      <c r="AE321" s="17"/>
      <c r="AF321" s="17"/>
      <c r="AG321" s="17"/>
      <c r="AH321" s="17"/>
      <c r="AI321" s="19"/>
      <c r="AJ321" s="19"/>
      <c r="AK321" s="19"/>
      <c r="AL321" s="19"/>
      <c r="AM321" s="19"/>
      <c r="AN321" s="19"/>
      <c r="AO321" s="19"/>
      <c r="AP321" s="19"/>
      <c r="AQ321" s="19"/>
      <c r="AR321" s="19"/>
      <c r="AS321" s="19"/>
    </row>
    <row r="322" spans="2:45" s="2" customFormat="1">
      <c r="B322" s="22"/>
      <c r="C322" s="23"/>
      <c r="D322" s="24"/>
      <c r="E322" s="25"/>
      <c r="F322" s="26"/>
      <c r="G322" s="26"/>
      <c r="H322" s="26"/>
      <c r="I322" s="26"/>
      <c r="J322" s="26"/>
      <c r="K322" s="26"/>
      <c r="L322" s="26"/>
      <c r="M322" s="26"/>
      <c r="N322" s="26"/>
      <c r="O322" s="29"/>
      <c r="P322" s="26"/>
      <c r="Q322" s="26"/>
      <c r="R322" s="26"/>
      <c r="S322" s="26"/>
      <c r="T322" s="26"/>
      <c r="U322" s="26"/>
      <c r="V322" s="26"/>
      <c r="W322" s="26"/>
      <c r="X322" s="26"/>
      <c r="Y322" s="26"/>
      <c r="Z322" s="26"/>
      <c r="AA322" s="29"/>
      <c r="AB322" s="29"/>
      <c r="AC322" s="16"/>
      <c r="AD322" s="16"/>
      <c r="AE322" s="17"/>
      <c r="AF322" s="17"/>
      <c r="AG322" s="17"/>
      <c r="AH322" s="17"/>
      <c r="AI322" s="19"/>
      <c r="AJ322" s="19"/>
      <c r="AK322" s="19"/>
      <c r="AL322" s="19"/>
      <c r="AM322" s="19"/>
      <c r="AN322" s="19"/>
      <c r="AO322" s="19"/>
      <c r="AP322" s="19"/>
      <c r="AQ322" s="19"/>
      <c r="AR322" s="19"/>
      <c r="AS322" s="19"/>
    </row>
    <row r="323" spans="2:45" s="2" customFormat="1">
      <c r="B323" s="22"/>
      <c r="C323" s="23"/>
      <c r="D323" s="24"/>
      <c r="E323" s="25"/>
      <c r="F323" s="26"/>
      <c r="G323" s="26"/>
      <c r="H323" s="26"/>
      <c r="I323" s="26"/>
      <c r="J323" s="26"/>
      <c r="K323" s="26"/>
      <c r="L323" s="26"/>
      <c r="M323" s="26"/>
      <c r="N323" s="26"/>
      <c r="O323" s="29"/>
      <c r="P323" s="26"/>
      <c r="Q323" s="26"/>
      <c r="R323" s="26"/>
      <c r="S323" s="26"/>
      <c r="T323" s="26"/>
      <c r="U323" s="26"/>
      <c r="V323" s="26"/>
      <c r="W323" s="26"/>
      <c r="X323" s="26"/>
      <c r="Y323" s="26"/>
      <c r="Z323" s="26"/>
      <c r="AA323" s="29"/>
      <c r="AB323" s="29"/>
      <c r="AC323" s="16"/>
      <c r="AD323" s="16"/>
      <c r="AE323" s="17"/>
      <c r="AF323" s="17"/>
      <c r="AG323" s="17"/>
      <c r="AH323" s="17"/>
      <c r="AI323" s="19"/>
      <c r="AJ323" s="19"/>
      <c r="AK323" s="19"/>
      <c r="AL323" s="19"/>
      <c r="AM323" s="19"/>
      <c r="AN323" s="19"/>
      <c r="AO323" s="19"/>
      <c r="AP323" s="19"/>
      <c r="AQ323" s="19"/>
      <c r="AR323" s="19"/>
      <c r="AS323" s="19"/>
    </row>
    <row r="324" spans="2:45" s="2" customFormat="1">
      <c r="B324" s="22"/>
      <c r="C324" s="23"/>
      <c r="D324" s="24"/>
      <c r="E324" s="25"/>
      <c r="F324" s="26"/>
      <c r="G324" s="26"/>
      <c r="H324" s="26"/>
      <c r="I324" s="26"/>
      <c r="J324" s="26"/>
      <c r="K324" s="26"/>
      <c r="L324" s="26"/>
      <c r="M324" s="26"/>
      <c r="N324" s="26"/>
      <c r="O324" s="29"/>
      <c r="P324" s="26"/>
      <c r="Q324" s="26"/>
      <c r="R324" s="26"/>
      <c r="S324" s="26"/>
      <c r="T324" s="26"/>
      <c r="U324" s="26"/>
      <c r="V324" s="26"/>
      <c r="W324" s="26"/>
      <c r="X324" s="26"/>
      <c r="Y324" s="26"/>
      <c r="Z324" s="26"/>
      <c r="AA324" s="29"/>
      <c r="AB324" s="29"/>
      <c r="AC324" s="16"/>
      <c r="AD324" s="16"/>
      <c r="AE324" s="17"/>
      <c r="AF324" s="17"/>
      <c r="AG324" s="17"/>
      <c r="AH324" s="17"/>
      <c r="AI324" s="19"/>
      <c r="AJ324" s="19"/>
      <c r="AK324" s="19"/>
      <c r="AL324" s="19"/>
      <c r="AM324" s="19"/>
      <c r="AN324" s="19"/>
      <c r="AO324" s="19"/>
      <c r="AP324" s="19"/>
      <c r="AQ324" s="19"/>
      <c r="AR324" s="19"/>
      <c r="AS324" s="19"/>
    </row>
    <row r="325" spans="2:45" s="2" customFormat="1">
      <c r="B325" s="22"/>
      <c r="C325" s="23"/>
      <c r="D325" s="24"/>
      <c r="E325" s="25"/>
      <c r="F325" s="26"/>
      <c r="G325" s="26"/>
      <c r="H325" s="26"/>
      <c r="I325" s="26"/>
      <c r="J325" s="26"/>
      <c r="K325" s="26"/>
      <c r="L325" s="26"/>
      <c r="M325" s="26"/>
      <c r="N325" s="26"/>
      <c r="O325" s="29"/>
      <c r="P325" s="26"/>
      <c r="Q325" s="26"/>
      <c r="R325" s="26"/>
      <c r="S325" s="26"/>
      <c r="T325" s="26"/>
      <c r="U325" s="26"/>
      <c r="V325" s="26"/>
      <c r="W325" s="26"/>
      <c r="X325" s="26"/>
      <c r="Y325" s="26"/>
      <c r="Z325" s="26"/>
      <c r="AA325" s="29"/>
      <c r="AB325" s="29"/>
      <c r="AC325" s="16"/>
      <c r="AD325" s="16"/>
      <c r="AE325" s="17"/>
      <c r="AF325" s="17"/>
      <c r="AG325" s="17"/>
      <c r="AH325" s="17"/>
      <c r="AI325" s="19"/>
      <c r="AJ325" s="19"/>
      <c r="AK325" s="19"/>
      <c r="AL325" s="19"/>
      <c r="AM325" s="19"/>
      <c r="AN325" s="19"/>
      <c r="AO325" s="19"/>
      <c r="AP325" s="19"/>
      <c r="AQ325" s="19"/>
      <c r="AR325" s="19"/>
      <c r="AS325" s="19"/>
    </row>
    <row r="326" spans="2:45" s="2" customFormat="1">
      <c r="B326" s="22"/>
      <c r="C326" s="23"/>
      <c r="D326" s="24"/>
      <c r="E326" s="25"/>
      <c r="F326" s="26"/>
      <c r="G326" s="26"/>
      <c r="H326" s="26"/>
      <c r="I326" s="26"/>
      <c r="J326" s="26"/>
      <c r="K326" s="26"/>
      <c r="L326" s="26"/>
      <c r="M326" s="26"/>
      <c r="N326" s="26"/>
      <c r="O326" s="29"/>
      <c r="P326" s="26"/>
      <c r="Q326" s="26"/>
      <c r="R326" s="26"/>
      <c r="S326" s="26"/>
      <c r="T326" s="26"/>
      <c r="U326" s="26"/>
      <c r="V326" s="26"/>
      <c r="W326" s="26"/>
      <c r="X326" s="26"/>
      <c r="Y326" s="26"/>
      <c r="Z326" s="26"/>
      <c r="AA326" s="29"/>
      <c r="AB326" s="29"/>
      <c r="AC326" s="16"/>
      <c r="AD326" s="16"/>
      <c r="AE326" s="17"/>
      <c r="AF326" s="17"/>
      <c r="AG326" s="17"/>
      <c r="AH326" s="17"/>
      <c r="AI326" s="19"/>
      <c r="AJ326" s="19"/>
      <c r="AK326" s="19"/>
      <c r="AL326" s="19"/>
      <c r="AM326" s="19"/>
      <c r="AN326" s="19"/>
      <c r="AO326" s="19"/>
      <c r="AP326" s="19"/>
      <c r="AQ326" s="19"/>
      <c r="AR326" s="19"/>
      <c r="AS326" s="19"/>
    </row>
    <row r="327" spans="2:45" s="2" customFormat="1">
      <c r="B327" s="22"/>
      <c r="C327" s="23"/>
      <c r="D327" s="24"/>
      <c r="E327" s="25"/>
      <c r="F327" s="26"/>
      <c r="G327" s="26"/>
      <c r="H327" s="26"/>
      <c r="I327" s="26"/>
      <c r="J327" s="26"/>
      <c r="K327" s="26"/>
      <c r="L327" s="26"/>
      <c r="M327" s="26"/>
      <c r="N327" s="26"/>
      <c r="O327" s="29"/>
      <c r="P327" s="26"/>
      <c r="Q327" s="26"/>
      <c r="R327" s="26"/>
      <c r="S327" s="26"/>
      <c r="T327" s="26"/>
      <c r="U327" s="26"/>
      <c r="V327" s="26"/>
      <c r="W327" s="26"/>
      <c r="X327" s="26"/>
      <c r="Y327" s="26"/>
      <c r="Z327" s="26"/>
      <c r="AA327" s="29"/>
      <c r="AB327" s="29"/>
      <c r="AC327" s="16"/>
      <c r="AD327" s="16"/>
      <c r="AE327" s="17"/>
      <c r="AF327" s="17"/>
      <c r="AG327" s="17"/>
      <c r="AH327" s="17"/>
      <c r="AI327" s="19"/>
      <c r="AJ327" s="19"/>
      <c r="AK327" s="19"/>
      <c r="AL327" s="19"/>
      <c r="AM327" s="19"/>
      <c r="AN327" s="19"/>
      <c r="AO327" s="19"/>
      <c r="AP327" s="19"/>
      <c r="AQ327" s="19"/>
      <c r="AR327" s="19"/>
      <c r="AS327" s="19"/>
    </row>
    <row r="328" spans="2:45" s="2" customFormat="1">
      <c r="B328" s="22"/>
      <c r="C328" s="23"/>
      <c r="D328" s="24"/>
      <c r="E328" s="25"/>
      <c r="F328" s="26"/>
      <c r="G328" s="26"/>
      <c r="H328" s="26"/>
      <c r="I328" s="26"/>
      <c r="J328" s="26"/>
      <c r="K328" s="26"/>
      <c r="L328" s="26"/>
      <c r="M328" s="26"/>
      <c r="N328" s="26"/>
      <c r="O328" s="29"/>
      <c r="P328" s="26"/>
      <c r="Q328" s="26"/>
      <c r="R328" s="26"/>
      <c r="S328" s="26"/>
      <c r="T328" s="26"/>
      <c r="U328" s="26"/>
      <c r="V328" s="26"/>
      <c r="W328" s="26"/>
      <c r="X328" s="26"/>
      <c r="Y328" s="26"/>
      <c r="Z328" s="26"/>
      <c r="AA328" s="29"/>
      <c r="AB328" s="29"/>
      <c r="AC328" s="16"/>
      <c r="AD328" s="16"/>
      <c r="AE328" s="17"/>
      <c r="AF328" s="17"/>
      <c r="AG328" s="17"/>
      <c r="AH328" s="17"/>
      <c r="AI328" s="19"/>
      <c r="AJ328" s="19"/>
      <c r="AK328" s="19"/>
      <c r="AL328" s="19"/>
      <c r="AM328" s="19"/>
      <c r="AN328" s="19"/>
      <c r="AO328" s="19"/>
      <c r="AP328" s="19"/>
      <c r="AQ328" s="19"/>
      <c r="AR328" s="19"/>
      <c r="AS328" s="19"/>
    </row>
    <row r="329" spans="2:45" s="2" customFormat="1">
      <c r="B329" s="22"/>
      <c r="C329" s="23"/>
      <c r="D329" s="24"/>
      <c r="E329" s="25"/>
      <c r="F329" s="26"/>
      <c r="G329" s="26"/>
      <c r="H329" s="26"/>
      <c r="I329" s="26"/>
      <c r="J329" s="26"/>
      <c r="K329" s="26"/>
      <c r="L329" s="26"/>
      <c r="M329" s="26"/>
      <c r="N329" s="26"/>
      <c r="O329" s="29"/>
      <c r="P329" s="26"/>
      <c r="Q329" s="26"/>
      <c r="R329" s="26"/>
      <c r="S329" s="26"/>
      <c r="T329" s="26"/>
      <c r="U329" s="26"/>
      <c r="V329" s="26"/>
      <c r="W329" s="26"/>
      <c r="X329" s="26"/>
      <c r="Y329" s="26"/>
      <c r="Z329" s="26"/>
      <c r="AA329" s="29"/>
      <c r="AB329" s="29"/>
      <c r="AC329" s="16"/>
      <c r="AD329" s="16"/>
      <c r="AE329" s="17"/>
      <c r="AF329" s="17"/>
      <c r="AG329" s="17"/>
      <c r="AH329" s="17"/>
      <c r="AI329" s="19"/>
      <c r="AJ329" s="19"/>
      <c r="AK329" s="19"/>
      <c r="AL329" s="19"/>
      <c r="AM329" s="19"/>
      <c r="AN329" s="19"/>
      <c r="AO329" s="19"/>
      <c r="AP329" s="19"/>
      <c r="AQ329" s="19"/>
      <c r="AR329" s="19"/>
      <c r="AS329" s="19"/>
    </row>
    <row r="330" spans="2:45" s="2" customFormat="1">
      <c r="B330" s="22"/>
      <c r="C330" s="23"/>
      <c r="D330" s="24"/>
      <c r="E330" s="25"/>
      <c r="F330" s="26"/>
      <c r="G330" s="26"/>
      <c r="H330" s="26"/>
      <c r="I330" s="26"/>
      <c r="J330" s="26"/>
      <c r="K330" s="26"/>
      <c r="L330" s="26"/>
      <c r="M330" s="26"/>
      <c r="N330" s="26"/>
      <c r="O330" s="29"/>
      <c r="P330" s="26"/>
      <c r="Q330" s="26"/>
      <c r="R330" s="26"/>
      <c r="S330" s="26"/>
      <c r="T330" s="26"/>
      <c r="U330" s="26"/>
      <c r="V330" s="26"/>
      <c r="W330" s="26"/>
      <c r="X330" s="26"/>
      <c r="Y330" s="26"/>
      <c r="Z330" s="26"/>
      <c r="AA330" s="29"/>
      <c r="AB330" s="29"/>
      <c r="AC330" s="16"/>
      <c r="AD330" s="16"/>
      <c r="AE330" s="17"/>
      <c r="AF330" s="17"/>
      <c r="AG330" s="17"/>
      <c r="AH330" s="17"/>
      <c r="AI330" s="19"/>
      <c r="AJ330" s="19"/>
      <c r="AK330" s="19"/>
      <c r="AL330" s="19"/>
      <c r="AM330" s="19"/>
      <c r="AN330" s="19"/>
      <c r="AO330" s="19"/>
      <c r="AP330" s="19"/>
      <c r="AQ330" s="19"/>
      <c r="AR330" s="19"/>
      <c r="AS330" s="19"/>
    </row>
    <row r="331" spans="2:45" s="2" customFormat="1">
      <c r="B331" s="22"/>
      <c r="C331" s="23"/>
      <c r="D331" s="24"/>
      <c r="E331" s="25"/>
      <c r="F331" s="26"/>
      <c r="G331" s="26"/>
      <c r="H331" s="26"/>
      <c r="I331" s="26"/>
      <c r="J331" s="26"/>
      <c r="K331" s="26"/>
      <c r="L331" s="26"/>
      <c r="M331" s="26"/>
      <c r="N331" s="26"/>
      <c r="O331" s="29"/>
      <c r="P331" s="26"/>
      <c r="Q331" s="26"/>
      <c r="R331" s="26"/>
      <c r="S331" s="26"/>
      <c r="T331" s="26"/>
      <c r="U331" s="26"/>
      <c r="V331" s="26"/>
      <c r="W331" s="26"/>
      <c r="X331" s="26"/>
      <c r="Y331" s="26"/>
      <c r="Z331" s="26"/>
      <c r="AA331" s="29"/>
      <c r="AB331" s="29"/>
      <c r="AC331" s="16"/>
      <c r="AD331" s="16"/>
      <c r="AE331" s="17"/>
      <c r="AF331" s="17"/>
      <c r="AG331" s="17"/>
      <c r="AH331" s="17"/>
      <c r="AI331" s="19"/>
      <c r="AJ331" s="19"/>
      <c r="AK331" s="19"/>
      <c r="AL331" s="19"/>
      <c r="AM331" s="19"/>
      <c r="AN331" s="19"/>
      <c r="AO331" s="19"/>
      <c r="AP331" s="19"/>
      <c r="AQ331" s="19"/>
      <c r="AR331" s="19"/>
      <c r="AS331" s="19"/>
    </row>
    <row r="332" spans="2:45" s="2" customFormat="1">
      <c r="B332" s="22"/>
      <c r="C332" s="23"/>
      <c r="D332" s="24"/>
      <c r="E332" s="25"/>
      <c r="F332" s="26"/>
      <c r="G332" s="26"/>
      <c r="H332" s="26"/>
      <c r="I332" s="26"/>
      <c r="J332" s="26"/>
      <c r="K332" s="26"/>
      <c r="L332" s="26"/>
      <c r="M332" s="26"/>
      <c r="N332" s="26"/>
      <c r="O332" s="29"/>
      <c r="P332" s="26"/>
      <c r="Q332" s="26"/>
      <c r="R332" s="26"/>
      <c r="S332" s="26"/>
      <c r="T332" s="26"/>
      <c r="U332" s="26"/>
      <c r="V332" s="26"/>
      <c r="W332" s="26"/>
      <c r="X332" s="26"/>
      <c r="Y332" s="26"/>
      <c r="Z332" s="26"/>
      <c r="AA332" s="29"/>
      <c r="AB332" s="29"/>
      <c r="AC332" s="16"/>
      <c r="AD332" s="16"/>
      <c r="AE332" s="17"/>
      <c r="AF332" s="17"/>
      <c r="AG332" s="17"/>
      <c r="AH332" s="17"/>
      <c r="AI332" s="19"/>
      <c r="AJ332" s="19"/>
      <c r="AK332" s="19"/>
      <c r="AL332" s="19"/>
      <c r="AM332" s="19"/>
      <c r="AN332" s="19"/>
      <c r="AO332" s="19"/>
      <c r="AP332" s="19"/>
      <c r="AQ332" s="19"/>
      <c r="AR332" s="19"/>
      <c r="AS332" s="19"/>
    </row>
    <row r="333" spans="2:45" s="2" customFormat="1">
      <c r="B333" s="22"/>
      <c r="C333" s="23"/>
      <c r="D333" s="24"/>
      <c r="E333" s="25"/>
      <c r="F333" s="26"/>
      <c r="G333" s="26"/>
      <c r="H333" s="26"/>
      <c r="I333" s="26"/>
      <c r="J333" s="26"/>
      <c r="K333" s="26"/>
      <c r="L333" s="26"/>
      <c r="M333" s="26"/>
      <c r="N333" s="26"/>
      <c r="O333" s="29"/>
      <c r="P333" s="26"/>
      <c r="Q333" s="26"/>
      <c r="R333" s="26"/>
      <c r="S333" s="26"/>
      <c r="T333" s="26"/>
      <c r="U333" s="26"/>
      <c r="V333" s="26"/>
      <c r="W333" s="26"/>
      <c r="X333" s="26"/>
      <c r="Y333" s="26"/>
      <c r="Z333" s="26"/>
      <c r="AA333" s="29"/>
      <c r="AB333" s="29"/>
      <c r="AC333" s="16"/>
      <c r="AD333" s="16"/>
      <c r="AE333" s="17"/>
      <c r="AF333" s="17"/>
      <c r="AG333" s="17"/>
      <c r="AH333" s="17"/>
      <c r="AI333" s="19"/>
      <c r="AJ333" s="19"/>
      <c r="AK333" s="19"/>
      <c r="AL333" s="19"/>
      <c r="AM333" s="19"/>
      <c r="AN333" s="19"/>
      <c r="AO333" s="19"/>
      <c r="AP333" s="19"/>
      <c r="AQ333" s="19"/>
      <c r="AR333" s="19"/>
      <c r="AS333" s="19"/>
    </row>
    <row r="334" spans="2:45" s="2" customFormat="1">
      <c r="B334" s="22"/>
      <c r="C334" s="23"/>
      <c r="D334" s="24"/>
      <c r="E334" s="25"/>
      <c r="F334" s="26"/>
      <c r="G334" s="26"/>
      <c r="H334" s="26"/>
      <c r="I334" s="26"/>
      <c r="J334" s="26"/>
      <c r="K334" s="26"/>
      <c r="L334" s="26"/>
      <c r="M334" s="26"/>
      <c r="N334" s="26"/>
      <c r="O334" s="29"/>
      <c r="P334" s="26"/>
      <c r="Q334" s="26"/>
      <c r="R334" s="26"/>
      <c r="S334" s="26"/>
      <c r="T334" s="26"/>
      <c r="U334" s="26"/>
      <c r="V334" s="26"/>
      <c r="W334" s="26"/>
      <c r="X334" s="26"/>
      <c r="Y334" s="26"/>
      <c r="Z334" s="26"/>
      <c r="AA334" s="29"/>
      <c r="AB334" s="29"/>
      <c r="AC334" s="16"/>
      <c r="AD334" s="16"/>
      <c r="AE334" s="17"/>
      <c r="AF334" s="17"/>
      <c r="AG334" s="17"/>
      <c r="AH334" s="17"/>
      <c r="AI334" s="19"/>
      <c r="AJ334" s="19"/>
      <c r="AK334" s="19"/>
      <c r="AL334" s="19"/>
      <c r="AM334" s="19"/>
      <c r="AN334" s="19"/>
      <c r="AO334" s="19"/>
      <c r="AP334" s="19"/>
      <c r="AQ334" s="19"/>
      <c r="AR334" s="19"/>
      <c r="AS334" s="19"/>
    </row>
    <row r="335" spans="2:45" s="2" customFormat="1">
      <c r="B335" s="22"/>
      <c r="C335" s="23"/>
      <c r="D335" s="24"/>
      <c r="E335" s="25"/>
      <c r="F335" s="26"/>
      <c r="G335" s="26"/>
      <c r="H335" s="26"/>
      <c r="I335" s="26"/>
      <c r="J335" s="26"/>
      <c r="K335" s="26"/>
      <c r="L335" s="26"/>
      <c r="M335" s="26"/>
      <c r="N335" s="26"/>
      <c r="O335" s="29"/>
      <c r="P335" s="26"/>
      <c r="Q335" s="26"/>
      <c r="R335" s="26"/>
      <c r="S335" s="26"/>
      <c r="T335" s="26"/>
      <c r="U335" s="26"/>
      <c r="V335" s="26"/>
      <c r="W335" s="26"/>
      <c r="X335" s="26"/>
      <c r="Y335" s="26"/>
      <c r="Z335" s="26"/>
      <c r="AA335" s="29"/>
      <c r="AB335" s="29"/>
      <c r="AC335" s="16"/>
      <c r="AD335" s="16"/>
      <c r="AE335" s="17"/>
      <c r="AF335" s="17"/>
      <c r="AG335" s="17"/>
      <c r="AH335" s="17"/>
      <c r="AI335" s="19"/>
      <c r="AJ335" s="19"/>
      <c r="AK335" s="19"/>
      <c r="AL335" s="19"/>
      <c r="AM335" s="19"/>
      <c r="AN335" s="19"/>
      <c r="AO335" s="19"/>
      <c r="AP335" s="19"/>
      <c r="AQ335" s="19"/>
      <c r="AR335" s="19"/>
      <c r="AS335" s="19"/>
    </row>
    <row r="336" spans="2:45" s="2" customFormat="1">
      <c r="B336" s="22"/>
      <c r="C336" s="23"/>
      <c r="D336" s="24"/>
      <c r="E336" s="25"/>
      <c r="F336" s="26"/>
      <c r="G336" s="26"/>
      <c r="H336" s="26"/>
      <c r="I336" s="26"/>
      <c r="J336" s="26"/>
      <c r="K336" s="26"/>
      <c r="L336" s="26"/>
      <c r="M336" s="26"/>
      <c r="N336" s="26"/>
      <c r="O336" s="29"/>
      <c r="P336" s="26"/>
      <c r="Q336" s="26"/>
      <c r="R336" s="26"/>
      <c r="S336" s="26"/>
      <c r="T336" s="26"/>
      <c r="U336" s="26"/>
      <c r="V336" s="26"/>
      <c r="W336" s="26"/>
      <c r="X336" s="26"/>
      <c r="Y336" s="26"/>
      <c r="Z336" s="26"/>
      <c r="AA336" s="29"/>
      <c r="AB336" s="29"/>
      <c r="AC336" s="16"/>
      <c r="AD336" s="16"/>
      <c r="AE336" s="17"/>
      <c r="AF336" s="17"/>
      <c r="AG336" s="17"/>
      <c r="AH336" s="17"/>
      <c r="AI336" s="19"/>
      <c r="AJ336" s="19"/>
      <c r="AK336" s="19"/>
      <c r="AL336" s="19"/>
      <c r="AM336" s="19"/>
      <c r="AN336" s="19"/>
      <c r="AO336" s="19"/>
      <c r="AP336" s="19"/>
      <c r="AQ336" s="19"/>
      <c r="AR336" s="19"/>
      <c r="AS336" s="19"/>
    </row>
    <row r="337" spans="2:45" s="2" customFormat="1">
      <c r="B337" s="22"/>
      <c r="C337" s="23"/>
      <c r="D337" s="24"/>
      <c r="E337" s="25"/>
      <c r="F337" s="26"/>
      <c r="G337" s="26"/>
      <c r="H337" s="26"/>
      <c r="I337" s="26"/>
      <c r="J337" s="26"/>
      <c r="K337" s="26"/>
      <c r="L337" s="26"/>
      <c r="M337" s="26"/>
      <c r="N337" s="26"/>
      <c r="O337" s="29"/>
      <c r="P337" s="26"/>
      <c r="Q337" s="26"/>
      <c r="R337" s="26"/>
      <c r="S337" s="26"/>
      <c r="T337" s="26"/>
      <c r="U337" s="26"/>
      <c r="V337" s="26"/>
      <c r="W337" s="26"/>
      <c r="X337" s="26"/>
      <c r="Y337" s="26"/>
      <c r="Z337" s="26"/>
      <c r="AA337" s="29"/>
      <c r="AB337" s="29"/>
      <c r="AC337" s="16"/>
      <c r="AD337" s="16"/>
      <c r="AE337" s="17"/>
      <c r="AF337" s="17"/>
      <c r="AG337" s="17"/>
      <c r="AH337" s="17"/>
      <c r="AI337" s="19"/>
      <c r="AJ337" s="19"/>
      <c r="AK337" s="19"/>
      <c r="AL337" s="19"/>
      <c r="AM337" s="19"/>
      <c r="AN337" s="19"/>
      <c r="AO337" s="19"/>
      <c r="AP337" s="19"/>
      <c r="AQ337" s="19"/>
      <c r="AR337" s="19"/>
      <c r="AS337" s="19"/>
    </row>
    <row r="338" spans="2:45" s="2" customFormat="1">
      <c r="B338" s="22"/>
      <c r="C338" s="23"/>
      <c r="D338" s="24"/>
      <c r="E338" s="25"/>
      <c r="F338" s="26"/>
      <c r="G338" s="26"/>
      <c r="H338" s="26"/>
      <c r="I338" s="26"/>
      <c r="J338" s="26"/>
      <c r="K338" s="26"/>
      <c r="L338" s="26"/>
      <c r="M338" s="26"/>
      <c r="N338" s="26"/>
      <c r="O338" s="29"/>
      <c r="P338" s="26"/>
      <c r="Q338" s="26"/>
      <c r="R338" s="26"/>
      <c r="S338" s="26"/>
      <c r="T338" s="26"/>
      <c r="U338" s="26"/>
      <c r="V338" s="26"/>
      <c r="W338" s="26"/>
      <c r="X338" s="26"/>
      <c r="Y338" s="26"/>
      <c r="Z338" s="26"/>
      <c r="AA338" s="29"/>
      <c r="AB338" s="29"/>
      <c r="AC338" s="16"/>
      <c r="AD338" s="16"/>
      <c r="AE338" s="17"/>
      <c r="AF338" s="17"/>
      <c r="AG338" s="17"/>
      <c r="AH338" s="17"/>
      <c r="AI338" s="19"/>
      <c r="AJ338" s="19"/>
      <c r="AK338" s="19"/>
      <c r="AL338" s="19"/>
      <c r="AM338" s="19"/>
      <c r="AN338" s="19"/>
      <c r="AO338" s="19"/>
      <c r="AP338" s="19"/>
      <c r="AQ338" s="19"/>
      <c r="AR338" s="19"/>
      <c r="AS338" s="19"/>
    </row>
    <row r="339" spans="2:45" s="2" customFormat="1">
      <c r="B339" s="22"/>
      <c r="C339" s="23"/>
      <c r="D339" s="24"/>
      <c r="E339" s="25"/>
      <c r="F339" s="26"/>
      <c r="G339" s="26"/>
      <c r="H339" s="26"/>
      <c r="I339" s="26"/>
      <c r="J339" s="26"/>
      <c r="K339" s="26"/>
      <c r="L339" s="26"/>
      <c r="M339" s="26"/>
      <c r="N339" s="26"/>
      <c r="O339" s="29"/>
      <c r="P339" s="26"/>
      <c r="Q339" s="26"/>
      <c r="R339" s="26"/>
      <c r="S339" s="26"/>
      <c r="T339" s="26"/>
      <c r="U339" s="26"/>
      <c r="V339" s="26"/>
      <c r="W339" s="26"/>
      <c r="X339" s="26"/>
      <c r="Y339" s="26"/>
      <c r="Z339" s="26"/>
      <c r="AA339" s="29"/>
      <c r="AB339" s="29"/>
      <c r="AC339" s="16"/>
      <c r="AD339" s="16"/>
      <c r="AE339" s="17"/>
      <c r="AF339" s="17"/>
      <c r="AG339" s="17"/>
      <c r="AH339" s="17"/>
      <c r="AI339" s="19"/>
      <c r="AJ339" s="19"/>
      <c r="AK339" s="19"/>
      <c r="AL339" s="19"/>
      <c r="AM339" s="19"/>
      <c r="AN339" s="19"/>
      <c r="AO339" s="19"/>
      <c r="AP339" s="19"/>
      <c r="AQ339" s="19"/>
      <c r="AR339" s="19"/>
      <c r="AS339" s="19"/>
    </row>
    <row r="340" spans="2:45" s="2" customFormat="1">
      <c r="B340" s="22"/>
      <c r="C340" s="23"/>
      <c r="D340" s="24"/>
      <c r="E340" s="25"/>
      <c r="F340" s="26"/>
      <c r="G340" s="26"/>
      <c r="H340" s="26"/>
      <c r="I340" s="26"/>
      <c r="J340" s="26"/>
      <c r="K340" s="26"/>
      <c r="L340" s="26"/>
      <c r="M340" s="26"/>
      <c r="N340" s="26"/>
      <c r="O340" s="29"/>
      <c r="P340" s="26"/>
      <c r="Q340" s="26"/>
      <c r="R340" s="26"/>
      <c r="S340" s="26"/>
      <c r="T340" s="26"/>
      <c r="U340" s="26"/>
      <c r="V340" s="26"/>
      <c r="W340" s="26"/>
      <c r="X340" s="26"/>
      <c r="Y340" s="26"/>
      <c r="Z340" s="26"/>
      <c r="AA340" s="29"/>
      <c r="AB340" s="29"/>
      <c r="AC340" s="16"/>
      <c r="AD340" s="16"/>
      <c r="AE340" s="17"/>
      <c r="AF340" s="17"/>
      <c r="AG340" s="17"/>
      <c r="AH340" s="17"/>
      <c r="AI340" s="19"/>
      <c r="AJ340" s="19"/>
      <c r="AK340" s="19"/>
      <c r="AL340" s="19"/>
      <c r="AM340" s="19"/>
      <c r="AN340" s="19"/>
      <c r="AO340" s="19"/>
      <c r="AP340" s="19"/>
      <c r="AQ340" s="19"/>
      <c r="AR340" s="19"/>
      <c r="AS340" s="19"/>
    </row>
    <row r="341" spans="2:45" s="2" customFormat="1">
      <c r="B341" s="22"/>
      <c r="C341" s="23"/>
      <c r="D341" s="24"/>
      <c r="E341" s="25"/>
      <c r="F341" s="26"/>
      <c r="G341" s="26"/>
      <c r="H341" s="26"/>
      <c r="I341" s="26"/>
      <c r="J341" s="26"/>
      <c r="K341" s="26"/>
      <c r="L341" s="26"/>
      <c r="M341" s="26"/>
      <c r="N341" s="26"/>
      <c r="O341" s="29"/>
      <c r="P341" s="26"/>
      <c r="Q341" s="26"/>
      <c r="R341" s="26"/>
      <c r="S341" s="26"/>
      <c r="T341" s="26"/>
      <c r="U341" s="26"/>
      <c r="V341" s="26"/>
      <c r="W341" s="26"/>
      <c r="X341" s="26"/>
      <c r="Y341" s="26"/>
      <c r="Z341" s="26"/>
      <c r="AA341" s="29"/>
      <c r="AB341" s="29"/>
      <c r="AC341" s="16"/>
      <c r="AD341" s="16"/>
      <c r="AE341" s="17"/>
      <c r="AF341" s="17"/>
      <c r="AG341" s="17"/>
      <c r="AH341" s="17"/>
      <c r="AI341" s="19"/>
      <c r="AJ341" s="19"/>
      <c r="AK341" s="19"/>
      <c r="AL341" s="19"/>
      <c r="AM341" s="19"/>
      <c r="AN341" s="19"/>
      <c r="AO341" s="19"/>
      <c r="AP341" s="19"/>
      <c r="AQ341" s="19"/>
      <c r="AR341" s="19"/>
      <c r="AS341" s="19"/>
    </row>
    <row r="342" spans="2:45" s="2" customFormat="1">
      <c r="B342" s="22"/>
      <c r="C342" s="23"/>
      <c r="D342" s="24"/>
      <c r="E342" s="25"/>
      <c r="F342" s="26"/>
      <c r="G342" s="26"/>
      <c r="H342" s="26"/>
      <c r="I342" s="26"/>
      <c r="J342" s="26"/>
      <c r="K342" s="26"/>
      <c r="L342" s="26"/>
      <c r="M342" s="26"/>
      <c r="N342" s="26"/>
      <c r="O342" s="29"/>
      <c r="P342" s="26"/>
      <c r="Q342" s="26"/>
      <c r="R342" s="26"/>
      <c r="S342" s="26"/>
      <c r="T342" s="26"/>
      <c r="U342" s="26"/>
      <c r="V342" s="26"/>
      <c r="W342" s="26"/>
      <c r="X342" s="26"/>
      <c r="Y342" s="26"/>
      <c r="Z342" s="26"/>
      <c r="AA342" s="29"/>
      <c r="AB342" s="29"/>
      <c r="AC342" s="16"/>
      <c r="AD342" s="16"/>
      <c r="AE342" s="17"/>
      <c r="AF342" s="17"/>
      <c r="AG342" s="17"/>
      <c r="AH342" s="17"/>
      <c r="AI342" s="19"/>
      <c r="AJ342" s="19"/>
      <c r="AK342" s="19"/>
      <c r="AL342" s="19"/>
      <c r="AM342" s="19"/>
      <c r="AN342" s="19"/>
      <c r="AO342" s="19"/>
      <c r="AP342" s="19"/>
      <c r="AQ342" s="19"/>
      <c r="AR342" s="19"/>
      <c r="AS342" s="19"/>
    </row>
    <row r="343" spans="2:45" s="2" customFormat="1">
      <c r="B343" s="22"/>
      <c r="C343" s="23"/>
      <c r="D343" s="24"/>
      <c r="E343" s="25"/>
      <c r="F343" s="26"/>
      <c r="G343" s="26"/>
      <c r="H343" s="26"/>
      <c r="I343" s="26"/>
      <c r="J343" s="26"/>
      <c r="K343" s="26"/>
      <c r="L343" s="26"/>
      <c r="M343" s="26"/>
      <c r="N343" s="26"/>
      <c r="O343" s="29"/>
      <c r="P343" s="26"/>
      <c r="Q343" s="26"/>
      <c r="R343" s="26"/>
      <c r="S343" s="26"/>
      <c r="T343" s="26"/>
      <c r="U343" s="26"/>
      <c r="V343" s="26"/>
      <c r="W343" s="26"/>
      <c r="X343" s="26"/>
      <c r="Y343" s="26"/>
      <c r="Z343" s="26"/>
      <c r="AA343" s="29"/>
      <c r="AB343" s="29"/>
      <c r="AC343" s="16"/>
      <c r="AD343" s="16"/>
      <c r="AE343" s="17"/>
      <c r="AF343" s="17"/>
      <c r="AG343" s="17"/>
      <c r="AH343" s="17"/>
      <c r="AI343" s="19"/>
      <c r="AJ343" s="19"/>
      <c r="AK343" s="19"/>
      <c r="AL343" s="19"/>
      <c r="AM343" s="19"/>
      <c r="AN343" s="19"/>
      <c r="AO343" s="19"/>
      <c r="AP343" s="19"/>
      <c r="AQ343" s="19"/>
      <c r="AR343" s="19"/>
      <c r="AS343" s="19"/>
    </row>
    <row r="344" spans="2:45" s="2" customFormat="1">
      <c r="B344" s="22"/>
      <c r="C344" s="23"/>
      <c r="D344" s="24"/>
      <c r="E344" s="25"/>
      <c r="F344" s="26"/>
      <c r="G344" s="26"/>
      <c r="H344" s="26"/>
      <c r="I344" s="26"/>
      <c r="J344" s="26"/>
      <c r="K344" s="26"/>
      <c r="L344" s="26"/>
      <c r="M344" s="26"/>
      <c r="N344" s="26"/>
      <c r="O344" s="29"/>
      <c r="P344" s="26"/>
      <c r="Q344" s="26"/>
      <c r="R344" s="26"/>
      <c r="S344" s="26"/>
      <c r="T344" s="26"/>
      <c r="U344" s="26"/>
      <c r="V344" s="26"/>
      <c r="W344" s="26"/>
      <c r="X344" s="26"/>
      <c r="Y344" s="26"/>
      <c r="Z344" s="26"/>
      <c r="AA344" s="29"/>
      <c r="AB344" s="29"/>
      <c r="AC344" s="16"/>
      <c r="AD344" s="16"/>
      <c r="AE344" s="17"/>
      <c r="AF344" s="17"/>
      <c r="AG344" s="17"/>
      <c r="AH344" s="17"/>
      <c r="AI344" s="19"/>
      <c r="AJ344" s="19"/>
      <c r="AK344" s="19"/>
      <c r="AL344" s="19"/>
      <c r="AM344" s="19"/>
      <c r="AN344" s="19"/>
      <c r="AO344" s="19"/>
      <c r="AP344" s="19"/>
      <c r="AQ344" s="19"/>
      <c r="AR344" s="19"/>
      <c r="AS344" s="19"/>
    </row>
    <row r="345" spans="2:45" s="2" customFormat="1">
      <c r="B345" s="22"/>
      <c r="C345" s="23"/>
      <c r="D345" s="24"/>
      <c r="E345" s="25"/>
      <c r="F345" s="26"/>
      <c r="G345" s="26"/>
      <c r="H345" s="26"/>
      <c r="I345" s="26"/>
      <c r="J345" s="26"/>
      <c r="K345" s="26"/>
      <c r="L345" s="26"/>
      <c r="M345" s="26"/>
      <c r="N345" s="26"/>
      <c r="O345" s="29"/>
      <c r="P345" s="26"/>
      <c r="Q345" s="26"/>
      <c r="R345" s="26"/>
      <c r="S345" s="26"/>
      <c r="T345" s="26"/>
      <c r="U345" s="26"/>
      <c r="V345" s="26"/>
      <c r="W345" s="26"/>
      <c r="X345" s="26"/>
      <c r="Y345" s="26"/>
      <c r="Z345" s="26"/>
      <c r="AA345" s="29"/>
      <c r="AB345" s="29"/>
      <c r="AC345" s="16"/>
      <c r="AD345" s="16"/>
      <c r="AE345" s="17"/>
      <c r="AF345" s="17"/>
      <c r="AG345" s="17"/>
      <c r="AH345" s="17"/>
      <c r="AI345" s="19"/>
      <c r="AJ345" s="19"/>
      <c r="AK345" s="19"/>
      <c r="AL345" s="19"/>
      <c r="AM345" s="19"/>
      <c r="AN345" s="19"/>
      <c r="AO345" s="19"/>
      <c r="AP345" s="19"/>
      <c r="AQ345" s="19"/>
      <c r="AR345" s="19"/>
      <c r="AS345" s="19"/>
    </row>
    <row r="346" spans="2:45" s="2" customFormat="1">
      <c r="B346" s="22"/>
      <c r="C346" s="23"/>
      <c r="D346" s="24"/>
      <c r="E346" s="25"/>
      <c r="F346" s="26"/>
      <c r="G346" s="26"/>
      <c r="H346" s="26"/>
      <c r="I346" s="26"/>
      <c r="J346" s="26"/>
      <c r="K346" s="26"/>
      <c r="L346" s="26"/>
      <c r="M346" s="26"/>
      <c r="N346" s="26"/>
      <c r="O346" s="29"/>
      <c r="P346" s="26"/>
      <c r="Q346" s="26"/>
      <c r="R346" s="26"/>
      <c r="S346" s="26"/>
      <c r="T346" s="26"/>
      <c r="U346" s="26"/>
      <c r="V346" s="26"/>
      <c r="W346" s="26"/>
      <c r="X346" s="26"/>
      <c r="Y346" s="26"/>
      <c r="Z346" s="26"/>
      <c r="AA346" s="29"/>
      <c r="AB346" s="29"/>
      <c r="AC346" s="16"/>
      <c r="AD346" s="16"/>
      <c r="AE346" s="17"/>
      <c r="AF346" s="17"/>
      <c r="AG346" s="17"/>
      <c r="AH346" s="17"/>
      <c r="AI346" s="19"/>
      <c r="AJ346" s="19"/>
      <c r="AK346" s="19"/>
      <c r="AL346" s="19"/>
      <c r="AM346" s="19"/>
      <c r="AN346" s="19"/>
      <c r="AO346" s="19"/>
      <c r="AP346" s="19"/>
      <c r="AQ346" s="19"/>
      <c r="AR346" s="19"/>
      <c r="AS346" s="19"/>
    </row>
    <row r="347" spans="2:45" s="2" customFormat="1">
      <c r="B347" s="22"/>
      <c r="C347" s="23"/>
      <c r="D347" s="24"/>
      <c r="E347" s="25"/>
      <c r="F347" s="26"/>
      <c r="G347" s="26"/>
      <c r="H347" s="26"/>
      <c r="I347" s="26"/>
      <c r="J347" s="26"/>
      <c r="K347" s="26"/>
      <c r="L347" s="26"/>
      <c r="M347" s="26"/>
      <c r="N347" s="26"/>
      <c r="O347" s="29"/>
      <c r="P347" s="26"/>
      <c r="Q347" s="26"/>
      <c r="R347" s="26"/>
      <c r="S347" s="26"/>
      <c r="T347" s="26"/>
      <c r="U347" s="26"/>
      <c r="V347" s="26"/>
      <c r="W347" s="26"/>
      <c r="X347" s="26"/>
      <c r="Y347" s="26"/>
      <c r="Z347" s="26"/>
      <c r="AA347" s="29"/>
      <c r="AB347" s="29"/>
      <c r="AC347" s="16"/>
      <c r="AD347" s="16"/>
      <c r="AE347" s="17"/>
      <c r="AF347" s="17"/>
      <c r="AG347" s="17"/>
      <c r="AH347" s="17"/>
      <c r="AI347" s="19"/>
      <c r="AJ347" s="19"/>
      <c r="AK347" s="19"/>
      <c r="AL347" s="19"/>
      <c r="AM347" s="19"/>
      <c r="AN347" s="19"/>
      <c r="AO347" s="19"/>
      <c r="AP347" s="19"/>
      <c r="AQ347" s="19"/>
      <c r="AR347" s="19"/>
      <c r="AS347" s="19"/>
    </row>
    <row r="348" spans="2:45" s="2" customFormat="1">
      <c r="B348" s="22"/>
      <c r="C348" s="23"/>
      <c r="D348" s="24"/>
      <c r="E348" s="25"/>
      <c r="F348" s="26"/>
      <c r="G348" s="26"/>
      <c r="H348" s="26"/>
      <c r="I348" s="26"/>
      <c r="J348" s="26"/>
      <c r="K348" s="26"/>
      <c r="L348" s="26"/>
      <c r="M348" s="26"/>
      <c r="N348" s="26"/>
      <c r="O348" s="29"/>
      <c r="P348" s="26"/>
      <c r="Q348" s="26"/>
      <c r="R348" s="26"/>
      <c r="S348" s="26"/>
      <c r="T348" s="26"/>
      <c r="U348" s="26"/>
      <c r="V348" s="26"/>
      <c r="W348" s="26"/>
      <c r="X348" s="26"/>
      <c r="Y348" s="26"/>
      <c r="Z348" s="26"/>
      <c r="AA348" s="29"/>
      <c r="AB348" s="29"/>
      <c r="AC348" s="16"/>
      <c r="AD348" s="16"/>
      <c r="AE348" s="17"/>
      <c r="AF348" s="17"/>
      <c r="AG348" s="17"/>
      <c r="AH348" s="17"/>
      <c r="AI348" s="19"/>
      <c r="AJ348" s="19"/>
      <c r="AK348" s="19"/>
      <c r="AL348" s="19"/>
      <c r="AM348" s="19"/>
      <c r="AN348" s="19"/>
      <c r="AO348" s="19"/>
      <c r="AP348" s="19"/>
      <c r="AQ348" s="19"/>
      <c r="AR348" s="19"/>
      <c r="AS348" s="19"/>
    </row>
    <row r="349" spans="2:45" s="2" customFormat="1">
      <c r="B349" s="22"/>
      <c r="C349" s="23"/>
      <c r="D349" s="24"/>
      <c r="E349" s="25"/>
      <c r="F349" s="26"/>
      <c r="G349" s="26"/>
      <c r="H349" s="26"/>
      <c r="I349" s="26"/>
      <c r="J349" s="26"/>
      <c r="K349" s="26"/>
      <c r="L349" s="26"/>
      <c r="M349" s="26"/>
      <c r="N349" s="26"/>
      <c r="O349" s="29"/>
      <c r="P349" s="26"/>
      <c r="Q349" s="26"/>
      <c r="R349" s="26"/>
      <c r="S349" s="26"/>
      <c r="T349" s="26"/>
      <c r="U349" s="26"/>
      <c r="V349" s="26"/>
      <c r="W349" s="26"/>
      <c r="X349" s="26"/>
      <c r="Y349" s="26"/>
      <c r="Z349" s="26"/>
      <c r="AA349" s="29"/>
      <c r="AB349" s="29"/>
      <c r="AC349" s="16"/>
      <c r="AD349" s="16"/>
      <c r="AE349" s="17"/>
      <c r="AF349" s="17"/>
      <c r="AG349" s="17"/>
      <c r="AH349" s="17"/>
      <c r="AI349" s="19"/>
      <c r="AJ349" s="19"/>
      <c r="AK349" s="19"/>
      <c r="AL349" s="19"/>
      <c r="AM349" s="19"/>
      <c r="AN349" s="19"/>
      <c r="AO349" s="19"/>
      <c r="AP349" s="19"/>
      <c r="AQ349" s="19"/>
      <c r="AR349" s="19"/>
      <c r="AS349" s="19"/>
    </row>
    <row r="350" spans="2:45" s="2" customFormat="1">
      <c r="B350" s="22"/>
      <c r="C350" s="23"/>
      <c r="D350" s="24"/>
      <c r="E350" s="25"/>
      <c r="F350" s="26"/>
      <c r="G350" s="26"/>
      <c r="H350" s="26"/>
      <c r="I350" s="26"/>
      <c r="J350" s="26"/>
      <c r="K350" s="26"/>
      <c r="L350" s="26"/>
      <c r="M350" s="26"/>
      <c r="N350" s="26"/>
      <c r="O350" s="29"/>
      <c r="P350" s="26"/>
      <c r="Q350" s="26"/>
      <c r="R350" s="26"/>
      <c r="S350" s="26"/>
      <c r="T350" s="26"/>
      <c r="U350" s="26"/>
      <c r="V350" s="26"/>
      <c r="W350" s="26"/>
      <c r="X350" s="26"/>
      <c r="Y350" s="26"/>
      <c r="Z350" s="26"/>
      <c r="AA350" s="29"/>
      <c r="AB350" s="29"/>
      <c r="AC350" s="16"/>
      <c r="AD350" s="16"/>
      <c r="AE350" s="17"/>
      <c r="AF350" s="17"/>
      <c r="AG350" s="17"/>
      <c r="AH350" s="17"/>
      <c r="AI350" s="19"/>
      <c r="AJ350" s="19"/>
      <c r="AK350" s="19"/>
      <c r="AL350" s="19"/>
      <c r="AM350" s="19"/>
      <c r="AN350" s="19"/>
      <c r="AO350" s="19"/>
      <c r="AP350" s="19"/>
      <c r="AQ350" s="19"/>
      <c r="AR350" s="19"/>
      <c r="AS350" s="19"/>
    </row>
    <row r="351" spans="2:45" s="2" customFormat="1">
      <c r="B351" s="22"/>
      <c r="C351" s="23"/>
      <c r="D351" s="24"/>
      <c r="E351" s="25"/>
      <c r="F351" s="26"/>
      <c r="G351" s="26"/>
      <c r="H351" s="26"/>
      <c r="I351" s="26"/>
      <c r="J351" s="26"/>
      <c r="K351" s="26"/>
      <c r="L351" s="26"/>
      <c r="M351" s="26"/>
      <c r="N351" s="26"/>
      <c r="O351" s="29"/>
      <c r="P351" s="26"/>
      <c r="Q351" s="26"/>
      <c r="R351" s="26"/>
      <c r="S351" s="26"/>
      <c r="T351" s="26"/>
      <c r="U351" s="26"/>
      <c r="V351" s="26"/>
      <c r="W351" s="26"/>
      <c r="X351" s="26"/>
      <c r="Y351" s="26"/>
      <c r="Z351" s="26"/>
      <c r="AA351" s="29"/>
      <c r="AB351" s="29"/>
      <c r="AC351" s="16"/>
      <c r="AD351" s="16"/>
      <c r="AE351" s="17"/>
      <c r="AF351" s="17"/>
      <c r="AG351" s="17"/>
      <c r="AH351" s="17"/>
      <c r="AI351" s="19"/>
      <c r="AJ351" s="19"/>
      <c r="AK351" s="19"/>
      <c r="AL351" s="19"/>
      <c r="AM351" s="19"/>
      <c r="AN351" s="19"/>
      <c r="AO351" s="19"/>
      <c r="AP351" s="19"/>
      <c r="AQ351" s="19"/>
      <c r="AR351" s="19"/>
      <c r="AS351" s="19"/>
    </row>
    <row r="352" spans="2:45" s="2" customFormat="1">
      <c r="B352" s="22"/>
      <c r="C352" s="23"/>
      <c r="D352" s="24"/>
      <c r="E352" s="25"/>
      <c r="F352" s="26"/>
      <c r="G352" s="26"/>
      <c r="H352" s="26"/>
      <c r="I352" s="26"/>
      <c r="J352" s="26"/>
      <c r="K352" s="26"/>
      <c r="L352" s="26"/>
      <c r="M352" s="26"/>
      <c r="N352" s="26"/>
      <c r="O352" s="29"/>
      <c r="P352" s="26"/>
      <c r="Q352" s="26"/>
      <c r="R352" s="26"/>
      <c r="S352" s="26"/>
      <c r="T352" s="26"/>
      <c r="U352" s="26"/>
      <c r="V352" s="26"/>
      <c r="W352" s="26"/>
      <c r="X352" s="26"/>
      <c r="Y352" s="26"/>
      <c r="Z352" s="26"/>
      <c r="AA352" s="29"/>
      <c r="AB352" s="29"/>
      <c r="AC352" s="16"/>
      <c r="AD352" s="16"/>
      <c r="AE352" s="17"/>
      <c r="AF352" s="17"/>
      <c r="AG352" s="17"/>
      <c r="AH352" s="17"/>
      <c r="AI352" s="19"/>
      <c r="AJ352" s="19"/>
      <c r="AK352" s="19"/>
      <c r="AL352" s="19"/>
      <c r="AM352" s="19"/>
      <c r="AN352" s="19"/>
      <c r="AO352" s="19"/>
      <c r="AP352" s="19"/>
      <c r="AQ352" s="19"/>
      <c r="AR352" s="19"/>
      <c r="AS352" s="19"/>
    </row>
    <row r="353" spans="2:45" s="2" customFormat="1">
      <c r="B353" s="22"/>
      <c r="C353" s="23"/>
      <c r="D353" s="24"/>
      <c r="E353" s="25"/>
      <c r="F353" s="26"/>
      <c r="G353" s="26"/>
      <c r="H353" s="26"/>
      <c r="I353" s="26"/>
      <c r="J353" s="26"/>
      <c r="K353" s="26"/>
      <c r="L353" s="26"/>
      <c r="M353" s="26"/>
      <c r="N353" s="26"/>
      <c r="O353" s="29"/>
      <c r="P353" s="26"/>
      <c r="Q353" s="26"/>
      <c r="R353" s="26"/>
      <c r="S353" s="26"/>
      <c r="T353" s="26"/>
      <c r="U353" s="26"/>
      <c r="V353" s="26"/>
      <c r="W353" s="26"/>
      <c r="X353" s="26"/>
      <c r="Y353" s="26"/>
      <c r="Z353" s="26"/>
      <c r="AA353" s="29"/>
      <c r="AB353" s="29"/>
      <c r="AC353" s="16"/>
      <c r="AD353" s="16"/>
      <c r="AE353" s="17"/>
      <c r="AF353" s="17"/>
      <c r="AG353" s="17"/>
      <c r="AH353" s="17"/>
      <c r="AI353" s="19"/>
      <c r="AJ353" s="19"/>
      <c r="AK353" s="19"/>
      <c r="AL353" s="19"/>
      <c r="AM353" s="19"/>
      <c r="AN353" s="19"/>
      <c r="AO353" s="19"/>
      <c r="AP353" s="19"/>
      <c r="AQ353" s="19"/>
      <c r="AR353" s="19"/>
      <c r="AS353" s="19"/>
    </row>
    <row r="354" spans="2:45" s="2" customFormat="1">
      <c r="B354" s="22"/>
      <c r="C354" s="23"/>
      <c r="D354" s="24"/>
      <c r="E354" s="25"/>
      <c r="F354" s="26"/>
      <c r="G354" s="26"/>
      <c r="H354" s="26"/>
      <c r="I354" s="26"/>
      <c r="J354" s="26"/>
      <c r="K354" s="26"/>
      <c r="L354" s="26"/>
      <c r="M354" s="26"/>
      <c r="N354" s="26"/>
      <c r="O354" s="29"/>
      <c r="P354" s="26"/>
      <c r="Q354" s="26"/>
      <c r="R354" s="26"/>
      <c r="S354" s="26"/>
      <c r="T354" s="26"/>
      <c r="U354" s="26"/>
      <c r="V354" s="26"/>
      <c r="W354" s="26"/>
      <c r="X354" s="26"/>
      <c r="Y354" s="26"/>
      <c r="Z354" s="26"/>
      <c r="AA354" s="29"/>
      <c r="AB354" s="29"/>
      <c r="AC354" s="16"/>
      <c r="AD354" s="16"/>
      <c r="AE354" s="17"/>
      <c r="AF354" s="17"/>
      <c r="AG354" s="17"/>
      <c r="AH354" s="17"/>
      <c r="AI354" s="19"/>
      <c r="AJ354" s="19"/>
      <c r="AK354" s="19"/>
      <c r="AL354" s="19"/>
      <c r="AM354" s="19"/>
      <c r="AN354" s="19"/>
      <c r="AO354" s="19"/>
      <c r="AP354" s="19"/>
      <c r="AQ354" s="19"/>
      <c r="AR354" s="19"/>
      <c r="AS354" s="19"/>
    </row>
    <row r="355" spans="2:45" s="2" customFormat="1">
      <c r="B355" s="22"/>
      <c r="C355" s="23"/>
      <c r="D355" s="24"/>
      <c r="E355" s="25"/>
      <c r="F355" s="26"/>
      <c r="G355" s="26"/>
      <c r="H355" s="26"/>
      <c r="I355" s="26"/>
      <c r="J355" s="26"/>
      <c r="K355" s="26"/>
      <c r="L355" s="26"/>
      <c r="M355" s="26"/>
      <c r="N355" s="26"/>
      <c r="O355" s="29"/>
      <c r="P355" s="26"/>
      <c r="Q355" s="26"/>
      <c r="R355" s="26"/>
      <c r="S355" s="26"/>
      <c r="T355" s="26"/>
      <c r="U355" s="26"/>
      <c r="V355" s="26"/>
      <c r="W355" s="26"/>
      <c r="X355" s="26"/>
      <c r="Y355" s="26"/>
      <c r="Z355" s="26"/>
      <c r="AA355" s="29"/>
      <c r="AB355" s="29"/>
      <c r="AC355" s="16"/>
      <c r="AD355" s="16"/>
      <c r="AE355" s="17"/>
      <c r="AF355" s="17"/>
      <c r="AG355" s="17"/>
      <c r="AH355" s="17"/>
      <c r="AI355" s="19"/>
      <c r="AJ355" s="19"/>
      <c r="AK355" s="19"/>
      <c r="AL355" s="19"/>
      <c r="AM355" s="19"/>
      <c r="AN355" s="19"/>
      <c r="AO355" s="19"/>
      <c r="AP355" s="19"/>
      <c r="AQ355" s="19"/>
      <c r="AR355" s="19"/>
      <c r="AS355" s="19"/>
    </row>
    <row r="356" spans="2:45" s="2" customFormat="1">
      <c r="B356" s="22"/>
      <c r="C356" s="23"/>
      <c r="D356" s="24"/>
      <c r="E356" s="25"/>
      <c r="F356" s="26"/>
      <c r="G356" s="26"/>
      <c r="H356" s="26"/>
      <c r="I356" s="26"/>
      <c r="J356" s="26"/>
      <c r="K356" s="26"/>
      <c r="L356" s="26"/>
      <c r="M356" s="26"/>
      <c r="N356" s="26"/>
      <c r="O356" s="29"/>
      <c r="P356" s="26"/>
      <c r="Q356" s="26"/>
      <c r="R356" s="26"/>
      <c r="S356" s="26"/>
      <c r="T356" s="26"/>
      <c r="U356" s="26"/>
      <c r="V356" s="26"/>
      <c r="W356" s="26"/>
      <c r="X356" s="26"/>
      <c r="Y356" s="26"/>
      <c r="Z356" s="26"/>
      <c r="AA356" s="29"/>
      <c r="AB356" s="29"/>
      <c r="AC356" s="16"/>
      <c r="AD356" s="16"/>
      <c r="AE356" s="17"/>
      <c r="AF356" s="17"/>
      <c r="AG356" s="17"/>
      <c r="AH356" s="17"/>
      <c r="AI356" s="19"/>
      <c r="AJ356" s="19"/>
      <c r="AK356" s="19"/>
      <c r="AL356" s="19"/>
      <c r="AM356" s="19"/>
      <c r="AN356" s="19"/>
      <c r="AO356" s="19"/>
      <c r="AP356" s="19"/>
      <c r="AQ356" s="19"/>
      <c r="AR356" s="19"/>
      <c r="AS356" s="19"/>
    </row>
    <row r="357" spans="2:45" s="2" customFormat="1">
      <c r="B357" s="22"/>
      <c r="C357" s="23"/>
      <c r="D357" s="24"/>
      <c r="E357" s="25"/>
      <c r="F357" s="26"/>
      <c r="G357" s="26"/>
      <c r="H357" s="26"/>
      <c r="I357" s="26"/>
      <c r="J357" s="26"/>
      <c r="K357" s="26"/>
      <c r="L357" s="26"/>
      <c r="M357" s="26"/>
      <c r="N357" s="26"/>
      <c r="O357" s="29"/>
      <c r="P357" s="26"/>
      <c r="Q357" s="26"/>
      <c r="R357" s="26"/>
      <c r="S357" s="26"/>
      <c r="T357" s="26"/>
      <c r="U357" s="26"/>
      <c r="V357" s="26"/>
      <c r="W357" s="26"/>
      <c r="X357" s="26"/>
      <c r="Y357" s="26"/>
      <c r="Z357" s="26"/>
      <c r="AA357" s="29"/>
      <c r="AB357" s="29"/>
      <c r="AC357" s="16"/>
      <c r="AD357" s="16"/>
      <c r="AE357" s="17"/>
      <c r="AF357" s="17"/>
      <c r="AG357" s="17"/>
      <c r="AH357" s="17"/>
      <c r="AI357" s="19"/>
      <c r="AJ357" s="19"/>
      <c r="AK357" s="19"/>
      <c r="AL357" s="19"/>
      <c r="AM357" s="19"/>
      <c r="AN357" s="19"/>
      <c r="AO357" s="19"/>
      <c r="AP357" s="19"/>
      <c r="AQ357" s="19"/>
      <c r="AR357" s="19"/>
      <c r="AS357" s="19"/>
    </row>
    <row r="358" spans="2:45" s="2" customFormat="1">
      <c r="B358" s="22"/>
      <c r="C358" s="23"/>
      <c r="D358" s="24"/>
      <c r="E358" s="25"/>
      <c r="F358" s="26"/>
      <c r="G358" s="26"/>
      <c r="H358" s="26"/>
      <c r="I358" s="26"/>
      <c r="J358" s="26"/>
      <c r="K358" s="26"/>
      <c r="L358" s="26"/>
      <c r="M358" s="26"/>
      <c r="N358" s="26"/>
      <c r="O358" s="29"/>
      <c r="P358" s="26"/>
      <c r="Q358" s="26"/>
      <c r="R358" s="26"/>
      <c r="S358" s="26"/>
      <c r="T358" s="26"/>
      <c r="U358" s="26"/>
      <c r="V358" s="26"/>
      <c r="W358" s="26"/>
      <c r="X358" s="26"/>
      <c r="Y358" s="26"/>
      <c r="Z358" s="26"/>
      <c r="AA358" s="29"/>
      <c r="AB358" s="29"/>
      <c r="AC358" s="16"/>
      <c r="AD358" s="16"/>
      <c r="AE358" s="17"/>
      <c r="AF358" s="17"/>
      <c r="AG358" s="17"/>
      <c r="AH358" s="17"/>
      <c r="AI358" s="19"/>
      <c r="AJ358" s="19"/>
      <c r="AK358" s="19"/>
      <c r="AL358" s="19"/>
      <c r="AM358" s="19"/>
      <c r="AN358" s="19"/>
      <c r="AO358" s="19"/>
      <c r="AP358" s="19"/>
      <c r="AQ358" s="19"/>
      <c r="AR358" s="19"/>
      <c r="AS358" s="19"/>
    </row>
    <row r="359" spans="2:45" s="2" customFormat="1">
      <c r="B359" s="22"/>
      <c r="C359" s="23"/>
      <c r="D359" s="24"/>
      <c r="E359" s="25"/>
      <c r="F359" s="26"/>
      <c r="G359" s="26"/>
      <c r="H359" s="26"/>
      <c r="I359" s="26"/>
      <c r="J359" s="26"/>
      <c r="K359" s="26"/>
      <c r="L359" s="26"/>
      <c r="M359" s="26"/>
      <c r="N359" s="26"/>
      <c r="O359" s="29"/>
      <c r="P359" s="26"/>
      <c r="Q359" s="26"/>
      <c r="R359" s="26"/>
      <c r="S359" s="26"/>
      <c r="T359" s="26"/>
      <c r="U359" s="26"/>
      <c r="V359" s="26"/>
      <c r="W359" s="26"/>
      <c r="X359" s="26"/>
      <c r="Y359" s="26"/>
      <c r="Z359" s="26"/>
      <c r="AA359" s="29"/>
      <c r="AB359" s="29"/>
      <c r="AC359" s="16"/>
      <c r="AD359" s="16"/>
      <c r="AE359" s="17"/>
      <c r="AF359" s="17"/>
      <c r="AG359" s="17"/>
      <c r="AH359" s="17"/>
      <c r="AI359" s="19"/>
      <c r="AJ359" s="19"/>
      <c r="AK359" s="19"/>
      <c r="AL359" s="19"/>
      <c r="AM359" s="19"/>
      <c r="AN359" s="19"/>
      <c r="AO359" s="19"/>
      <c r="AP359" s="19"/>
      <c r="AQ359" s="19"/>
      <c r="AR359" s="19"/>
      <c r="AS359" s="19"/>
    </row>
    <row r="360" spans="2:45" s="2" customFormat="1">
      <c r="B360" s="22"/>
      <c r="C360" s="23"/>
      <c r="D360" s="24"/>
      <c r="E360" s="25"/>
      <c r="F360" s="26"/>
      <c r="G360" s="26"/>
      <c r="H360" s="26"/>
      <c r="I360" s="26"/>
      <c r="J360" s="26"/>
      <c r="K360" s="26"/>
      <c r="L360" s="26"/>
      <c r="M360" s="26"/>
      <c r="N360" s="26"/>
      <c r="O360" s="29"/>
      <c r="P360" s="26"/>
      <c r="Q360" s="26"/>
      <c r="R360" s="26"/>
      <c r="S360" s="26"/>
      <c r="T360" s="26"/>
      <c r="U360" s="26"/>
      <c r="V360" s="26"/>
      <c r="W360" s="26"/>
      <c r="X360" s="26"/>
      <c r="Y360" s="26"/>
      <c r="Z360" s="26"/>
      <c r="AA360" s="29"/>
      <c r="AB360" s="29"/>
      <c r="AC360" s="16"/>
      <c r="AD360" s="16"/>
      <c r="AE360" s="17"/>
      <c r="AF360" s="17"/>
      <c r="AG360" s="17"/>
      <c r="AH360" s="17"/>
      <c r="AI360" s="19"/>
      <c r="AJ360" s="19"/>
      <c r="AK360" s="19"/>
      <c r="AL360" s="19"/>
      <c r="AM360" s="19"/>
      <c r="AN360" s="19"/>
      <c r="AO360" s="19"/>
      <c r="AP360" s="19"/>
      <c r="AQ360" s="19"/>
      <c r="AR360" s="19"/>
      <c r="AS360" s="19"/>
    </row>
    <row r="361" spans="2:45" s="2" customFormat="1">
      <c r="B361" s="22"/>
      <c r="C361" s="23"/>
      <c r="D361" s="24"/>
      <c r="E361" s="25"/>
      <c r="F361" s="26"/>
      <c r="G361" s="26"/>
      <c r="H361" s="26"/>
      <c r="I361" s="26"/>
      <c r="J361" s="26"/>
      <c r="K361" s="26"/>
      <c r="L361" s="26"/>
      <c r="M361" s="26"/>
      <c r="N361" s="26"/>
      <c r="O361" s="29"/>
      <c r="P361" s="26"/>
      <c r="Q361" s="26"/>
      <c r="R361" s="26"/>
      <c r="S361" s="26"/>
      <c r="T361" s="26"/>
      <c r="U361" s="26"/>
      <c r="V361" s="26"/>
      <c r="W361" s="26"/>
      <c r="X361" s="26"/>
      <c r="Y361" s="26"/>
      <c r="Z361" s="26"/>
      <c r="AA361" s="29"/>
      <c r="AB361" s="29"/>
      <c r="AC361" s="16"/>
      <c r="AD361" s="16"/>
      <c r="AE361" s="17"/>
      <c r="AF361" s="17"/>
      <c r="AG361" s="17"/>
      <c r="AH361" s="17"/>
      <c r="AI361" s="19"/>
      <c r="AJ361" s="19"/>
      <c r="AK361" s="19"/>
      <c r="AL361" s="19"/>
      <c r="AM361" s="19"/>
      <c r="AN361" s="19"/>
      <c r="AO361" s="19"/>
      <c r="AP361" s="19"/>
      <c r="AQ361" s="19"/>
      <c r="AR361" s="19"/>
      <c r="AS361" s="19"/>
    </row>
    <row r="362" spans="2:45" s="2" customFormat="1">
      <c r="B362" s="22"/>
      <c r="C362" s="23"/>
      <c r="D362" s="24"/>
      <c r="E362" s="25"/>
      <c r="F362" s="26"/>
      <c r="G362" s="26"/>
      <c r="H362" s="26"/>
      <c r="I362" s="26"/>
      <c r="J362" s="26"/>
      <c r="K362" s="26"/>
      <c r="L362" s="26"/>
      <c r="M362" s="26"/>
      <c r="N362" s="26"/>
      <c r="O362" s="29"/>
      <c r="P362" s="26"/>
      <c r="Q362" s="26"/>
      <c r="R362" s="26"/>
      <c r="S362" s="26"/>
      <c r="T362" s="26"/>
      <c r="U362" s="26"/>
      <c r="V362" s="26"/>
      <c r="W362" s="26"/>
      <c r="X362" s="26"/>
      <c r="Y362" s="26"/>
      <c r="Z362" s="26"/>
      <c r="AA362" s="29"/>
      <c r="AB362" s="29"/>
      <c r="AC362" s="16"/>
      <c r="AD362" s="16"/>
      <c r="AE362" s="17"/>
      <c r="AF362" s="17"/>
      <c r="AG362" s="17"/>
      <c r="AH362" s="17"/>
      <c r="AI362" s="19"/>
      <c r="AJ362" s="19"/>
      <c r="AK362" s="19"/>
      <c r="AL362" s="19"/>
      <c r="AM362" s="19"/>
      <c r="AN362" s="19"/>
      <c r="AO362" s="19"/>
      <c r="AP362" s="19"/>
      <c r="AQ362" s="19"/>
      <c r="AR362" s="19"/>
      <c r="AS362" s="19"/>
    </row>
    <row r="363" spans="2:45" s="2" customFormat="1">
      <c r="B363" s="22"/>
      <c r="C363" s="23"/>
      <c r="D363" s="24"/>
      <c r="E363" s="25"/>
      <c r="F363" s="26"/>
      <c r="G363" s="26"/>
      <c r="H363" s="26"/>
      <c r="I363" s="26"/>
      <c r="J363" s="26"/>
      <c r="K363" s="26"/>
      <c r="L363" s="26"/>
      <c r="M363" s="26"/>
      <c r="N363" s="26"/>
      <c r="O363" s="29"/>
      <c r="P363" s="26"/>
      <c r="Q363" s="26"/>
      <c r="R363" s="26"/>
      <c r="S363" s="26"/>
      <c r="T363" s="26"/>
      <c r="U363" s="26"/>
      <c r="V363" s="26"/>
      <c r="W363" s="26"/>
      <c r="X363" s="26"/>
      <c r="Y363" s="26"/>
      <c r="Z363" s="26"/>
      <c r="AA363" s="29"/>
      <c r="AB363" s="29"/>
      <c r="AC363" s="16"/>
      <c r="AD363" s="16"/>
      <c r="AE363" s="17"/>
      <c r="AF363" s="17"/>
      <c r="AG363" s="17"/>
      <c r="AH363" s="17"/>
      <c r="AI363" s="19"/>
      <c r="AJ363" s="19"/>
      <c r="AK363" s="19"/>
      <c r="AL363" s="19"/>
      <c r="AM363" s="19"/>
      <c r="AN363" s="19"/>
      <c r="AO363" s="19"/>
      <c r="AP363" s="19"/>
      <c r="AQ363" s="19"/>
      <c r="AR363" s="19"/>
      <c r="AS363" s="19"/>
    </row>
    <row r="364" spans="2:45" s="2" customFormat="1">
      <c r="B364" s="22"/>
      <c r="C364" s="23"/>
      <c r="D364" s="24"/>
      <c r="E364" s="25"/>
      <c r="F364" s="26"/>
      <c r="G364" s="26"/>
      <c r="H364" s="26"/>
      <c r="I364" s="26"/>
      <c r="J364" s="26"/>
      <c r="K364" s="26"/>
      <c r="L364" s="26"/>
      <c r="M364" s="26"/>
      <c r="N364" s="26"/>
      <c r="O364" s="29"/>
      <c r="P364" s="26"/>
      <c r="Q364" s="26"/>
      <c r="R364" s="26"/>
      <c r="S364" s="26"/>
      <c r="T364" s="26"/>
      <c r="U364" s="26"/>
      <c r="V364" s="26"/>
      <c r="W364" s="26"/>
      <c r="X364" s="26"/>
      <c r="Y364" s="26"/>
      <c r="Z364" s="26"/>
      <c r="AA364" s="29"/>
      <c r="AB364" s="29"/>
      <c r="AC364" s="16"/>
      <c r="AD364" s="16"/>
      <c r="AE364" s="17"/>
      <c r="AF364" s="17"/>
      <c r="AG364" s="17"/>
      <c r="AH364" s="17"/>
      <c r="AI364" s="19"/>
      <c r="AJ364" s="19"/>
      <c r="AK364" s="19"/>
      <c r="AL364" s="19"/>
      <c r="AM364" s="19"/>
      <c r="AN364" s="19"/>
      <c r="AO364" s="19"/>
      <c r="AP364" s="19"/>
      <c r="AQ364" s="19"/>
      <c r="AR364" s="19"/>
      <c r="AS364" s="19"/>
    </row>
    <row r="365" spans="2:45" s="2" customFormat="1">
      <c r="B365" s="22"/>
      <c r="C365" s="23"/>
      <c r="D365" s="24"/>
      <c r="E365" s="25"/>
      <c r="F365" s="26"/>
      <c r="G365" s="26"/>
      <c r="H365" s="26"/>
      <c r="I365" s="26"/>
      <c r="J365" s="26"/>
      <c r="K365" s="26"/>
      <c r="L365" s="26"/>
      <c r="M365" s="26"/>
      <c r="N365" s="26"/>
      <c r="O365" s="29"/>
      <c r="P365" s="26"/>
      <c r="Q365" s="26"/>
      <c r="R365" s="26"/>
      <c r="S365" s="26"/>
      <c r="T365" s="26"/>
      <c r="U365" s="26"/>
      <c r="V365" s="26"/>
      <c r="W365" s="26"/>
      <c r="X365" s="26"/>
      <c r="Y365" s="26"/>
      <c r="Z365" s="26"/>
      <c r="AA365" s="29"/>
      <c r="AB365" s="29"/>
      <c r="AC365" s="16"/>
      <c r="AD365" s="16"/>
      <c r="AE365" s="17"/>
      <c r="AF365" s="17"/>
      <c r="AG365" s="17"/>
      <c r="AH365" s="17"/>
      <c r="AI365" s="19"/>
      <c r="AJ365" s="19"/>
      <c r="AK365" s="19"/>
      <c r="AL365" s="19"/>
      <c r="AM365" s="19"/>
      <c r="AN365" s="19"/>
      <c r="AO365" s="19"/>
      <c r="AP365" s="19"/>
      <c r="AQ365" s="19"/>
      <c r="AR365" s="19"/>
      <c r="AS365" s="19"/>
    </row>
    <row r="366" spans="2:45" s="2" customFormat="1">
      <c r="B366" s="22"/>
      <c r="C366" s="23"/>
      <c r="D366" s="24"/>
      <c r="E366" s="25"/>
      <c r="F366" s="26"/>
      <c r="G366" s="26"/>
      <c r="H366" s="26"/>
      <c r="I366" s="26"/>
      <c r="J366" s="26"/>
      <c r="K366" s="26"/>
      <c r="L366" s="26"/>
      <c r="M366" s="26"/>
      <c r="N366" s="26"/>
      <c r="O366" s="29"/>
      <c r="P366" s="26"/>
      <c r="Q366" s="26"/>
      <c r="R366" s="26"/>
      <c r="S366" s="26"/>
      <c r="T366" s="26"/>
      <c r="U366" s="26"/>
      <c r="V366" s="26"/>
      <c r="W366" s="26"/>
      <c r="X366" s="26"/>
      <c r="Y366" s="26"/>
      <c r="Z366" s="26"/>
      <c r="AA366" s="29"/>
      <c r="AB366" s="29"/>
      <c r="AC366" s="16"/>
      <c r="AD366" s="16"/>
      <c r="AE366" s="17"/>
      <c r="AF366" s="17"/>
      <c r="AG366" s="17"/>
      <c r="AH366" s="17"/>
      <c r="AI366" s="19"/>
      <c r="AJ366" s="19"/>
      <c r="AK366" s="19"/>
      <c r="AL366" s="19"/>
      <c r="AM366" s="19"/>
      <c r="AN366" s="19"/>
      <c r="AO366" s="19"/>
      <c r="AP366" s="19"/>
      <c r="AQ366" s="19"/>
      <c r="AR366" s="19"/>
      <c r="AS366" s="19"/>
    </row>
    <row r="367" spans="2:45" s="2" customFormat="1">
      <c r="B367" s="22"/>
      <c r="C367" s="23"/>
      <c r="D367" s="24"/>
      <c r="E367" s="25"/>
      <c r="F367" s="26"/>
      <c r="G367" s="26"/>
      <c r="H367" s="26"/>
      <c r="I367" s="26"/>
      <c r="J367" s="26"/>
      <c r="K367" s="26"/>
      <c r="L367" s="26"/>
      <c r="M367" s="26"/>
      <c r="N367" s="26"/>
      <c r="O367" s="29"/>
      <c r="P367" s="26"/>
      <c r="Q367" s="26"/>
      <c r="R367" s="26"/>
      <c r="S367" s="26"/>
      <c r="T367" s="26"/>
      <c r="U367" s="26"/>
      <c r="V367" s="26"/>
      <c r="W367" s="26"/>
      <c r="X367" s="26"/>
      <c r="Y367" s="26"/>
      <c r="Z367" s="26"/>
      <c r="AA367" s="29"/>
      <c r="AB367" s="29"/>
      <c r="AC367" s="16"/>
      <c r="AD367" s="16"/>
      <c r="AE367" s="17"/>
      <c r="AF367" s="17"/>
      <c r="AG367" s="17"/>
      <c r="AH367" s="17"/>
      <c r="AI367" s="19"/>
      <c r="AJ367" s="19"/>
      <c r="AK367" s="19"/>
      <c r="AL367" s="19"/>
      <c r="AM367" s="19"/>
      <c r="AN367" s="19"/>
      <c r="AO367" s="19"/>
      <c r="AP367" s="19"/>
      <c r="AQ367" s="19"/>
      <c r="AR367" s="19"/>
      <c r="AS367" s="19"/>
    </row>
    <row r="368" spans="2:45" s="2" customFormat="1">
      <c r="B368" s="22"/>
      <c r="C368" s="23"/>
      <c r="D368" s="24"/>
      <c r="E368" s="25"/>
      <c r="F368" s="26"/>
      <c r="G368" s="26"/>
      <c r="H368" s="26"/>
      <c r="I368" s="26"/>
      <c r="J368" s="26"/>
      <c r="K368" s="26"/>
      <c r="L368" s="26"/>
      <c r="M368" s="26"/>
      <c r="N368" s="26"/>
      <c r="O368" s="29"/>
      <c r="P368" s="26"/>
      <c r="Q368" s="26"/>
      <c r="R368" s="26"/>
      <c r="S368" s="26"/>
      <c r="T368" s="26"/>
      <c r="U368" s="26"/>
      <c r="V368" s="26"/>
      <c r="W368" s="26"/>
      <c r="X368" s="26"/>
      <c r="Y368" s="26"/>
      <c r="Z368" s="26"/>
      <c r="AA368" s="29"/>
      <c r="AB368" s="29"/>
      <c r="AC368" s="16"/>
      <c r="AD368" s="16"/>
      <c r="AE368" s="17"/>
      <c r="AF368" s="17"/>
      <c r="AG368" s="17"/>
      <c r="AH368" s="17"/>
      <c r="AI368" s="19"/>
      <c r="AJ368" s="19"/>
      <c r="AK368" s="19"/>
      <c r="AL368" s="19"/>
      <c r="AM368" s="19"/>
      <c r="AN368" s="19"/>
      <c r="AO368" s="19"/>
      <c r="AP368" s="19"/>
      <c r="AQ368" s="19"/>
      <c r="AR368" s="19"/>
      <c r="AS368" s="19"/>
    </row>
    <row r="369" spans="2:45" s="2" customFormat="1">
      <c r="B369" s="22"/>
      <c r="C369" s="23"/>
      <c r="D369" s="24"/>
      <c r="E369" s="25"/>
      <c r="F369" s="26"/>
      <c r="G369" s="26"/>
      <c r="H369" s="26"/>
      <c r="I369" s="26"/>
      <c r="J369" s="26"/>
      <c r="K369" s="26"/>
      <c r="L369" s="26"/>
      <c r="M369" s="26"/>
      <c r="N369" s="26"/>
      <c r="O369" s="29"/>
      <c r="P369" s="26"/>
      <c r="Q369" s="26"/>
      <c r="R369" s="26"/>
      <c r="S369" s="26"/>
      <c r="T369" s="26"/>
      <c r="U369" s="26"/>
      <c r="V369" s="26"/>
      <c r="W369" s="26"/>
      <c r="X369" s="26"/>
      <c r="Y369" s="26"/>
      <c r="Z369" s="26"/>
      <c r="AA369" s="29"/>
      <c r="AB369" s="29"/>
      <c r="AC369" s="16"/>
      <c r="AD369" s="16"/>
      <c r="AE369" s="17"/>
      <c r="AF369" s="17"/>
      <c r="AG369" s="17"/>
      <c r="AH369" s="17"/>
      <c r="AI369" s="19"/>
      <c r="AJ369" s="19"/>
      <c r="AK369" s="19"/>
      <c r="AL369" s="19"/>
      <c r="AM369" s="19"/>
      <c r="AN369" s="19"/>
      <c r="AO369" s="19"/>
      <c r="AP369" s="19"/>
      <c r="AQ369" s="19"/>
      <c r="AR369" s="19"/>
      <c r="AS369" s="19"/>
    </row>
    <row r="370" spans="2:45" s="2" customFormat="1">
      <c r="B370" s="22"/>
      <c r="C370" s="23"/>
      <c r="D370" s="24"/>
      <c r="E370" s="25"/>
      <c r="F370" s="26"/>
      <c r="G370" s="26"/>
      <c r="H370" s="26"/>
      <c r="I370" s="26"/>
      <c r="J370" s="26"/>
      <c r="K370" s="26"/>
      <c r="L370" s="26"/>
      <c r="M370" s="26"/>
      <c r="N370" s="26"/>
      <c r="O370" s="29"/>
      <c r="P370" s="26"/>
      <c r="Q370" s="26"/>
      <c r="R370" s="26"/>
      <c r="S370" s="26"/>
      <c r="T370" s="26"/>
      <c r="U370" s="26"/>
      <c r="V370" s="26"/>
      <c r="W370" s="26"/>
      <c r="X370" s="26"/>
      <c r="Y370" s="26"/>
      <c r="Z370" s="26"/>
      <c r="AA370" s="29"/>
      <c r="AB370" s="29"/>
      <c r="AC370" s="16"/>
      <c r="AD370" s="16"/>
      <c r="AE370" s="17"/>
      <c r="AF370" s="17"/>
      <c r="AG370" s="17"/>
      <c r="AH370" s="17"/>
      <c r="AI370" s="19"/>
      <c r="AJ370" s="19"/>
      <c r="AK370" s="19"/>
      <c r="AL370" s="19"/>
      <c r="AM370" s="19"/>
      <c r="AN370" s="19"/>
      <c r="AO370" s="19"/>
      <c r="AP370" s="19"/>
      <c r="AQ370" s="19"/>
      <c r="AR370" s="19"/>
      <c r="AS370" s="19"/>
    </row>
    <row r="371" spans="2:45" s="2" customFormat="1">
      <c r="B371" s="22"/>
      <c r="C371" s="23"/>
      <c r="D371" s="24"/>
      <c r="E371" s="25"/>
      <c r="F371" s="26"/>
      <c r="G371" s="26"/>
      <c r="H371" s="26"/>
      <c r="I371" s="26"/>
      <c r="J371" s="26"/>
      <c r="K371" s="26"/>
      <c r="L371" s="26"/>
      <c r="M371" s="26"/>
      <c r="N371" s="26"/>
      <c r="O371" s="29"/>
      <c r="P371" s="26"/>
      <c r="Q371" s="26"/>
      <c r="R371" s="26"/>
      <c r="S371" s="26"/>
      <c r="T371" s="26"/>
      <c r="U371" s="26"/>
      <c r="V371" s="26"/>
      <c r="W371" s="26"/>
      <c r="X371" s="26"/>
      <c r="Y371" s="26"/>
      <c r="Z371" s="26"/>
      <c r="AA371" s="29"/>
      <c r="AB371" s="29"/>
      <c r="AC371" s="16"/>
      <c r="AD371" s="16"/>
      <c r="AE371" s="17"/>
      <c r="AF371" s="17"/>
      <c r="AG371" s="17"/>
      <c r="AH371" s="17"/>
      <c r="AI371" s="19"/>
      <c r="AJ371" s="19"/>
      <c r="AK371" s="19"/>
      <c r="AL371" s="19"/>
      <c r="AM371" s="19"/>
      <c r="AN371" s="19"/>
      <c r="AO371" s="19"/>
      <c r="AP371" s="19"/>
      <c r="AQ371" s="19"/>
      <c r="AR371" s="19"/>
      <c r="AS371" s="19"/>
    </row>
    <row r="372" spans="2:45" s="2" customFormat="1">
      <c r="B372" s="22"/>
      <c r="C372" s="23"/>
      <c r="D372" s="24"/>
      <c r="E372" s="25"/>
      <c r="F372" s="26"/>
      <c r="G372" s="26"/>
      <c r="H372" s="26"/>
      <c r="I372" s="26"/>
      <c r="J372" s="26"/>
      <c r="K372" s="26"/>
      <c r="L372" s="26"/>
      <c r="M372" s="26"/>
      <c r="N372" s="26"/>
      <c r="O372" s="29"/>
      <c r="P372" s="26"/>
      <c r="Q372" s="26"/>
      <c r="R372" s="26"/>
      <c r="S372" s="26"/>
      <c r="T372" s="26"/>
      <c r="U372" s="26"/>
      <c r="V372" s="26"/>
      <c r="W372" s="26"/>
      <c r="X372" s="26"/>
      <c r="Y372" s="26"/>
      <c r="Z372" s="26"/>
      <c r="AA372" s="29"/>
      <c r="AB372" s="29"/>
      <c r="AC372" s="16"/>
      <c r="AD372" s="16"/>
      <c r="AE372" s="17"/>
      <c r="AF372" s="17"/>
      <c r="AG372" s="17"/>
      <c r="AH372" s="17"/>
      <c r="AI372" s="19"/>
      <c r="AJ372" s="19"/>
      <c r="AK372" s="19"/>
      <c r="AL372" s="19"/>
      <c r="AM372" s="19"/>
      <c r="AN372" s="19"/>
      <c r="AO372" s="19"/>
      <c r="AP372" s="19"/>
      <c r="AQ372" s="19"/>
      <c r="AR372" s="19"/>
      <c r="AS372" s="19"/>
    </row>
    <row r="373" spans="2:45" s="2" customFormat="1">
      <c r="B373" s="22"/>
      <c r="C373" s="23"/>
      <c r="D373" s="24"/>
      <c r="E373" s="25"/>
      <c r="F373" s="26"/>
      <c r="G373" s="26"/>
      <c r="H373" s="26"/>
      <c r="I373" s="26"/>
      <c r="J373" s="26"/>
      <c r="K373" s="26"/>
      <c r="L373" s="26"/>
      <c r="M373" s="26"/>
      <c r="N373" s="26"/>
      <c r="O373" s="29"/>
      <c r="P373" s="26"/>
      <c r="Q373" s="26"/>
      <c r="R373" s="26"/>
      <c r="S373" s="26"/>
      <c r="T373" s="26"/>
      <c r="U373" s="26"/>
      <c r="V373" s="26"/>
      <c r="W373" s="26"/>
      <c r="X373" s="26"/>
      <c r="Y373" s="26"/>
      <c r="Z373" s="26"/>
      <c r="AA373" s="29"/>
      <c r="AB373" s="29"/>
      <c r="AC373" s="16"/>
      <c r="AD373" s="16"/>
      <c r="AE373" s="17"/>
      <c r="AF373" s="17"/>
      <c r="AG373" s="17"/>
      <c r="AH373" s="17"/>
      <c r="AI373" s="19"/>
      <c r="AJ373" s="19"/>
      <c r="AK373" s="19"/>
      <c r="AL373" s="19"/>
      <c r="AM373" s="19"/>
      <c r="AN373" s="19"/>
      <c r="AO373" s="19"/>
      <c r="AP373" s="19"/>
      <c r="AQ373" s="19"/>
      <c r="AR373" s="19"/>
      <c r="AS373" s="19"/>
    </row>
    <row r="374" spans="2:45" s="2" customFormat="1">
      <c r="B374" s="22"/>
      <c r="C374" s="23"/>
      <c r="D374" s="24"/>
      <c r="E374" s="25"/>
      <c r="F374" s="26"/>
      <c r="G374" s="26"/>
      <c r="H374" s="26"/>
      <c r="I374" s="26"/>
      <c r="J374" s="26"/>
      <c r="K374" s="26"/>
      <c r="L374" s="26"/>
      <c r="M374" s="26"/>
      <c r="N374" s="26"/>
      <c r="O374" s="29"/>
      <c r="P374" s="26"/>
      <c r="Q374" s="26"/>
      <c r="R374" s="26"/>
      <c r="S374" s="26"/>
      <c r="T374" s="26"/>
      <c r="U374" s="26"/>
      <c r="V374" s="26"/>
      <c r="W374" s="26"/>
      <c r="X374" s="26"/>
      <c r="Y374" s="26"/>
      <c r="Z374" s="26"/>
      <c r="AA374" s="29"/>
      <c r="AB374" s="29"/>
      <c r="AC374" s="16"/>
      <c r="AD374" s="16"/>
      <c r="AE374" s="17"/>
      <c r="AF374" s="17"/>
      <c r="AG374" s="17"/>
      <c r="AH374" s="17"/>
      <c r="AI374" s="19"/>
      <c r="AJ374" s="19"/>
      <c r="AK374" s="19"/>
      <c r="AL374" s="19"/>
      <c r="AM374" s="19"/>
      <c r="AN374" s="19"/>
      <c r="AO374" s="19"/>
      <c r="AP374" s="19"/>
      <c r="AQ374" s="19"/>
      <c r="AR374" s="19"/>
      <c r="AS374" s="19"/>
    </row>
    <row r="375" spans="2:45" s="2" customFormat="1">
      <c r="B375" s="22"/>
      <c r="C375" s="23"/>
      <c r="D375" s="24"/>
      <c r="E375" s="25"/>
      <c r="F375" s="26"/>
      <c r="G375" s="26"/>
      <c r="H375" s="26"/>
      <c r="I375" s="26"/>
      <c r="J375" s="26"/>
      <c r="K375" s="26"/>
      <c r="L375" s="26"/>
      <c r="M375" s="26"/>
      <c r="N375" s="26"/>
      <c r="O375" s="29"/>
      <c r="P375" s="26"/>
      <c r="Q375" s="26"/>
      <c r="R375" s="26"/>
      <c r="S375" s="26"/>
      <c r="T375" s="26"/>
      <c r="U375" s="26"/>
      <c r="V375" s="26"/>
      <c r="W375" s="26"/>
      <c r="X375" s="26"/>
      <c r="Y375" s="26"/>
      <c r="Z375" s="26"/>
      <c r="AA375" s="29"/>
      <c r="AB375" s="29"/>
      <c r="AC375" s="16"/>
      <c r="AD375" s="16"/>
      <c r="AE375" s="17"/>
      <c r="AF375" s="17"/>
      <c r="AG375" s="17"/>
      <c r="AH375" s="17"/>
      <c r="AI375" s="19"/>
      <c r="AJ375" s="19"/>
      <c r="AK375" s="19"/>
      <c r="AL375" s="19"/>
      <c r="AM375" s="19"/>
      <c r="AN375" s="19"/>
      <c r="AO375" s="19"/>
      <c r="AP375" s="19"/>
      <c r="AQ375" s="19"/>
      <c r="AR375" s="19"/>
      <c r="AS375" s="19"/>
    </row>
    <row r="376" spans="2:45" s="2" customFormat="1">
      <c r="B376" s="22"/>
      <c r="C376" s="23"/>
      <c r="D376" s="24"/>
      <c r="E376" s="25"/>
      <c r="F376" s="26"/>
      <c r="G376" s="26"/>
      <c r="H376" s="26"/>
      <c r="I376" s="26"/>
      <c r="J376" s="26"/>
      <c r="K376" s="26"/>
      <c r="L376" s="26"/>
      <c r="M376" s="26"/>
      <c r="N376" s="26"/>
      <c r="O376" s="29"/>
      <c r="P376" s="26"/>
      <c r="Q376" s="26"/>
      <c r="R376" s="26"/>
      <c r="S376" s="26"/>
      <c r="T376" s="26"/>
      <c r="U376" s="26"/>
      <c r="V376" s="26"/>
      <c r="W376" s="26"/>
      <c r="X376" s="26"/>
      <c r="Y376" s="26"/>
      <c r="Z376" s="26"/>
      <c r="AA376" s="29"/>
      <c r="AB376" s="29"/>
      <c r="AC376" s="16"/>
      <c r="AD376" s="16"/>
      <c r="AE376" s="17"/>
      <c r="AF376" s="17"/>
      <c r="AG376" s="17"/>
      <c r="AH376" s="17"/>
      <c r="AI376" s="19"/>
      <c r="AJ376" s="19"/>
      <c r="AK376" s="19"/>
      <c r="AL376" s="19"/>
      <c r="AM376" s="19"/>
      <c r="AN376" s="19"/>
      <c r="AO376" s="19"/>
      <c r="AP376" s="19"/>
      <c r="AQ376" s="19"/>
      <c r="AR376" s="19"/>
      <c r="AS376" s="19"/>
    </row>
    <row r="377" spans="2:45" s="2" customFormat="1">
      <c r="B377" s="22"/>
      <c r="C377" s="23"/>
      <c r="D377" s="24"/>
      <c r="E377" s="25"/>
      <c r="F377" s="26"/>
      <c r="G377" s="26"/>
      <c r="H377" s="26"/>
      <c r="I377" s="26"/>
      <c r="J377" s="26"/>
      <c r="K377" s="26"/>
      <c r="L377" s="26"/>
      <c r="M377" s="26"/>
      <c r="N377" s="26"/>
      <c r="O377" s="29"/>
      <c r="P377" s="26"/>
      <c r="Q377" s="26"/>
      <c r="R377" s="26"/>
      <c r="S377" s="26"/>
      <c r="T377" s="26"/>
      <c r="U377" s="26"/>
      <c r="V377" s="26"/>
      <c r="W377" s="26"/>
      <c r="X377" s="26"/>
      <c r="Y377" s="26"/>
      <c r="Z377" s="26"/>
      <c r="AA377" s="29"/>
      <c r="AB377" s="29"/>
      <c r="AC377" s="16"/>
      <c r="AD377" s="16"/>
      <c r="AE377" s="17"/>
      <c r="AF377" s="17"/>
      <c r="AG377" s="17"/>
      <c r="AH377" s="17"/>
      <c r="AI377" s="19"/>
      <c r="AJ377" s="19"/>
      <c r="AK377" s="19"/>
      <c r="AL377" s="19"/>
      <c r="AM377" s="19"/>
      <c r="AN377" s="19"/>
      <c r="AO377" s="19"/>
      <c r="AP377" s="19"/>
      <c r="AQ377" s="19"/>
      <c r="AR377" s="19"/>
      <c r="AS377" s="19"/>
    </row>
    <row r="378" spans="2:45" s="2" customFormat="1">
      <c r="B378" s="22"/>
      <c r="C378" s="23"/>
      <c r="D378" s="24"/>
      <c r="E378" s="25"/>
      <c r="F378" s="26"/>
      <c r="G378" s="26"/>
      <c r="H378" s="26"/>
      <c r="I378" s="26"/>
      <c r="J378" s="26"/>
      <c r="K378" s="26"/>
      <c r="L378" s="26"/>
      <c r="M378" s="26"/>
      <c r="N378" s="26"/>
      <c r="O378" s="29"/>
      <c r="P378" s="26"/>
      <c r="Q378" s="26"/>
      <c r="R378" s="26"/>
      <c r="S378" s="26"/>
      <c r="T378" s="26"/>
      <c r="U378" s="26"/>
      <c r="V378" s="26"/>
      <c r="W378" s="26"/>
      <c r="X378" s="26"/>
      <c r="Y378" s="26"/>
      <c r="Z378" s="26"/>
      <c r="AA378" s="29"/>
      <c r="AB378" s="29"/>
      <c r="AC378" s="16"/>
      <c r="AD378" s="16"/>
      <c r="AE378" s="17"/>
      <c r="AF378" s="17"/>
      <c r="AG378" s="17"/>
      <c r="AH378" s="17"/>
      <c r="AI378" s="19"/>
      <c r="AJ378" s="19"/>
      <c r="AK378" s="19"/>
      <c r="AL378" s="19"/>
      <c r="AM378" s="19"/>
      <c r="AN378" s="19"/>
      <c r="AO378" s="19"/>
      <c r="AP378" s="19"/>
      <c r="AQ378" s="19"/>
      <c r="AR378" s="19"/>
      <c r="AS378" s="19"/>
    </row>
    <row r="379" spans="2:45" s="2" customFormat="1">
      <c r="B379" s="22"/>
      <c r="C379" s="23"/>
      <c r="D379" s="24"/>
      <c r="E379" s="25"/>
      <c r="F379" s="26"/>
      <c r="G379" s="26"/>
      <c r="H379" s="26"/>
      <c r="I379" s="26"/>
      <c r="J379" s="26"/>
      <c r="K379" s="26"/>
      <c r="L379" s="26"/>
      <c r="M379" s="26"/>
      <c r="N379" s="26"/>
      <c r="O379" s="29"/>
      <c r="P379" s="26"/>
      <c r="Q379" s="26"/>
      <c r="R379" s="26"/>
      <c r="S379" s="26"/>
      <c r="T379" s="26"/>
      <c r="U379" s="26"/>
      <c r="V379" s="26"/>
      <c r="W379" s="26"/>
      <c r="X379" s="26"/>
      <c r="Y379" s="26"/>
      <c r="Z379" s="26"/>
      <c r="AA379" s="29"/>
      <c r="AB379" s="29"/>
      <c r="AC379" s="16"/>
      <c r="AD379" s="16"/>
      <c r="AE379" s="17"/>
      <c r="AF379" s="17"/>
      <c r="AG379" s="17"/>
      <c r="AH379" s="17"/>
      <c r="AI379" s="19"/>
      <c r="AJ379" s="19"/>
      <c r="AK379" s="19"/>
      <c r="AL379" s="19"/>
      <c r="AM379" s="19"/>
      <c r="AN379" s="19"/>
      <c r="AO379" s="19"/>
      <c r="AP379" s="19"/>
      <c r="AQ379" s="19"/>
      <c r="AR379" s="19"/>
      <c r="AS379" s="19"/>
    </row>
    <row r="380" spans="2:45" s="2" customFormat="1">
      <c r="B380" s="22"/>
      <c r="C380" s="23"/>
      <c r="D380" s="24"/>
      <c r="E380" s="25"/>
      <c r="F380" s="26"/>
      <c r="G380" s="26"/>
      <c r="H380" s="26"/>
      <c r="I380" s="26"/>
      <c r="J380" s="26"/>
      <c r="K380" s="26"/>
      <c r="L380" s="26"/>
      <c r="M380" s="26"/>
      <c r="N380" s="26"/>
      <c r="O380" s="29"/>
      <c r="P380" s="26"/>
      <c r="Q380" s="26"/>
      <c r="R380" s="26"/>
      <c r="S380" s="26"/>
      <c r="T380" s="26"/>
      <c r="U380" s="26"/>
      <c r="V380" s="26"/>
      <c r="W380" s="26"/>
      <c r="X380" s="26"/>
      <c r="Y380" s="26"/>
      <c r="Z380" s="26"/>
      <c r="AA380" s="29"/>
      <c r="AB380" s="29"/>
      <c r="AC380" s="16"/>
      <c r="AD380" s="16"/>
      <c r="AE380" s="17"/>
      <c r="AF380" s="17"/>
      <c r="AG380" s="17"/>
      <c r="AH380" s="17"/>
      <c r="AI380" s="19"/>
      <c r="AJ380" s="19"/>
      <c r="AK380" s="19"/>
      <c r="AL380" s="19"/>
      <c r="AM380" s="19"/>
      <c r="AN380" s="19"/>
      <c r="AO380" s="19"/>
      <c r="AP380" s="19"/>
      <c r="AQ380" s="19"/>
      <c r="AR380" s="19"/>
      <c r="AS380" s="19"/>
    </row>
    <row r="381" spans="2:45" s="2" customFormat="1">
      <c r="B381" s="22"/>
      <c r="C381" s="23"/>
      <c r="D381" s="24"/>
      <c r="E381" s="25"/>
      <c r="F381" s="26"/>
      <c r="G381" s="26"/>
      <c r="H381" s="26"/>
      <c r="I381" s="26"/>
      <c r="J381" s="26"/>
      <c r="K381" s="26"/>
      <c r="L381" s="26"/>
      <c r="M381" s="26"/>
      <c r="N381" s="26"/>
      <c r="O381" s="29"/>
      <c r="P381" s="26"/>
      <c r="Q381" s="26"/>
      <c r="R381" s="26"/>
      <c r="S381" s="26"/>
      <c r="T381" s="26"/>
      <c r="U381" s="26"/>
      <c r="V381" s="26"/>
      <c r="W381" s="26"/>
      <c r="X381" s="26"/>
      <c r="Y381" s="26"/>
      <c r="Z381" s="26"/>
      <c r="AA381" s="29"/>
      <c r="AB381" s="29"/>
      <c r="AC381" s="16"/>
      <c r="AD381" s="16"/>
      <c r="AE381" s="17"/>
      <c r="AF381" s="17"/>
      <c r="AG381" s="17"/>
      <c r="AH381" s="17"/>
      <c r="AI381" s="19"/>
      <c r="AJ381" s="19"/>
      <c r="AK381" s="19"/>
      <c r="AL381" s="19"/>
      <c r="AM381" s="19"/>
      <c r="AN381" s="19"/>
      <c r="AO381" s="19"/>
      <c r="AP381" s="19"/>
      <c r="AQ381" s="19"/>
      <c r="AR381" s="19"/>
      <c r="AS381" s="19"/>
    </row>
    <row r="382" spans="2:45" s="2" customFormat="1">
      <c r="B382" s="22"/>
      <c r="C382" s="23"/>
      <c r="D382" s="24"/>
      <c r="E382" s="25"/>
      <c r="F382" s="26"/>
      <c r="G382" s="26"/>
      <c r="H382" s="26"/>
      <c r="I382" s="26"/>
      <c r="J382" s="26"/>
      <c r="K382" s="26"/>
      <c r="L382" s="26"/>
      <c r="M382" s="26"/>
      <c r="N382" s="26"/>
      <c r="O382" s="29"/>
      <c r="P382" s="26"/>
      <c r="Q382" s="26"/>
      <c r="R382" s="26"/>
      <c r="S382" s="26"/>
      <c r="T382" s="26"/>
      <c r="U382" s="26"/>
      <c r="V382" s="26"/>
      <c r="W382" s="26"/>
      <c r="X382" s="26"/>
      <c r="Y382" s="26"/>
      <c r="Z382" s="26"/>
      <c r="AA382" s="29"/>
      <c r="AB382" s="29"/>
      <c r="AC382" s="16"/>
      <c r="AD382" s="16"/>
      <c r="AE382" s="17"/>
      <c r="AF382" s="17"/>
      <c r="AG382" s="17"/>
      <c r="AH382" s="17"/>
      <c r="AI382" s="19"/>
      <c r="AJ382" s="19"/>
      <c r="AK382" s="19"/>
      <c r="AL382" s="19"/>
      <c r="AM382" s="19"/>
      <c r="AN382" s="19"/>
      <c r="AO382" s="19"/>
      <c r="AP382" s="19"/>
      <c r="AQ382" s="19"/>
      <c r="AR382" s="19"/>
      <c r="AS382" s="19"/>
    </row>
    <row r="383" spans="2:45" s="2" customFormat="1">
      <c r="B383" s="22"/>
      <c r="C383" s="23"/>
      <c r="D383" s="24"/>
      <c r="E383" s="25"/>
      <c r="F383" s="26"/>
      <c r="G383" s="26"/>
      <c r="H383" s="26"/>
      <c r="I383" s="26"/>
      <c r="J383" s="26"/>
      <c r="K383" s="26"/>
      <c r="L383" s="26"/>
      <c r="M383" s="26"/>
      <c r="N383" s="26"/>
      <c r="O383" s="29"/>
      <c r="P383" s="26"/>
      <c r="Q383" s="26"/>
      <c r="R383" s="26"/>
      <c r="S383" s="26"/>
      <c r="T383" s="26"/>
      <c r="U383" s="26"/>
      <c r="V383" s="26"/>
      <c r="W383" s="26"/>
      <c r="X383" s="26"/>
      <c r="Y383" s="26"/>
      <c r="Z383" s="26"/>
      <c r="AA383" s="29"/>
      <c r="AB383" s="29"/>
      <c r="AC383" s="16"/>
      <c r="AD383" s="16"/>
      <c r="AE383" s="17"/>
      <c r="AF383" s="17"/>
      <c r="AG383" s="17"/>
      <c r="AH383" s="17"/>
      <c r="AI383" s="19"/>
      <c r="AJ383" s="19"/>
      <c r="AK383" s="19"/>
      <c r="AL383" s="19"/>
      <c r="AM383" s="19"/>
      <c r="AN383" s="19"/>
      <c r="AO383" s="19"/>
      <c r="AP383" s="19"/>
      <c r="AQ383" s="19"/>
      <c r="AR383" s="19"/>
      <c r="AS383" s="19"/>
    </row>
    <row r="384" spans="2:45" s="2" customFormat="1">
      <c r="B384" s="22"/>
      <c r="C384" s="23"/>
      <c r="D384" s="24"/>
      <c r="E384" s="25"/>
      <c r="F384" s="26"/>
      <c r="G384" s="26"/>
      <c r="H384" s="26"/>
      <c r="I384" s="26"/>
      <c r="J384" s="26"/>
      <c r="K384" s="26"/>
      <c r="L384" s="26"/>
      <c r="M384" s="26"/>
      <c r="N384" s="26"/>
      <c r="O384" s="29"/>
      <c r="P384" s="26"/>
      <c r="Q384" s="26"/>
      <c r="R384" s="26"/>
      <c r="S384" s="26"/>
      <c r="T384" s="26"/>
      <c r="U384" s="26"/>
      <c r="V384" s="26"/>
      <c r="W384" s="26"/>
      <c r="X384" s="26"/>
      <c r="Y384" s="26"/>
      <c r="Z384" s="26"/>
      <c r="AA384" s="29"/>
      <c r="AB384" s="29"/>
      <c r="AC384" s="16"/>
      <c r="AD384" s="16"/>
      <c r="AE384" s="17"/>
      <c r="AF384" s="17"/>
      <c r="AG384" s="17"/>
      <c r="AH384" s="17"/>
      <c r="AI384" s="19"/>
      <c r="AJ384" s="19"/>
      <c r="AK384" s="19"/>
      <c r="AL384" s="19"/>
      <c r="AM384" s="19"/>
      <c r="AN384" s="19"/>
      <c r="AO384" s="19"/>
      <c r="AP384" s="19"/>
      <c r="AQ384" s="19"/>
      <c r="AR384" s="19"/>
      <c r="AS384" s="19"/>
    </row>
    <row r="385" spans="2:45" s="2" customFormat="1">
      <c r="B385" s="22"/>
      <c r="C385" s="23"/>
      <c r="D385" s="24"/>
      <c r="E385" s="25"/>
      <c r="F385" s="26"/>
      <c r="G385" s="26"/>
      <c r="H385" s="26"/>
      <c r="I385" s="26"/>
      <c r="J385" s="26"/>
      <c r="K385" s="26"/>
      <c r="L385" s="26"/>
      <c r="M385" s="26"/>
      <c r="N385" s="26"/>
      <c r="O385" s="29"/>
      <c r="P385" s="26"/>
      <c r="Q385" s="26"/>
      <c r="R385" s="26"/>
      <c r="S385" s="26"/>
      <c r="T385" s="26"/>
      <c r="U385" s="26"/>
      <c r="V385" s="26"/>
      <c r="W385" s="26"/>
      <c r="X385" s="26"/>
      <c r="Y385" s="26"/>
      <c r="Z385" s="26"/>
      <c r="AA385" s="29"/>
      <c r="AB385" s="29"/>
      <c r="AC385" s="16"/>
      <c r="AD385" s="16"/>
      <c r="AE385" s="17"/>
      <c r="AF385" s="17"/>
      <c r="AG385" s="17"/>
      <c r="AH385" s="17"/>
      <c r="AI385" s="19"/>
      <c r="AJ385" s="19"/>
      <c r="AK385" s="19"/>
      <c r="AL385" s="19"/>
      <c r="AM385" s="19"/>
      <c r="AN385" s="19"/>
      <c r="AO385" s="19"/>
      <c r="AP385" s="19"/>
      <c r="AQ385" s="19"/>
      <c r="AR385" s="19"/>
      <c r="AS385" s="19"/>
    </row>
    <row r="386" spans="2:45" s="2" customFormat="1">
      <c r="B386" s="22"/>
      <c r="C386" s="23"/>
      <c r="D386" s="24"/>
      <c r="E386" s="25"/>
      <c r="F386" s="26"/>
      <c r="G386" s="26"/>
      <c r="H386" s="26"/>
      <c r="I386" s="26"/>
      <c r="J386" s="26"/>
      <c r="K386" s="26"/>
      <c r="L386" s="26"/>
      <c r="M386" s="26"/>
      <c r="N386" s="26"/>
      <c r="O386" s="29"/>
      <c r="P386" s="26"/>
      <c r="Q386" s="26"/>
      <c r="R386" s="26"/>
      <c r="S386" s="26"/>
      <c r="T386" s="26"/>
      <c r="U386" s="26"/>
      <c r="V386" s="26"/>
      <c r="W386" s="26"/>
      <c r="X386" s="26"/>
      <c r="Y386" s="26"/>
      <c r="Z386" s="26"/>
      <c r="AA386" s="29"/>
      <c r="AB386" s="29"/>
      <c r="AC386" s="16"/>
      <c r="AD386" s="16"/>
      <c r="AE386" s="17"/>
      <c r="AF386" s="17"/>
      <c r="AG386" s="17"/>
      <c r="AH386" s="17"/>
      <c r="AI386" s="19"/>
      <c r="AJ386" s="19"/>
      <c r="AK386" s="19"/>
      <c r="AL386" s="19"/>
      <c r="AM386" s="19"/>
      <c r="AN386" s="19"/>
      <c r="AO386" s="19"/>
      <c r="AP386" s="19"/>
      <c r="AQ386" s="19"/>
      <c r="AR386" s="19"/>
      <c r="AS386" s="19"/>
    </row>
    <row r="387" spans="2:45" s="2" customFormat="1">
      <c r="B387" s="22"/>
      <c r="C387" s="23"/>
      <c r="D387" s="24"/>
      <c r="E387" s="25"/>
      <c r="F387" s="26"/>
      <c r="G387" s="26"/>
      <c r="H387" s="26"/>
      <c r="I387" s="26"/>
      <c r="J387" s="26"/>
      <c r="K387" s="26"/>
      <c r="L387" s="26"/>
      <c r="M387" s="26"/>
      <c r="N387" s="26"/>
      <c r="O387" s="29"/>
      <c r="P387" s="26"/>
      <c r="Q387" s="26"/>
      <c r="R387" s="26"/>
      <c r="S387" s="26"/>
      <c r="T387" s="26"/>
      <c r="U387" s="26"/>
      <c r="V387" s="26"/>
      <c r="W387" s="26"/>
      <c r="X387" s="26"/>
      <c r="Y387" s="26"/>
      <c r="Z387" s="26"/>
      <c r="AA387" s="29"/>
      <c r="AB387" s="29"/>
      <c r="AC387" s="16"/>
      <c r="AD387" s="16"/>
      <c r="AE387" s="17"/>
      <c r="AF387" s="17"/>
      <c r="AG387" s="17"/>
      <c r="AH387" s="17"/>
      <c r="AI387" s="19"/>
      <c r="AJ387" s="19"/>
      <c r="AK387" s="19"/>
      <c r="AL387" s="19"/>
      <c r="AM387" s="19"/>
      <c r="AN387" s="19"/>
      <c r="AO387" s="19"/>
      <c r="AP387" s="19"/>
      <c r="AQ387" s="19"/>
      <c r="AR387" s="19"/>
      <c r="AS387" s="19"/>
    </row>
    <row r="388" spans="2:45" s="2" customFormat="1">
      <c r="B388" s="22"/>
      <c r="C388" s="23"/>
      <c r="D388" s="24"/>
      <c r="E388" s="25"/>
      <c r="F388" s="26"/>
      <c r="G388" s="26"/>
      <c r="H388" s="26"/>
      <c r="I388" s="26"/>
      <c r="J388" s="26"/>
      <c r="K388" s="26"/>
      <c r="L388" s="26"/>
      <c r="M388" s="26"/>
      <c r="N388" s="26"/>
      <c r="O388" s="29"/>
      <c r="P388" s="26"/>
      <c r="Q388" s="26"/>
      <c r="R388" s="26"/>
      <c r="S388" s="26"/>
      <c r="T388" s="26"/>
      <c r="U388" s="26"/>
      <c r="V388" s="26"/>
      <c r="W388" s="26"/>
      <c r="X388" s="26"/>
      <c r="Y388" s="26"/>
      <c r="Z388" s="26"/>
      <c r="AA388" s="29"/>
      <c r="AB388" s="29"/>
      <c r="AC388" s="16"/>
      <c r="AD388" s="16"/>
      <c r="AE388" s="17"/>
      <c r="AF388" s="17"/>
      <c r="AG388" s="17"/>
      <c r="AH388" s="17"/>
      <c r="AI388" s="19"/>
      <c r="AJ388" s="19"/>
      <c r="AK388" s="19"/>
      <c r="AL388" s="19"/>
      <c r="AM388" s="19"/>
      <c r="AN388" s="19"/>
      <c r="AO388" s="19"/>
      <c r="AP388" s="19"/>
      <c r="AQ388" s="19"/>
      <c r="AR388" s="19"/>
      <c r="AS388" s="19"/>
    </row>
    <row r="389" spans="2:45" s="2" customFormat="1">
      <c r="B389" s="22"/>
      <c r="C389" s="23"/>
      <c r="D389" s="24"/>
      <c r="E389" s="25"/>
      <c r="F389" s="26"/>
      <c r="G389" s="26"/>
      <c r="H389" s="26"/>
      <c r="I389" s="26"/>
      <c r="J389" s="26"/>
      <c r="K389" s="26"/>
      <c r="L389" s="26"/>
      <c r="M389" s="26"/>
      <c r="N389" s="26"/>
      <c r="O389" s="29"/>
      <c r="P389" s="26"/>
      <c r="Q389" s="26"/>
      <c r="R389" s="26"/>
      <c r="S389" s="26"/>
      <c r="T389" s="26"/>
      <c r="U389" s="26"/>
      <c r="V389" s="26"/>
      <c r="W389" s="26"/>
      <c r="X389" s="26"/>
      <c r="Y389" s="26"/>
      <c r="Z389" s="26"/>
      <c r="AA389" s="29"/>
      <c r="AB389" s="29"/>
      <c r="AC389" s="16"/>
      <c r="AD389" s="16"/>
      <c r="AE389" s="17"/>
      <c r="AF389" s="17"/>
      <c r="AG389" s="17"/>
      <c r="AH389" s="17"/>
      <c r="AI389" s="19"/>
      <c r="AJ389" s="19"/>
      <c r="AK389" s="19"/>
      <c r="AL389" s="19"/>
      <c r="AM389" s="19"/>
      <c r="AN389" s="19"/>
      <c r="AO389" s="19"/>
      <c r="AP389" s="19"/>
      <c r="AQ389" s="19"/>
      <c r="AR389" s="19"/>
      <c r="AS389" s="19"/>
    </row>
    <row r="390" spans="2:45" s="2" customFormat="1">
      <c r="B390" s="22"/>
      <c r="C390" s="23"/>
      <c r="D390" s="24"/>
      <c r="E390" s="25"/>
      <c r="F390" s="26"/>
      <c r="G390" s="26"/>
      <c r="H390" s="26"/>
      <c r="I390" s="26"/>
      <c r="J390" s="26"/>
      <c r="K390" s="26"/>
      <c r="L390" s="26"/>
      <c r="M390" s="26"/>
      <c r="N390" s="26"/>
      <c r="O390" s="29"/>
      <c r="P390" s="26"/>
      <c r="Q390" s="26"/>
      <c r="R390" s="26"/>
      <c r="S390" s="26"/>
      <c r="T390" s="26"/>
      <c r="U390" s="26"/>
      <c r="V390" s="26"/>
      <c r="W390" s="26"/>
      <c r="X390" s="26"/>
      <c r="Y390" s="26"/>
      <c r="Z390" s="26"/>
      <c r="AA390" s="29"/>
      <c r="AB390" s="29"/>
      <c r="AC390" s="16"/>
      <c r="AD390" s="16"/>
      <c r="AE390" s="17"/>
      <c r="AF390" s="17"/>
      <c r="AG390" s="17"/>
      <c r="AH390" s="17"/>
      <c r="AI390" s="19"/>
      <c r="AJ390" s="19"/>
      <c r="AK390" s="19"/>
      <c r="AL390" s="19"/>
      <c r="AM390" s="19"/>
      <c r="AN390" s="19"/>
      <c r="AO390" s="19"/>
      <c r="AP390" s="19"/>
      <c r="AQ390" s="19"/>
      <c r="AR390" s="19"/>
      <c r="AS390" s="19"/>
    </row>
    <row r="391" spans="2:45" s="2" customFormat="1">
      <c r="B391" s="22"/>
      <c r="C391" s="23"/>
      <c r="D391" s="24"/>
      <c r="E391" s="25"/>
      <c r="F391" s="26"/>
      <c r="G391" s="26"/>
      <c r="H391" s="26"/>
      <c r="I391" s="26"/>
      <c r="J391" s="26"/>
      <c r="K391" s="26"/>
      <c r="L391" s="26"/>
      <c r="M391" s="26"/>
      <c r="N391" s="26"/>
      <c r="O391" s="29"/>
      <c r="P391" s="26"/>
      <c r="Q391" s="26"/>
      <c r="R391" s="26"/>
      <c r="S391" s="26"/>
      <c r="T391" s="26"/>
      <c r="U391" s="26"/>
      <c r="V391" s="26"/>
      <c r="W391" s="26"/>
      <c r="X391" s="26"/>
      <c r="Y391" s="26"/>
      <c r="Z391" s="26"/>
      <c r="AA391" s="29"/>
      <c r="AB391" s="29"/>
      <c r="AC391" s="16"/>
      <c r="AD391" s="16"/>
      <c r="AE391" s="17"/>
      <c r="AF391" s="17"/>
      <c r="AG391" s="17"/>
      <c r="AH391" s="17"/>
      <c r="AI391" s="19"/>
      <c r="AJ391" s="19"/>
      <c r="AK391" s="19"/>
      <c r="AL391" s="19"/>
      <c r="AM391" s="19"/>
      <c r="AN391" s="19"/>
      <c r="AO391" s="19"/>
      <c r="AP391" s="19"/>
      <c r="AQ391" s="19"/>
      <c r="AR391" s="19"/>
      <c r="AS391" s="19"/>
    </row>
    <row r="392" spans="2:45" s="2" customFormat="1">
      <c r="B392" s="22"/>
      <c r="C392" s="23"/>
      <c r="D392" s="24"/>
      <c r="E392" s="25"/>
      <c r="F392" s="26"/>
      <c r="G392" s="26"/>
      <c r="H392" s="26"/>
      <c r="I392" s="26"/>
      <c r="J392" s="26"/>
      <c r="K392" s="26"/>
      <c r="L392" s="26"/>
      <c r="M392" s="26"/>
      <c r="N392" s="26"/>
      <c r="O392" s="29"/>
      <c r="P392" s="26"/>
      <c r="Q392" s="26"/>
      <c r="R392" s="26"/>
      <c r="S392" s="26"/>
      <c r="T392" s="26"/>
      <c r="U392" s="26"/>
      <c r="V392" s="26"/>
      <c r="W392" s="26"/>
      <c r="X392" s="26"/>
      <c r="Y392" s="26"/>
      <c r="Z392" s="26"/>
      <c r="AA392" s="29"/>
      <c r="AB392" s="29"/>
      <c r="AC392" s="16"/>
      <c r="AD392" s="16"/>
      <c r="AE392" s="17"/>
      <c r="AF392" s="17"/>
      <c r="AG392" s="17"/>
      <c r="AH392" s="17"/>
      <c r="AI392" s="19"/>
      <c r="AJ392" s="19"/>
      <c r="AK392" s="19"/>
      <c r="AL392" s="19"/>
      <c r="AM392" s="19"/>
      <c r="AN392" s="19"/>
      <c r="AO392" s="19"/>
      <c r="AP392" s="19"/>
      <c r="AQ392" s="19"/>
      <c r="AR392" s="19"/>
      <c r="AS392" s="19"/>
    </row>
    <row r="393" spans="2:45" s="2" customFormat="1">
      <c r="B393" s="22"/>
      <c r="C393" s="23"/>
      <c r="D393" s="24"/>
      <c r="E393" s="25"/>
      <c r="F393" s="26"/>
      <c r="G393" s="26"/>
      <c r="H393" s="26"/>
      <c r="I393" s="26"/>
      <c r="J393" s="26"/>
      <c r="K393" s="26"/>
      <c r="L393" s="26"/>
      <c r="M393" s="26"/>
      <c r="N393" s="26"/>
      <c r="O393" s="29"/>
      <c r="P393" s="26"/>
      <c r="Q393" s="26"/>
      <c r="R393" s="26"/>
      <c r="S393" s="26"/>
      <c r="T393" s="26"/>
      <c r="U393" s="26"/>
      <c r="V393" s="26"/>
      <c r="W393" s="26"/>
      <c r="X393" s="26"/>
      <c r="Y393" s="26"/>
      <c r="Z393" s="26"/>
      <c r="AA393" s="29"/>
      <c r="AB393" s="29"/>
      <c r="AC393" s="16"/>
      <c r="AD393" s="16"/>
      <c r="AE393" s="17"/>
      <c r="AF393" s="17"/>
      <c r="AG393" s="17"/>
      <c r="AH393" s="17"/>
      <c r="AI393" s="19"/>
      <c r="AJ393" s="19"/>
      <c r="AK393" s="19"/>
      <c r="AL393" s="19"/>
      <c r="AM393" s="19"/>
      <c r="AN393" s="19"/>
      <c r="AO393" s="19"/>
      <c r="AP393" s="19"/>
      <c r="AQ393" s="19"/>
      <c r="AR393" s="19"/>
      <c r="AS393" s="19"/>
    </row>
    <row r="394" spans="2:45" s="2" customFormat="1">
      <c r="B394" s="22"/>
      <c r="C394" s="23"/>
      <c r="D394" s="24"/>
      <c r="E394" s="25"/>
      <c r="F394" s="26"/>
      <c r="G394" s="26"/>
      <c r="H394" s="26"/>
      <c r="I394" s="26"/>
      <c r="J394" s="26"/>
      <c r="K394" s="26"/>
      <c r="L394" s="26"/>
      <c r="M394" s="26"/>
      <c r="N394" s="26"/>
      <c r="O394" s="29"/>
      <c r="P394" s="26"/>
      <c r="Q394" s="26"/>
      <c r="R394" s="26"/>
      <c r="S394" s="26"/>
      <c r="T394" s="26"/>
      <c r="U394" s="26"/>
      <c r="V394" s="26"/>
      <c r="W394" s="26"/>
      <c r="X394" s="26"/>
      <c r="Y394" s="26"/>
      <c r="Z394" s="26"/>
      <c r="AA394" s="29"/>
      <c r="AB394" s="29"/>
      <c r="AC394" s="16"/>
      <c r="AD394" s="16"/>
      <c r="AE394" s="17"/>
      <c r="AF394" s="17"/>
      <c r="AG394" s="17"/>
      <c r="AH394" s="17"/>
      <c r="AI394" s="19"/>
      <c r="AJ394" s="19"/>
      <c r="AK394" s="19"/>
      <c r="AL394" s="19"/>
      <c r="AM394" s="19"/>
      <c r="AN394" s="19"/>
      <c r="AO394" s="19"/>
      <c r="AP394" s="19"/>
      <c r="AQ394" s="19"/>
      <c r="AR394" s="19"/>
      <c r="AS394" s="19"/>
    </row>
    <row r="395" spans="2:45" s="2" customFormat="1">
      <c r="B395" s="22"/>
      <c r="C395" s="23"/>
      <c r="D395" s="24"/>
      <c r="E395" s="25"/>
      <c r="F395" s="26"/>
      <c r="G395" s="26"/>
      <c r="H395" s="26"/>
      <c r="I395" s="26"/>
      <c r="J395" s="26"/>
      <c r="K395" s="26"/>
      <c r="L395" s="26"/>
      <c r="M395" s="26"/>
      <c r="N395" s="26"/>
      <c r="O395" s="29"/>
      <c r="P395" s="26"/>
      <c r="Q395" s="26"/>
      <c r="R395" s="26"/>
      <c r="S395" s="26"/>
      <c r="T395" s="26"/>
      <c r="U395" s="26"/>
      <c r="V395" s="26"/>
      <c r="W395" s="26"/>
      <c r="X395" s="26"/>
      <c r="Y395" s="26"/>
      <c r="Z395" s="26"/>
      <c r="AA395" s="29"/>
      <c r="AB395" s="29"/>
      <c r="AC395" s="16"/>
      <c r="AD395" s="16"/>
      <c r="AE395" s="17"/>
      <c r="AF395" s="17"/>
      <c r="AG395" s="17"/>
      <c r="AH395" s="17"/>
      <c r="AI395" s="19"/>
      <c r="AJ395" s="19"/>
      <c r="AK395" s="19"/>
      <c r="AL395" s="19"/>
      <c r="AM395" s="19"/>
      <c r="AN395" s="19"/>
      <c r="AO395" s="19"/>
      <c r="AP395" s="19"/>
      <c r="AQ395" s="19"/>
      <c r="AR395" s="19"/>
      <c r="AS395" s="19"/>
    </row>
    <row r="396" spans="2:45" s="2" customFormat="1">
      <c r="B396" s="22"/>
      <c r="C396" s="23"/>
      <c r="D396" s="24"/>
      <c r="E396" s="25"/>
      <c r="F396" s="26"/>
      <c r="G396" s="26"/>
      <c r="H396" s="26"/>
      <c r="I396" s="26"/>
      <c r="J396" s="26"/>
      <c r="K396" s="26"/>
      <c r="L396" s="26"/>
      <c r="M396" s="26"/>
      <c r="N396" s="26"/>
      <c r="O396" s="29"/>
      <c r="P396" s="26"/>
      <c r="Q396" s="26"/>
      <c r="R396" s="26"/>
      <c r="S396" s="26"/>
      <c r="T396" s="26"/>
      <c r="U396" s="26"/>
      <c r="V396" s="26"/>
      <c r="W396" s="26"/>
      <c r="X396" s="26"/>
      <c r="Y396" s="26"/>
      <c r="Z396" s="26"/>
      <c r="AA396" s="29"/>
      <c r="AB396" s="29"/>
      <c r="AC396" s="16"/>
      <c r="AD396" s="16"/>
      <c r="AE396" s="17"/>
      <c r="AF396" s="17"/>
      <c r="AG396" s="17"/>
      <c r="AH396" s="17"/>
      <c r="AI396" s="19"/>
      <c r="AJ396" s="19"/>
      <c r="AK396" s="19"/>
      <c r="AL396" s="19"/>
      <c r="AM396" s="19"/>
      <c r="AN396" s="19"/>
      <c r="AO396" s="19"/>
      <c r="AP396" s="19"/>
      <c r="AQ396" s="19"/>
      <c r="AR396" s="19"/>
      <c r="AS396" s="19"/>
    </row>
    <row r="397" spans="2:45" s="2" customFormat="1">
      <c r="B397" s="22"/>
      <c r="C397" s="23"/>
      <c r="D397" s="24"/>
      <c r="E397" s="25"/>
      <c r="F397" s="26"/>
      <c r="G397" s="26"/>
      <c r="H397" s="26"/>
      <c r="I397" s="26"/>
      <c r="J397" s="26"/>
      <c r="K397" s="26"/>
      <c r="L397" s="26"/>
      <c r="M397" s="26"/>
      <c r="N397" s="26"/>
      <c r="O397" s="29"/>
      <c r="P397" s="26"/>
      <c r="Q397" s="26"/>
      <c r="R397" s="26"/>
      <c r="S397" s="26"/>
      <c r="T397" s="26"/>
      <c r="U397" s="26"/>
      <c r="V397" s="26"/>
      <c r="W397" s="26"/>
      <c r="X397" s="26"/>
      <c r="Y397" s="26"/>
      <c r="Z397" s="26"/>
      <c r="AA397" s="29"/>
      <c r="AB397" s="29"/>
      <c r="AC397" s="16"/>
      <c r="AD397" s="16"/>
      <c r="AE397" s="17"/>
      <c r="AF397" s="17"/>
      <c r="AG397" s="17"/>
      <c r="AH397" s="17"/>
      <c r="AI397" s="19"/>
      <c r="AJ397" s="19"/>
      <c r="AK397" s="19"/>
      <c r="AL397" s="19"/>
      <c r="AM397" s="19"/>
      <c r="AN397" s="19"/>
      <c r="AO397" s="19"/>
      <c r="AP397" s="19"/>
      <c r="AQ397" s="19"/>
      <c r="AR397" s="19"/>
      <c r="AS397" s="19"/>
    </row>
    <row r="398" spans="2:45" s="2" customFormat="1">
      <c r="B398" s="22"/>
      <c r="C398" s="23"/>
      <c r="D398" s="24"/>
      <c r="E398" s="25"/>
      <c r="F398" s="26"/>
      <c r="G398" s="26"/>
      <c r="H398" s="26"/>
      <c r="I398" s="26"/>
      <c r="J398" s="26"/>
      <c r="K398" s="26"/>
      <c r="L398" s="26"/>
      <c r="M398" s="26"/>
      <c r="N398" s="26"/>
      <c r="O398" s="29"/>
      <c r="P398" s="26"/>
      <c r="Q398" s="26"/>
      <c r="R398" s="26"/>
      <c r="S398" s="26"/>
      <c r="T398" s="26"/>
      <c r="U398" s="26"/>
      <c r="V398" s="26"/>
      <c r="W398" s="26"/>
      <c r="X398" s="26"/>
      <c r="Y398" s="26"/>
      <c r="Z398" s="26"/>
      <c r="AA398" s="29"/>
      <c r="AB398" s="29"/>
      <c r="AC398" s="16"/>
      <c r="AD398" s="16"/>
      <c r="AE398" s="17"/>
      <c r="AF398" s="17"/>
      <c r="AG398" s="17"/>
      <c r="AH398" s="17"/>
      <c r="AI398" s="19"/>
      <c r="AJ398" s="19"/>
      <c r="AK398" s="19"/>
      <c r="AL398" s="19"/>
      <c r="AM398" s="19"/>
      <c r="AN398" s="19"/>
      <c r="AO398" s="19"/>
      <c r="AP398" s="19"/>
      <c r="AQ398" s="19"/>
      <c r="AR398" s="19"/>
      <c r="AS398" s="19"/>
    </row>
    <row r="399" spans="2:45" s="2" customFormat="1">
      <c r="B399" s="22"/>
      <c r="C399" s="23"/>
      <c r="D399" s="24"/>
      <c r="E399" s="25"/>
      <c r="F399" s="26"/>
      <c r="G399" s="26"/>
      <c r="H399" s="26"/>
      <c r="I399" s="26"/>
      <c r="J399" s="26"/>
      <c r="K399" s="26"/>
      <c r="L399" s="26"/>
      <c r="M399" s="26"/>
      <c r="N399" s="26"/>
      <c r="O399" s="29"/>
      <c r="P399" s="26"/>
      <c r="Q399" s="26"/>
      <c r="R399" s="26"/>
      <c r="S399" s="26"/>
      <c r="T399" s="26"/>
      <c r="U399" s="26"/>
      <c r="V399" s="26"/>
      <c r="W399" s="26"/>
      <c r="X399" s="26"/>
      <c r="Y399" s="26"/>
      <c r="Z399" s="26"/>
      <c r="AA399" s="29"/>
      <c r="AB399" s="29"/>
      <c r="AC399" s="16"/>
      <c r="AD399" s="16"/>
      <c r="AE399" s="17"/>
      <c r="AF399" s="17"/>
      <c r="AG399" s="17"/>
      <c r="AH399" s="17"/>
      <c r="AI399" s="19"/>
      <c r="AJ399" s="19"/>
      <c r="AK399" s="19"/>
      <c r="AL399" s="19"/>
      <c r="AM399" s="19"/>
      <c r="AN399" s="19"/>
      <c r="AO399" s="19"/>
      <c r="AP399" s="19"/>
      <c r="AQ399" s="19"/>
      <c r="AR399" s="19"/>
      <c r="AS399" s="19"/>
    </row>
    <row r="400" spans="2:45" s="2" customFormat="1">
      <c r="B400" s="22"/>
      <c r="C400" s="23"/>
      <c r="D400" s="24"/>
      <c r="E400" s="25"/>
      <c r="F400" s="26"/>
      <c r="G400" s="26"/>
      <c r="H400" s="26"/>
      <c r="I400" s="26"/>
      <c r="J400" s="26"/>
      <c r="K400" s="26"/>
      <c r="L400" s="26"/>
      <c r="M400" s="26"/>
      <c r="N400" s="26"/>
      <c r="O400" s="29"/>
      <c r="P400" s="26"/>
      <c r="Q400" s="26"/>
      <c r="R400" s="26"/>
      <c r="S400" s="26"/>
      <c r="T400" s="26"/>
      <c r="U400" s="26"/>
      <c r="V400" s="26"/>
      <c r="W400" s="26"/>
      <c r="X400" s="26"/>
      <c r="Y400" s="26"/>
      <c r="Z400" s="26"/>
      <c r="AA400" s="29"/>
      <c r="AB400" s="29"/>
      <c r="AC400" s="16"/>
      <c r="AD400" s="16"/>
      <c r="AE400" s="17"/>
      <c r="AF400" s="17"/>
      <c r="AG400" s="17"/>
      <c r="AH400" s="17"/>
      <c r="AI400" s="19"/>
      <c r="AJ400" s="19"/>
      <c r="AK400" s="19"/>
      <c r="AL400" s="19"/>
      <c r="AM400" s="19"/>
      <c r="AN400" s="19"/>
      <c r="AO400" s="19"/>
      <c r="AP400" s="19"/>
      <c r="AQ400" s="19"/>
      <c r="AR400" s="19"/>
      <c r="AS400" s="19"/>
    </row>
    <row r="401" spans="2:45" s="2" customFormat="1">
      <c r="B401" s="22"/>
      <c r="C401" s="23"/>
      <c r="D401" s="24"/>
      <c r="E401" s="25"/>
      <c r="F401" s="26"/>
      <c r="G401" s="26"/>
      <c r="H401" s="26"/>
      <c r="I401" s="26"/>
      <c r="J401" s="26"/>
      <c r="K401" s="26"/>
      <c r="L401" s="26"/>
      <c r="M401" s="26"/>
      <c r="N401" s="26"/>
      <c r="O401" s="29"/>
      <c r="P401" s="26"/>
      <c r="Q401" s="26"/>
      <c r="R401" s="26"/>
      <c r="S401" s="26"/>
      <c r="T401" s="26"/>
      <c r="U401" s="26"/>
      <c r="V401" s="26"/>
      <c r="W401" s="26"/>
      <c r="X401" s="26"/>
      <c r="Y401" s="26"/>
      <c r="Z401" s="26"/>
      <c r="AA401" s="29"/>
      <c r="AB401" s="29"/>
      <c r="AC401" s="16"/>
      <c r="AD401" s="16"/>
      <c r="AE401" s="17"/>
      <c r="AF401" s="17"/>
      <c r="AG401" s="17"/>
      <c r="AH401" s="17"/>
      <c r="AI401" s="19"/>
      <c r="AJ401" s="19"/>
      <c r="AK401" s="19"/>
      <c r="AL401" s="19"/>
      <c r="AM401" s="19"/>
      <c r="AN401" s="19"/>
      <c r="AO401" s="19"/>
      <c r="AP401" s="19"/>
      <c r="AQ401" s="19"/>
      <c r="AR401" s="19"/>
      <c r="AS401" s="19"/>
    </row>
    <row r="402" spans="2:45" s="2" customFormat="1">
      <c r="B402" s="22"/>
      <c r="C402" s="23"/>
      <c r="D402" s="24"/>
      <c r="E402" s="25"/>
      <c r="F402" s="26"/>
      <c r="G402" s="26"/>
      <c r="H402" s="26"/>
      <c r="I402" s="26"/>
      <c r="J402" s="26"/>
      <c r="K402" s="26"/>
      <c r="L402" s="26"/>
      <c r="M402" s="26"/>
      <c r="N402" s="26"/>
      <c r="O402" s="29"/>
      <c r="P402" s="26"/>
      <c r="Q402" s="26"/>
      <c r="R402" s="26"/>
      <c r="S402" s="26"/>
      <c r="T402" s="26"/>
      <c r="U402" s="26"/>
      <c r="V402" s="26"/>
      <c r="W402" s="26"/>
      <c r="X402" s="26"/>
      <c r="Y402" s="26"/>
      <c r="Z402" s="26"/>
      <c r="AA402" s="29"/>
      <c r="AB402" s="29"/>
      <c r="AC402" s="16"/>
      <c r="AD402" s="16"/>
      <c r="AE402" s="17"/>
      <c r="AF402" s="17"/>
      <c r="AG402" s="17"/>
      <c r="AH402" s="17"/>
      <c r="AI402" s="19"/>
      <c r="AJ402" s="19"/>
      <c r="AK402" s="19"/>
      <c r="AL402" s="19"/>
      <c r="AM402" s="19"/>
      <c r="AN402" s="19"/>
      <c r="AO402" s="19"/>
      <c r="AP402" s="19"/>
      <c r="AQ402" s="19"/>
      <c r="AR402" s="19"/>
      <c r="AS402" s="19"/>
    </row>
    <row r="403" spans="2:45" s="2" customFormat="1">
      <c r="B403" s="22"/>
      <c r="C403" s="23"/>
      <c r="D403" s="24"/>
      <c r="E403" s="25"/>
      <c r="F403" s="26"/>
      <c r="G403" s="26"/>
      <c r="H403" s="26"/>
      <c r="I403" s="26"/>
      <c r="J403" s="26"/>
      <c r="K403" s="26"/>
      <c r="L403" s="26"/>
      <c r="M403" s="26"/>
      <c r="N403" s="26"/>
      <c r="O403" s="29"/>
      <c r="P403" s="26"/>
      <c r="Q403" s="26"/>
      <c r="R403" s="26"/>
      <c r="S403" s="26"/>
      <c r="T403" s="26"/>
      <c r="U403" s="26"/>
      <c r="V403" s="26"/>
      <c r="W403" s="26"/>
      <c r="X403" s="26"/>
      <c r="Y403" s="26"/>
      <c r="Z403" s="26"/>
      <c r="AA403" s="29"/>
      <c r="AB403" s="29"/>
      <c r="AC403" s="16"/>
      <c r="AD403" s="16"/>
      <c r="AE403" s="17"/>
      <c r="AF403" s="17"/>
      <c r="AG403" s="17"/>
      <c r="AH403" s="17"/>
      <c r="AI403" s="19"/>
      <c r="AJ403" s="19"/>
      <c r="AK403" s="19"/>
      <c r="AL403" s="19"/>
      <c r="AM403" s="19"/>
      <c r="AN403" s="19"/>
      <c r="AO403" s="19"/>
      <c r="AP403" s="19"/>
      <c r="AQ403" s="19"/>
      <c r="AR403" s="19"/>
      <c r="AS403" s="19"/>
    </row>
    <row r="404" spans="2:45" s="2" customFormat="1">
      <c r="B404" s="22"/>
      <c r="C404" s="23"/>
      <c r="D404" s="24"/>
      <c r="E404" s="25"/>
      <c r="F404" s="26"/>
      <c r="G404" s="26"/>
      <c r="H404" s="26"/>
      <c r="I404" s="26"/>
      <c r="J404" s="26"/>
      <c r="K404" s="26"/>
      <c r="L404" s="26"/>
      <c r="M404" s="26"/>
      <c r="N404" s="26"/>
      <c r="O404" s="29"/>
      <c r="P404" s="26"/>
      <c r="Q404" s="26"/>
      <c r="R404" s="26"/>
      <c r="S404" s="26"/>
      <c r="T404" s="26"/>
      <c r="U404" s="26"/>
      <c r="V404" s="26"/>
      <c r="W404" s="26"/>
      <c r="X404" s="26"/>
      <c r="Y404" s="26"/>
      <c r="Z404" s="26"/>
      <c r="AA404" s="29"/>
      <c r="AB404" s="29"/>
      <c r="AC404" s="16"/>
      <c r="AD404" s="16"/>
      <c r="AE404" s="17"/>
      <c r="AF404" s="17"/>
      <c r="AG404" s="17"/>
      <c r="AH404" s="17"/>
      <c r="AI404" s="19"/>
      <c r="AJ404" s="19"/>
      <c r="AK404" s="19"/>
      <c r="AL404" s="19"/>
      <c r="AM404" s="19"/>
      <c r="AN404" s="19"/>
      <c r="AO404" s="19"/>
      <c r="AP404" s="19"/>
      <c r="AQ404" s="19"/>
      <c r="AR404" s="19"/>
      <c r="AS404" s="19"/>
    </row>
    <row r="405" spans="2:45" s="2" customFormat="1">
      <c r="B405" s="22"/>
      <c r="C405" s="23"/>
      <c r="D405" s="24"/>
      <c r="E405" s="25"/>
      <c r="F405" s="26"/>
      <c r="G405" s="26"/>
      <c r="H405" s="26"/>
      <c r="I405" s="26"/>
      <c r="J405" s="26"/>
      <c r="K405" s="26"/>
      <c r="L405" s="26"/>
      <c r="M405" s="26"/>
      <c r="N405" s="26"/>
      <c r="O405" s="29"/>
      <c r="P405" s="26"/>
      <c r="Q405" s="26"/>
      <c r="R405" s="26"/>
      <c r="S405" s="26"/>
      <c r="T405" s="26"/>
      <c r="U405" s="26"/>
      <c r="V405" s="26"/>
      <c r="W405" s="26"/>
      <c r="X405" s="26"/>
      <c r="Y405" s="26"/>
      <c r="Z405" s="26"/>
      <c r="AA405" s="29"/>
      <c r="AB405" s="29"/>
      <c r="AC405" s="16"/>
      <c r="AD405" s="16"/>
      <c r="AE405" s="17"/>
      <c r="AF405" s="17"/>
      <c r="AG405" s="17"/>
      <c r="AH405" s="17"/>
      <c r="AI405" s="19"/>
      <c r="AJ405" s="19"/>
      <c r="AK405" s="19"/>
      <c r="AL405" s="19"/>
      <c r="AM405" s="19"/>
      <c r="AN405" s="19"/>
      <c r="AO405" s="19"/>
      <c r="AP405" s="19"/>
      <c r="AQ405" s="19"/>
      <c r="AR405" s="19"/>
      <c r="AS405" s="19"/>
    </row>
    <row r="406" spans="2:45" s="2" customFormat="1">
      <c r="B406" s="22"/>
      <c r="C406" s="23"/>
      <c r="D406" s="24"/>
      <c r="E406" s="25"/>
      <c r="F406" s="26"/>
      <c r="G406" s="26"/>
      <c r="H406" s="26"/>
      <c r="I406" s="26"/>
      <c r="J406" s="26"/>
      <c r="K406" s="26"/>
      <c r="L406" s="26"/>
      <c r="M406" s="26"/>
      <c r="N406" s="26"/>
      <c r="O406" s="29"/>
      <c r="P406" s="26"/>
      <c r="Q406" s="26"/>
      <c r="R406" s="26"/>
      <c r="S406" s="26"/>
      <c r="T406" s="26"/>
      <c r="U406" s="26"/>
      <c r="V406" s="26"/>
      <c r="W406" s="26"/>
      <c r="X406" s="26"/>
      <c r="Y406" s="26"/>
      <c r="Z406" s="26"/>
      <c r="AA406" s="29"/>
      <c r="AB406" s="29"/>
      <c r="AC406" s="16"/>
      <c r="AD406" s="16"/>
      <c r="AE406" s="17"/>
      <c r="AF406" s="17"/>
      <c r="AG406" s="17"/>
      <c r="AH406" s="17"/>
      <c r="AI406" s="19"/>
      <c r="AJ406" s="19"/>
      <c r="AK406" s="19"/>
      <c r="AL406" s="19"/>
      <c r="AM406" s="19"/>
      <c r="AN406" s="19"/>
      <c r="AO406" s="19"/>
      <c r="AP406" s="19"/>
      <c r="AQ406" s="19"/>
      <c r="AR406" s="19"/>
      <c r="AS406" s="19"/>
    </row>
    <row r="407" spans="2:45" s="2" customFormat="1">
      <c r="B407" s="22"/>
      <c r="C407" s="23"/>
      <c r="D407" s="24"/>
      <c r="E407" s="25"/>
      <c r="F407" s="26"/>
      <c r="G407" s="26"/>
      <c r="H407" s="26"/>
      <c r="I407" s="26"/>
      <c r="J407" s="26"/>
      <c r="K407" s="26"/>
      <c r="L407" s="26"/>
      <c r="M407" s="26"/>
      <c r="N407" s="26"/>
      <c r="O407" s="29"/>
      <c r="P407" s="26"/>
      <c r="Q407" s="26"/>
      <c r="R407" s="26"/>
      <c r="S407" s="26"/>
      <c r="T407" s="26"/>
      <c r="U407" s="26"/>
      <c r="V407" s="26"/>
      <c r="W407" s="26"/>
      <c r="X407" s="26"/>
      <c r="Y407" s="26"/>
      <c r="Z407" s="26"/>
      <c r="AA407" s="29"/>
      <c r="AB407" s="29"/>
      <c r="AC407" s="16"/>
      <c r="AD407" s="16"/>
      <c r="AE407" s="17"/>
      <c r="AF407" s="17"/>
      <c r="AG407" s="17"/>
      <c r="AH407" s="17"/>
      <c r="AI407" s="19"/>
      <c r="AJ407" s="19"/>
      <c r="AK407" s="19"/>
      <c r="AL407" s="19"/>
      <c r="AM407" s="19"/>
      <c r="AN407" s="19"/>
      <c r="AO407" s="19"/>
      <c r="AP407" s="19"/>
      <c r="AQ407" s="19"/>
      <c r="AR407" s="19"/>
      <c r="AS407" s="19"/>
    </row>
    <row r="408" spans="2:45" s="2" customFormat="1">
      <c r="B408" s="22"/>
      <c r="C408" s="23"/>
      <c r="D408" s="24"/>
      <c r="E408" s="25"/>
      <c r="F408" s="26"/>
      <c r="G408" s="26"/>
      <c r="H408" s="26"/>
      <c r="I408" s="26"/>
      <c r="J408" s="26"/>
      <c r="K408" s="26"/>
      <c r="L408" s="26"/>
      <c r="M408" s="26"/>
      <c r="N408" s="26"/>
      <c r="O408" s="29"/>
      <c r="P408" s="26"/>
      <c r="Q408" s="26"/>
      <c r="R408" s="26"/>
      <c r="S408" s="26"/>
      <c r="T408" s="26"/>
      <c r="U408" s="26"/>
      <c r="V408" s="26"/>
      <c r="W408" s="26"/>
      <c r="X408" s="26"/>
      <c r="Y408" s="26"/>
      <c r="Z408" s="26"/>
      <c r="AA408" s="29"/>
      <c r="AB408" s="29"/>
      <c r="AC408" s="16"/>
      <c r="AD408" s="16"/>
      <c r="AE408" s="17"/>
      <c r="AF408" s="17"/>
      <c r="AG408" s="17"/>
      <c r="AH408" s="17"/>
      <c r="AI408" s="19"/>
      <c r="AJ408" s="19"/>
      <c r="AK408" s="19"/>
      <c r="AL408" s="19"/>
      <c r="AM408" s="19"/>
      <c r="AN408" s="19"/>
      <c r="AO408" s="19"/>
      <c r="AP408" s="19"/>
      <c r="AQ408" s="19"/>
      <c r="AR408" s="19"/>
      <c r="AS408" s="19"/>
    </row>
    <row r="409" spans="2:45" s="2" customFormat="1">
      <c r="B409" s="22"/>
      <c r="C409" s="23"/>
      <c r="D409" s="24"/>
      <c r="E409" s="25"/>
      <c r="F409" s="26"/>
      <c r="G409" s="26"/>
      <c r="H409" s="26"/>
      <c r="I409" s="26"/>
      <c r="J409" s="26"/>
      <c r="K409" s="26"/>
      <c r="L409" s="26"/>
      <c r="M409" s="26"/>
      <c r="N409" s="26"/>
      <c r="O409" s="29"/>
      <c r="P409" s="26"/>
      <c r="Q409" s="26"/>
      <c r="R409" s="26"/>
      <c r="S409" s="26"/>
      <c r="T409" s="26"/>
      <c r="U409" s="26"/>
      <c r="V409" s="26"/>
      <c r="W409" s="26"/>
      <c r="X409" s="26"/>
      <c r="Y409" s="26"/>
      <c r="Z409" s="26"/>
      <c r="AA409" s="29"/>
      <c r="AB409" s="29"/>
      <c r="AC409" s="16"/>
      <c r="AD409" s="16"/>
      <c r="AE409" s="17"/>
      <c r="AF409" s="17"/>
      <c r="AG409" s="17"/>
      <c r="AH409" s="17"/>
      <c r="AI409" s="19"/>
      <c r="AJ409" s="19"/>
      <c r="AK409" s="19"/>
      <c r="AL409" s="19"/>
      <c r="AM409" s="19"/>
      <c r="AN409" s="19"/>
      <c r="AO409" s="19"/>
      <c r="AP409" s="19"/>
      <c r="AQ409" s="19"/>
      <c r="AR409" s="19"/>
      <c r="AS409" s="19"/>
    </row>
    <row r="410" spans="2:45" s="2" customFormat="1">
      <c r="B410" s="22"/>
      <c r="C410" s="23"/>
      <c r="D410" s="24"/>
      <c r="E410" s="25"/>
      <c r="F410" s="26"/>
      <c r="G410" s="26"/>
      <c r="H410" s="26"/>
      <c r="I410" s="26"/>
      <c r="J410" s="26"/>
      <c r="K410" s="26"/>
      <c r="L410" s="26"/>
      <c r="M410" s="26"/>
      <c r="N410" s="26"/>
      <c r="O410" s="29"/>
      <c r="P410" s="26"/>
      <c r="Q410" s="26"/>
      <c r="R410" s="26"/>
      <c r="S410" s="26"/>
      <c r="T410" s="26"/>
      <c r="U410" s="26"/>
      <c r="V410" s="26"/>
      <c r="W410" s="26"/>
      <c r="X410" s="26"/>
      <c r="Y410" s="26"/>
      <c r="Z410" s="26"/>
      <c r="AA410" s="29"/>
      <c r="AB410" s="29"/>
      <c r="AC410" s="16"/>
      <c r="AD410" s="16"/>
      <c r="AE410" s="17"/>
      <c r="AF410" s="17"/>
      <c r="AG410" s="17"/>
      <c r="AH410" s="17"/>
      <c r="AI410" s="19"/>
      <c r="AJ410" s="19"/>
      <c r="AK410" s="19"/>
      <c r="AL410" s="19"/>
      <c r="AM410" s="19"/>
      <c r="AN410" s="19"/>
      <c r="AO410" s="19"/>
      <c r="AP410" s="19"/>
      <c r="AQ410" s="19"/>
      <c r="AR410" s="19"/>
      <c r="AS410" s="19"/>
    </row>
    <row r="411" spans="2:45" s="2" customFormat="1">
      <c r="B411" s="22"/>
      <c r="C411" s="23"/>
      <c r="D411" s="24"/>
      <c r="E411" s="25"/>
      <c r="F411" s="26"/>
      <c r="G411" s="26"/>
      <c r="H411" s="26"/>
      <c r="I411" s="26"/>
      <c r="J411" s="26"/>
      <c r="K411" s="26"/>
      <c r="L411" s="26"/>
      <c r="M411" s="26"/>
      <c r="N411" s="26"/>
      <c r="O411" s="29"/>
      <c r="P411" s="26"/>
      <c r="Q411" s="26"/>
      <c r="R411" s="26"/>
      <c r="S411" s="26"/>
      <c r="T411" s="26"/>
      <c r="U411" s="26"/>
      <c r="V411" s="26"/>
      <c r="W411" s="26"/>
      <c r="X411" s="26"/>
      <c r="Y411" s="26"/>
      <c r="Z411" s="26"/>
      <c r="AA411" s="29"/>
      <c r="AB411" s="29"/>
      <c r="AC411" s="16"/>
      <c r="AD411" s="16"/>
      <c r="AE411" s="17"/>
      <c r="AF411" s="17"/>
      <c r="AG411" s="17"/>
      <c r="AH411" s="17"/>
      <c r="AI411" s="19"/>
      <c r="AJ411" s="19"/>
      <c r="AK411" s="19"/>
      <c r="AL411" s="19"/>
      <c r="AM411" s="19"/>
      <c r="AN411" s="19"/>
      <c r="AO411" s="19"/>
      <c r="AP411" s="19"/>
      <c r="AQ411" s="19"/>
      <c r="AR411" s="19"/>
      <c r="AS411" s="19"/>
    </row>
    <row r="412" spans="2:45" s="2" customFormat="1">
      <c r="B412" s="22"/>
      <c r="C412" s="23"/>
      <c r="D412" s="24"/>
      <c r="E412" s="25"/>
      <c r="F412" s="26"/>
      <c r="G412" s="26"/>
      <c r="H412" s="26"/>
      <c r="I412" s="26"/>
      <c r="J412" s="26"/>
      <c r="K412" s="26"/>
      <c r="L412" s="26"/>
      <c r="M412" s="26"/>
      <c r="N412" s="26"/>
      <c r="O412" s="29"/>
      <c r="P412" s="26"/>
      <c r="Q412" s="26"/>
      <c r="R412" s="26"/>
      <c r="S412" s="26"/>
      <c r="T412" s="26"/>
      <c r="U412" s="26"/>
      <c r="V412" s="26"/>
      <c r="W412" s="26"/>
      <c r="X412" s="26"/>
      <c r="Y412" s="26"/>
      <c r="Z412" s="26"/>
      <c r="AA412" s="29"/>
      <c r="AB412" s="29"/>
      <c r="AC412" s="16"/>
      <c r="AD412" s="16"/>
      <c r="AE412" s="17"/>
      <c r="AF412" s="17"/>
      <c r="AG412" s="17"/>
      <c r="AH412" s="17"/>
      <c r="AI412" s="19"/>
      <c r="AJ412" s="19"/>
      <c r="AK412" s="19"/>
      <c r="AL412" s="19"/>
      <c r="AM412" s="19"/>
      <c r="AN412" s="19"/>
      <c r="AO412" s="19"/>
      <c r="AP412" s="19"/>
      <c r="AQ412" s="19"/>
      <c r="AR412" s="19"/>
      <c r="AS412" s="19"/>
    </row>
    <row r="413" spans="2:45" s="2" customFormat="1">
      <c r="B413" s="22"/>
      <c r="C413" s="23"/>
      <c r="D413" s="24"/>
      <c r="E413" s="25"/>
      <c r="F413" s="26"/>
      <c r="G413" s="26"/>
      <c r="H413" s="26"/>
      <c r="I413" s="26"/>
      <c r="J413" s="26"/>
      <c r="K413" s="26"/>
      <c r="L413" s="26"/>
      <c r="M413" s="26"/>
      <c r="N413" s="26"/>
      <c r="O413" s="29"/>
      <c r="P413" s="26"/>
      <c r="Q413" s="26"/>
      <c r="R413" s="26"/>
      <c r="S413" s="26"/>
      <c r="T413" s="26"/>
      <c r="U413" s="26"/>
      <c r="V413" s="26"/>
      <c r="W413" s="26"/>
      <c r="X413" s="26"/>
      <c r="Y413" s="26"/>
      <c r="Z413" s="26"/>
      <c r="AA413" s="29"/>
      <c r="AB413" s="29"/>
      <c r="AC413" s="16"/>
      <c r="AD413" s="16"/>
      <c r="AE413" s="17"/>
      <c r="AF413" s="17"/>
      <c r="AG413" s="17"/>
      <c r="AH413" s="17"/>
      <c r="AI413" s="19"/>
      <c r="AJ413" s="19"/>
      <c r="AK413" s="19"/>
      <c r="AL413" s="19"/>
      <c r="AM413" s="19"/>
      <c r="AN413" s="19"/>
      <c r="AO413" s="19"/>
      <c r="AP413" s="19"/>
      <c r="AQ413" s="19"/>
      <c r="AR413" s="19"/>
      <c r="AS413" s="19"/>
    </row>
    <row r="414" spans="2:45" s="2" customFormat="1">
      <c r="B414" s="22"/>
      <c r="C414" s="23"/>
      <c r="D414" s="24"/>
      <c r="E414" s="25"/>
      <c r="F414" s="26"/>
      <c r="G414" s="26"/>
      <c r="H414" s="26"/>
      <c r="I414" s="26"/>
      <c r="J414" s="26"/>
      <c r="K414" s="26"/>
      <c r="L414" s="26"/>
      <c r="M414" s="26"/>
      <c r="N414" s="26"/>
      <c r="O414" s="29"/>
      <c r="P414" s="26"/>
      <c r="Q414" s="26"/>
      <c r="R414" s="26"/>
      <c r="S414" s="26"/>
      <c r="T414" s="26"/>
      <c r="U414" s="26"/>
      <c r="V414" s="26"/>
      <c r="W414" s="26"/>
      <c r="X414" s="26"/>
      <c r="Y414" s="26"/>
      <c r="Z414" s="26"/>
      <c r="AA414" s="29"/>
      <c r="AB414" s="29"/>
      <c r="AC414" s="16"/>
      <c r="AD414" s="16"/>
      <c r="AE414" s="17"/>
      <c r="AF414" s="17"/>
      <c r="AG414" s="17"/>
      <c r="AH414" s="17"/>
      <c r="AI414" s="19"/>
      <c r="AJ414" s="19"/>
      <c r="AK414" s="19"/>
      <c r="AL414" s="19"/>
      <c r="AM414" s="19"/>
      <c r="AN414" s="19"/>
      <c r="AO414" s="19"/>
      <c r="AP414" s="19"/>
      <c r="AQ414" s="19"/>
      <c r="AR414" s="19"/>
      <c r="AS414" s="19"/>
    </row>
    <row r="415" spans="2:45" s="2" customFormat="1">
      <c r="B415" s="22"/>
      <c r="C415" s="23"/>
      <c r="D415" s="24"/>
      <c r="E415" s="25"/>
      <c r="F415" s="26"/>
      <c r="G415" s="26"/>
      <c r="H415" s="26"/>
      <c r="I415" s="26"/>
      <c r="J415" s="26"/>
      <c r="K415" s="26"/>
      <c r="L415" s="26"/>
      <c r="M415" s="26"/>
      <c r="N415" s="26"/>
      <c r="O415" s="29"/>
      <c r="P415" s="26"/>
      <c r="Q415" s="26"/>
      <c r="R415" s="26"/>
      <c r="S415" s="26"/>
      <c r="T415" s="26"/>
      <c r="U415" s="26"/>
      <c r="V415" s="26"/>
      <c r="W415" s="26"/>
      <c r="X415" s="26"/>
      <c r="Y415" s="26"/>
      <c r="Z415" s="26"/>
      <c r="AA415" s="29"/>
      <c r="AB415" s="29"/>
      <c r="AC415" s="16"/>
      <c r="AD415" s="16"/>
      <c r="AE415" s="17"/>
      <c r="AF415" s="17"/>
      <c r="AG415" s="17"/>
      <c r="AH415" s="17"/>
      <c r="AI415" s="19"/>
      <c r="AJ415" s="19"/>
      <c r="AK415" s="19"/>
      <c r="AL415" s="19"/>
      <c r="AM415" s="19"/>
      <c r="AN415" s="19"/>
      <c r="AO415" s="19"/>
      <c r="AP415" s="19"/>
      <c r="AQ415" s="19"/>
      <c r="AR415" s="19"/>
      <c r="AS415" s="19"/>
    </row>
    <row r="416" spans="2:45" s="2" customFormat="1">
      <c r="B416" s="22"/>
      <c r="C416" s="23"/>
      <c r="D416" s="24"/>
      <c r="E416" s="25"/>
      <c r="F416" s="26"/>
      <c r="G416" s="26"/>
      <c r="H416" s="26"/>
      <c r="I416" s="26"/>
      <c r="J416" s="26"/>
      <c r="K416" s="26"/>
      <c r="L416" s="26"/>
      <c r="M416" s="26"/>
      <c r="N416" s="26"/>
      <c r="O416" s="29"/>
      <c r="P416" s="26"/>
      <c r="Q416" s="26"/>
      <c r="R416" s="26"/>
      <c r="S416" s="26"/>
      <c r="T416" s="26"/>
      <c r="U416" s="26"/>
      <c r="V416" s="26"/>
      <c r="W416" s="26"/>
      <c r="X416" s="26"/>
      <c r="Y416" s="26"/>
      <c r="Z416" s="26"/>
      <c r="AA416" s="29"/>
      <c r="AB416" s="29"/>
      <c r="AC416" s="16"/>
      <c r="AD416" s="16"/>
      <c r="AE416" s="17"/>
      <c r="AF416" s="17"/>
      <c r="AG416" s="17"/>
      <c r="AH416" s="17"/>
      <c r="AI416" s="19"/>
      <c r="AJ416" s="19"/>
      <c r="AK416" s="19"/>
      <c r="AL416" s="19"/>
      <c r="AM416" s="19"/>
      <c r="AN416" s="19"/>
      <c r="AO416" s="19"/>
      <c r="AP416" s="19"/>
      <c r="AQ416" s="19"/>
      <c r="AR416" s="19"/>
      <c r="AS416" s="19"/>
    </row>
    <row r="417" spans="2:45" s="2" customFormat="1">
      <c r="B417" s="22"/>
      <c r="C417" s="23"/>
      <c r="D417" s="24"/>
      <c r="E417" s="25"/>
      <c r="F417" s="26"/>
      <c r="G417" s="26"/>
      <c r="H417" s="26"/>
      <c r="I417" s="26"/>
      <c r="J417" s="26"/>
      <c r="K417" s="26"/>
      <c r="L417" s="26"/>
      <c r="M417" s="26"/>
      <c r="N417" s="26"/>
      <c r="O417" s="29"/>
      <c r="P417" s="26"/>
      <c r="Q417" s="26"/>
      <c r="R417" s="26"/>
      <c r="S417" s="26"/>
      <c r="T417" s="26"/>
      <c r="U417" s="26"/>
      <c r="V417" s="26"/>
      <c r="W417" s="26"/>
      <c r="X417" s="26"/>
      <c r="Y417" s="26"/>
      <c r="Z417" s="26"/>
      <c r="AA417" s="29"/>
      <c r="AB417" s="29"/>
      <c r="AC417" s="16"/>
      <c r="AD417" s="16"/>
      <c r="AE417" s="17"/>
      <c r="AF417" s="17"/>
      <c r="AG417" s="17"/>
      <c r="AH417" s="17"/>
      <c r="AI417" s="19"/>
      <c r="AJ417" s="19"/>
      <c r="AK417" s="19"/>
      <c r="AL417" s="19"/>
      <c r="AM417" s="19"/>
      <c r="AN417" s="19"/>
      <c r="AO417" s="19"/>
      <c r="AP417" s="19"/>
      <c r="AQ417" s="19"/>
      <c r="AR417" s="19"/>
      <c r="AS417" s="19"/>
    </row>
    <row r="418" spans="2:45" s="2" customFormat="1">
      <c r="B418" s="22"/>
      <c r="C418" s="23"/>
      <c r="D418" s="24"/>
      <c r="E418" s="25"/>
      <c r="F418" s="26"/>
      <c r="G418" s="26"/>
      <c r="H418" s="26"/>
      <c r="I418" s="26"/>
      <c r="J418" s="26"/>
      <c r="K418" s="26"/>
      <c r="L418" s="26"/>
      <c r="M418" s="26"/>
      <c r="N418" s="26"/>
      <c r="O418" s="29"/>
      <c r="P418" s="26"/>
      <c r="Q418" s="26"/>
      <c r="R418" s="26"/>
      <c r="S418" s="26"/>
      <c r="T418" s="26"/>
      <c r="U418" s="26"/>
      <c r="V418" s="26"/>
      <c r="W418" s="26"/>
      <c r="X418" s="26"/>
      <c r="Y418" s="26"/>
      <c r="Z418" s="26"/>
      <c r="AA418" s="29"/>
      <c r="AB418" s="29"/>
      <c r="AC418" s="16"/>
      <c r="AD418" s="16"/>
      <c r="AE418" s="17"/>
      <c r="AF418" s="17"/>
      <c r="AG418" s="17"/>
      <c r="AH418" s="17"/>
      <c r="AI418" s="19"/>
      <c r="AJ418" s="19"/>
      <c r="AK418" s="19"/>
      <c r="AL418" s="19"/>
      <c r="AM418" s="19"/>
      <c r="AN418" s="19"/>
      <c r="AO418" s="19"/>
      <c r="AP418" s="19"/>
      <c r="AQ418" s="19"/>
      <c r="AR418" s="19"/>
      <c r="AS418" s="19"/>
    </row>
    <row r="419" spans="2:45" s="2" customFormat="1">
      <c r="B419" s="22"/>
      <c r="C419" s="23"/>
      <c r="D419" s="24"/>
      <c r="E419" s="25"/>
      <c r="F419" s="26"/>
      <c r="G419" s="26"/>
      <c r="H419" s="26"/>
      <c r="I419" s="26"/>
      <c r="J419" s="26"/>
      <c r="K419" s="26"/>
      <c r="L419" s="26"/>
      <c r="M419" s="26"/>
      <c r="N419" s="26"/>
      <c r="O419" s="29"/>
      <c r="P419" s="26"/>
      <c r="Q419" s="26"/>
      <c r="R419" s="26"/>
      <c r="S419" s="26"/>
      <c r="T419" s="26"/>
      <c r="U419" s="26"/>
      <c r="V419" s="26"/>
      <c r="W419" s="26"/>
      <c r="X419" s="26"/>
      <c r="Y419" s="26"/>
      <c r="Z419" s="26"/>
      <c r="AA419" s="29"/>
      <c r="AB419" s="29"/>
      <c r="AC419" s="16"/>
      <c r="AD419" s="16"/>
      <c r="AE419" s="17"/>
      <c r="AF419" s="17"/>
      <c r="AG419" s="17"/>
      <c r="AH419" s="17"/>
      <c r="AI419" s="19"/>
      <c r="AJ419" s="19"/>
      <c r="AK419" s="19"/>
      <c r="AL419" s="19"/>
      <c r="AM419" s="19"/>
      <c r="AN419" s="19"/>
      <c r="AO419" s="19"/>
      <c r="AP419" s="19"/>
      <c r="AQ419" s="19"/>
      <c r="AR419" s="19"/>
      <c r="AS419" s="19"/>
    </row>
    <row r="420" spans="2:45" s="2" customFormat="1">
      <c r="B420" s="22"/>
      <c r="C420" s="23"/>
      <c r="D420" s="24"/>
      <c r="E420" s="25"/>
      <c r="F420" s="26"/>
      <c r="G420" s="26"/>
      <c r="H420" s="26"/>
      <c r="I420" s="26"/>
      <c r="J420" s="26"/>
      <c r="K420" s="26"/>
      <c r="L420" s="26"/>
      <c r="M420" s="26"/>
      <c r="N420" s="26"/>
      <c r="O420" s="29"/>
      <c r="P420" s="26"/>
      <c r="Q420" s="26"/>
      <c r="R420" s="26"/>
      <c r="S420" s="26"/>
      <c r="T420" s="26"/>
      <c r="U420" s="26"/>
      <c r="V420" s="26"/>
      <c r="W420" s="26"/>
      <c r="X420" s="26"/>
      <c r="Y420" s="26"/>
      <c r="Z420" s="26"/>
      <c r="AA420" s="29"/>
      <c r="AB420" s="29"/>
      <c r="AC420" s="16"/>
      <c r="AD420" s="16"/>
      <c r="AE420" s="17"/>
      <c r="AF420" s="17"/>
      <c r="AG420" s="17"/>
      <c r="AH420" s="17"/>
      <c r="AI420" s="19"/>
      <c r="AJ420" s="19"/>
      <c r="AK420" s="19"/>
      <c r="AL420" s="19"/>
      <c r="AM420" s="19"/>
      <c r="AN420" s="19"/>
      <c r="AO420" s="19"/>
      <c r="AP420" s="19"/>
      <c r="AQ420" s="19"/>
      <c r="AR420" s="19"/>
      <c r="AS420" s="19"/>
    </row>
    <row r="421" spans="2:45" s="2" customFormat="1">
      <c r="B421" s="22"/>
      <c r="C421" s="23"/>
      <c r="D421" s="24"/>
      <c r="E421" s="25"/>
      <c r="F421" s="26"/>
      <c r="G421" s="26"/>
      <c r="H421" s="26"/>
      <c r="I421" s="26"/>
      <c r="J421" s="26"/>
      <c r="K421" s="26"/>
      <c r="L421" s="26"/>
      <c r="M421" s="26"/>
      <c r="N421" s="26"/>
      <c r="O421" s="29"/>
      <c r="P421" s="26"/>
      <c r="Q421" s="26"/>
      <c r="R421" s="26"/>
      <c r="S421" s="26"/>
      <c r="T421" s="26"/>
      <c r="U421" s="26"/>
      <c r="V421" s="26"/>
      <c r="W421" s="26"/>
      <c r="X421" s="26"/>
      <c r="Y421" s="26"/>
      <c r="Z421" s="26"/>
      <c r="AA421" s="29"/>
      <c r="AB421" s="29"/>
      <c r="AC421" s="16"/>
      <c r="AD421" s="16"/>
      <c r="AE421" s="17"/>
      <c r="AF421" s="17"/>
      <c r="AG421" s="17"/>
      <c r="AH421" s="17"/>
      <c r="AI421" s="19"/>
      <c r="AJ421" s="19"/>
      <c r="AK421" s="19"/>
      <c r="AL421" s="19"/>
      <c r="AM421" s="19"/>
      <c r="AN421" s="19"/>
      <c r="AO421" s="19"/>
      <c r="AP421" s="19"/>
      <c r="AQ421" s="19"/>
      <c r="AR421" s="19"/>
      <c r="AS421" s="19"/>
    </row>
    <row r="422" spans="2:45" s="2" customFormat="1">
      <c r="B422" s="22"/>
      <c r="C422" s="23"/>
      <c r="D422" s="24"/>
      <c r="E422" s="25"/>
      <c r="F422" s="26"/>
      <c r="G422" s="26"/>
      <c r="H422" s="26"/>
      <c r="I422" s="26"/>
      <c r="J422" s="26"/>
      <c r="K422" s="26"/>
      <c r="L422" s="26"/>
      <c r="M422" s="26"/>
      <c r="N422" s="26"/>
      <c r="O422" s="29"/>
      <c r="P422" s="26"/>
      <c r="Q422" s="26"/>
      <c r="R422" s="26"/>
      <c r="S422" s="26"/>
      <c r="T422" s="26"/>
      <c r="U422" s="26"/>
      <c r="V422" s="26"/>
      <c r="W422" s="26"/>
      <c r="X422" s="26"/>
      <c r="Y422" s="26"/>
      <c r="Z422" s="26"/>
      <c r="AA422" s="29"/>
      <c r="AB422" s="29"/>
      <c r="AC422" s="16"/>
      <c r="AD422" s="16"/>
      <c r="AE422" s="17"/>
      <c r="AF422" s="17"/>
      <c r="AG422" s="17"/>
      <c r="AH422" s="17"/>
      <c r="AI422" s="19"/>
      <c r="AJ422" s="19"/>
      <c r="AK422" s="19"/>
      <c r="AL422" s="19"/>
      <c r="AM422" s="19"/>
      <c r="AN422" s="19"/>
      <c r="AO422" s="19"/>
      <c r="AP422" s="19"/>
      <c r="AQ422" s="19"/>
      <c r="AR422" s="19"/>
      <c r="AS422" s="19"/>
    </row>
    <row r="423" spans="2:45" s="2" customFormat="1">
      <c r="B423" s="22"/>
      <c r="C423" s="23"/>
      <c r="D423" s="24"/>
      <c r="E423" s="25"/>
      <c r="F423" s="26"/>
      <c r="G423" s="26"/>
      <c r="H423" s="26"/>
      <c r="I423" s="26"/>
      <c r="J423" s="26"/>
      <c r="K423" s="26"/>
      <c r="L423" s="26"/>
      <c r="M423" s="26"/>
      <c r="N423" s="26"/>
      <c r="O423" s="29"/>
      <c r="P423" s="26"/>
      <c r="Q423" s="26"/>
      <c r="R423" s="26"/>
      <c r="S423" s="26"/>
      <c r="T423" s="26"/>
      <c r="U423" s="26"/>
      <c r="V423" s="26"/>
      <c r="W423" s="26"/>
      <c r="X423" s="26"/>
      <c r="Y423" s="26"/>
      <c r="Z423" s="26"/>
      <c r="AA423" s="29"/>
      <c r="AB423" s="29"/>
      <c r="AC423" s="16"/>
      <c r="AD423" s="16"/>
      <c r="AE423" s="17"/>
      <c r="AF423" s="17"/>
      <c r="AG423" s="17"/>
      <c r="AH423" s="17"/>
      <c r="AI423" s="19"/>
      <c r="AJ423" s="19"/>
      <c r="AK423" s="19"/>
      <c r="AL423" s="19"/>
      <c r="AM423" s="19"/>
      <c r="AN423" s="19"/>
      <c r="AO423" s="19"/>
      <c r="AP423" s="19"/>
      <c r="AQ423" s="19"/>
      <c r="AR423" s="19"/>
      <c r="AS423" s="19"/>
    </row>
    <row r="424" spans="2:45" s="2" customFormat="1">
      <c r="B424" s="22"/>
      <c r="C424" s="23"/>
      <c r="D424" s="24"/>
      <c r="E424" s="25"/>
      <c r="F424" s="26"/>
      <c r="G424" s="26"/>
      <c r="H424" s="26"/>
      <c r="I424" s="26"/>
      <c r="J424" s="26"/>
      <c r="K424" s="26"/>
      <c r="L424" s="26"/>
      <c r="M424" s="26"/>
      <c r="N424" s="26"/>
      <c r="O424" s="29"/>
      <c r="P424" s="26"/>
      <c r="Q424" s="26"/>
      <c r="R424" s="26"/>
      <c r="S424" s="26"/>
      <c r="T424" s="26"/>
      <c r="U424" s="26"/>
      <c r="V424" s="26"/>
      <c r="W424" s="26"/>
      <c r="X424" s="26"/>
      <c r="Y424" s="26"/>
      <c r="Z424" s="26"/>
      <c r="AA424" s="29"/>
      <c r="AB424" s="29"/>
      <c r="AC424" s="16"/>
      <c r="AD424" s="16"/>
      <c r="AE424" s="17"/>
      <c r="AF424" s="17"/>
      <c r="AG424" s="17"/>
      <c r="AH424" s="17"/>
      <c r="AI424" s="19"/>
      <c r="AJ424" s="19"/>
      <c r="AK424" s="19"/>
      <c r="AL424" s="19"/>
      <c r="AM424" s="19"/>
      <c r="AN424" s="19"/>
      <c r="AO424" s="19"/>
      <c r="AP424" s="19"/>
      <c r="AQ424" s="19"/>
      <c r="AR424" s="19"/>
      <c r="AS424" s="19"/>
    </row>
    <row r="425" spans="2:45" s="2" customFormat="1">
      <c r="B425" s="22"/>
      <c r="C425" s="23"/>
      <c r="D425" s="24"/>
      <c r="E425" s="25"/>
      <c r="F425" s="26"/>
      <c r="G425" s="26"/>
      <c r="H425" s="26"/>
      <c r="I425" s="26"/>
      <c r="J425" s="26"/>
      <c r="K425" s="26"/>
      <c r="L425" s="26"/>
      <c r="M425" s="26"/>
      <c r="N425" s="26"/>
      <c r="O425" s="29"/>
      <c r="P425" s="26"/>
      <c r="Q425" s="26"/>
      <c r="R425" s="26"/>
      <c r="S425" s="26"/>
      <c r="T425" s="26"/>
      <c r="U425" s="26"/>
      <c r="V425" s="26"/>
      <c r="W425" s="26"/>
      <c r="X425" s="26"/>
      <c r="Y425" s="26"/>
      <c r="Z425" s="26"/>
      <c r="AA425" s="29"/>
      <c r="AB425" s="29"/>
      <c r="AC425" s="16"/>
      <c r="AD425" s="16"/>
      <c r="AE425" s="17"/>
      <c r="AF425" s="17"/>
      <c r="AG425" s="17"/>
      <c r="AH425" s="17"/>
      <c r="AI425" s="19"/>
      <c r="AJ425" s="19"/>
      <c r="AK425" s="19"/>
      <c r="AL425" s="19"/>
      <c r="AM425" s="19"/>
      <c r="AN425" s="19"/>
      <c r="AO425" s="19"/>
      <c r="AP425" s="19"/>
      <c r="AQ425" s="19"/>
      <c r="AR425" s="19"/>
      <c r="AS425" s="19"/>
    </row>
    <row r="426" spans="2:45" s="2" customFormat="1">
      <c r="B426" s="22"/>
      <c r="C426" s="23"/>
      <c r="D426" s="24"/>
      <c r="E426" s="25"/>
      <c r="F426" s="26"/>
      <c r="G426" s="26"/>
      <c r="H426" s="26"/>
      <c r="I426" s="26"/>
      <c r="J426" s="26"/>
      <c r="K426" s="26"/>
      <c r="L426" s="26"/>
      <c r="M426" s="26"/>
      <c r="N426" s="26"/>
      <c r="O426" s="29"/>
      <c r="P426" s="26"/>
      <c r="Q426" s="26"/>
      <c r="R426" s="26"/>
      <c r="S426" s="26"/>
      <c r="T426" s="26"/>
      <c r="U426" s="26"/>
      <c r="V426" s="26"/>
      <c r="W426" s="26"/>
      <c r="X426" s="26"/>
      <c r="Y426" s="26"/>
      <c r="Z426" s="26"/>
      <c r="AA426" s="29"/>
      <c r="AB426" s="29"/>
      <c r="AC426" s="16"/>
      <c r="AD426" s="16"/>
      <c r="AE426" s="17"/>
      <c r="AF426" s="17"/>
      <c r="AG426" s="17"/>
      <c r="AH426" s="17"/>
      <c r="AI426" s="19"/>
      <c r="AJ426" s="19"/>
      <c r="AK426" s="19"/>
      <c r="AL426" s="19"/>
      <c r="AM426" s="19"/>
      <c r="AN426" s="19"/>
      <c r="AO426" s="19"/>
      <c r="AP426" s="19"/>
      <c r="AQ426" s="19"/>
      <c r="AR426" s="19"/>
      <c r="AS426" s="19"/>
    </row>
    <row r="427" spans="2:45" s="2" customFormat="1">
      <c r="B427" s="22"/>
      <c r="C427" s="23"/>
      <c r="D427" s="24"/>
      <c r="E427" s="25"/>
      <c r="F427" s="26"/>
      <c r="G427" s="26"/>
      <c r="H427" s="26"/>
      <c r="I427" s="26"/>
      <c r="J427" s="26"/>
      <c r="K427" s="26"/>
      <c r="L427" s="26"/>
      <c r="M427" s="26"/>
      <c r="N427" s="26"/>
      <c r="O427" s="29"/>
      <c r="P427" s="26"/>
      <c r="Q427" s="26"/>
      <c r="R427" s="26"/>
      <c r="S427" s="26"/>
      <c r="T427" s="26"/>
      <c r="U427" s="26"/>
      <c r="V427" s="26"/>
      <c r="W427" s="26"/>
      <c r="X427" s="26"/>
      <c r="Y427" s="26"/>
      <c r="Z427" s="26"/>
      <c r="AA427" s="29"/>
      <c r="AB427" s="29"/>
      <c r="AC427" s="16"/>
      <c r="AD427" s="16"/>
      <c r="AE427" s="17"/>
      <c r="AF427" s="17"/>
      <c r="AG427" s="17"/>
      <c r="AH427" s="17"/>
      <c r="AI427" s="19"/>
      <c r="AJ427" s="19"/>
      <c r="AK427" s="19"/>
      <c r="AL427" s="19"/>
      <c r="AM427" s="19"/>
      <c r="AN427" s="19"/>
      <c r="AO427" s="19"/>
      <c r="AP427" s="19"/>
      <c r="AQ427" s="19"/>
      <c r="AR427" s="19"/>
      <c r="AS427" s="19"/>
    </row>
    <row r="428" spans="2:45" s="2" customFormat="1">
      <c r="B428" s="22"/>
      <c r="C428" s="23"/>
      <c r="D428" s="24"/>
      <c r="E428" s="25"/>
      <c r="F428" s="26"/>
      <c r="G428" s="26"/>
      <c r="H428" s="26"/>
      <c r="I428" s="26"/>
      <c r="J428" s="26"/>
      <c r="K428" s="26"/>
      <c r="L428" s="26"/>
      <c r="M428" s="26"/>
      <c r="N428" s="26"/>
      <c r="O428" s="29"/>
      <c r="P428" s="26"/>
      <c r="Q428" s="26"/>
      <c r="R428" s="26"/>
      <c r="S428" s="26"/>
      <c r="T428" s="26"/>
      <c r="U428" s="26"/>
      <c r="V428" s="26"/>
      <c r="W428" s="26"/>
      <c r="X428" s="26"/>
      <c r="Y428" s="26"/>
      <c r="Z428" s="26"/>
      <c r="AA428" s="29"/>
      <c r="AB428" s="29"/>
      <c r="AC428" s="16"/>
      <c r="AD428" s="16"/>
      <c r="AE428" s="17"/>
      <c r="AF428" s="17"/>
      <c r="AG428" s="17"/>
      <c r="AH428" s="17"/>
      <c r="AI428" s="19"/>
      <c r="AJ428" s="19"/>
      <c r="AK428" s="19"/>
      <c r="AL428" s="19"/>
      <c r="AM428" s="19"/>
      <c r="AN428" s="19"/>
      <c r="AO428" s="19"/>
      <c r="AP428" s="19"/>
      <c r="AQ428" s="19"/>
      <c r="AR428" s="19"/>
      <c r="AS428" s="19"/>
    </row>
    <row r="429" spans="2:45" s="2" customFormat="1">
      <c r="B429" s="22"/>
      <c r="C429" s="23"/>
      <c r="D429" s="24"/>
      <c r="E429" s="25"/>
      <c r="F429" s="26"/>
      <c r="G429" s="26"/>
      <c r="H429" s="26"/>
      <c r="I429" s="26"/>
      <c r="J429" s="26"/>
      <c r="K429" s="26"/>
      <c r="L429" s="26"/>
      <c r="M429" s="26"/>
      <c r="N429" s="26"/>
      <c r="O429" s="29"/>
      <c r="P429" s="26"/>
      <c r="Q429" s="26"/>
      <c r="R429" s="26"/>
      <c r="S429" s="26"/>
      <c r="T429" s="26"/>
      <c r="U429" s="26"/>
      <c r="V429" s="26"/>
      <c r="W429" s="26"/>
      <c r="X429" s="26"/>
      <c r="Y429" s="26"/>
      <c r="Z429" s="26"/>
      <c r="AA429" s="29"/>
      <c r="AB429" s="29"/>
      <c r="AC429" s="16"/>
      <c r="AD429" s="16"/>
      <c r="AE429" s="17"/>
      <c r="AF429" s="17"/>
      <c r="AG429" s="17"/>
      <c r="AH429" s="17"/>
      <c r="AI429" s="19"/>
      <c r="AJ429" s="19"/>
      <c r="AK429" s="19"/>
      <c r="AL429" s="19"/>
      <c r="AM429" s="19"/>
      <c r="AN429" s="19"/>
      <c r="AO429" s="19"/>
      <c r="AP429" s="19"/>
      <c r="AQ429" s="19"/>
      <c r="AR429" s="19"/>
      <c r="AS429" s="19"/>
    </row>
    <row r="430" spans="2:45" s="2" customFormat="1">
      <c r="B430" s="22"/>
      <c r="C430" s="23"/>
      <c r="D430" s="24"/>
      <c r="E430" s="25"/>
      <c r="F430" s="26"/>
      <c r="G430" s="26"/>
      <c r="H430" s="26"/>
      <c r="I430" s="26"/>
      <c r="J430" s="26"/>
      <c r="K430" s="26"/>
      <c r="L430" s="26"/>
      <c r="M430" s="26"/>
      <c r="N430" s="26"/>
      <c r="O430" s="29"/>
      <c r="P430" s="26"/>
      <c r="Q430" s="26"/>
      <c r="R430" s="26"/>
      <c r="S430" s="26"/>
      <c r="T430" s="26"/>
      <c r="U430" s="26"/>
      <c r="V430" s="26"/>
      <c r="W430" s="26"/>
      <c r="X430" s="26"/>
      <c r="Y430" s="26"/>
      <c r="Z430" s="26"/>
      <c r="AA430" s="29"/>
      <c r="AB430" s="29"/>
      <c r="AC430" s="16"/>
      <c r="AD430" s="16"/>
      <c r="AE430" s="17"/>
      <c r="AF430" s="17"/>
      <c r="AG430" s="17"/>
      <c r="AH430" s="17"/>
      <c r="AI430" s="19"/>
      <c r="AJ430" s="19"/>
      <c r="AK430" s="19"/>
      <c r="AL430" s="19"/>
      <c r="AM430" s="19"/>
      <c r="AN430" s="19"/>
      <c r="AO430" s="19"/>
      <c r="AP430" s="19"/>
      <c r="AQ430" s="19"/>
      <c r="AR430" s="19"/>
      <c r="AS430" s="19"/>
    </row>
    <row r="431" spans="2:45" s="2" customFormat="1">
      <c r="B431" s="22"/>
      <c r="C431" s="23"/>
      <c r="D431" s="24"/>
      <c r="E431" s="25"/>
      <c r="F431" s="26"/>
      <c r="G431" s="26"/>
      <c r="H431" s="26"/>
      <c r="I431" s="26"/>
      <c r="J431" s="26"/>
      <c r="K431" s="26"/>
      <c r="L431" s="26"/>
      <c r="M431" s="26"/>
      <c r="N431" s="26"/>
      <c r="O431" s="29"/>
      <c r="P431" s="26"/>
      <c r="Q431" s="26"/>
      <c r="R431" s="26"/>
      <c r="S431" s="26"/>
      <c r="T431" s="26"/>
      <c r="U431" s="26"/>
      <c r="V431" s="26"/>
      <c r="W431" s="26"/>
      <c r="X431" s="26"/>
      <c r="Y431" s="26"/>
      <c r="Z431" s="26"/>
      <c r="AA431" s="29"/>
      <c r="AB431" s="29"/>
      <c r="AC431" s="16"/>
      <c r="AD431" s="16"/>
      <c r="AE431" s="17"/>
      <c r="AF431" s="17"/>
      <c r="AG431" s="17"/>
      <c r="AH431" s="17"/>
      <c r="AI431" s="19"/>
      <c r="AJ431" s="19"/>
      <c r="AK431" s="19"/>
      <c r="AL431" s="19"/>
      <c r="AM431" s="19"/>
      <c r="AN431" s="19"/>
      <c r="AO431" s="19"/>
      <c r="AP431" s="19"/>
      <c r="AQ431" s="19"/>
      <c r="AR431" s="19"/>
      <c r="AS431" s="19"/>
    </row>
    <row r="432" spans="2:45" s="2" customFormat="1">
      <c r="B432" s="22"/>
      <c r="C432" s="23"/>
      <c r="D432" s="24"/>
      <c r="E432" s="25"/>
      <c r="F432" s="26"/>
      <c r="G432" s="26"/>
      <c r="H432" s="26"/>
      <c r="I432" s="26"/>
      <c r="J432" s="26"/>
      <c r="K432" s="26"/>
      <c r="L432" s="26"/>
      <c r="M432" s="26"/>
      <c r="N432" s="26"/>
      <c r="O432" s="29"/>
      <c r="P432" s="26"/>
      <c r="Q432" s="26"/>
      <c r="R432" s="26"/>
      <c r="S432" s="26"/>
      <c r="T432" s="26"/>
      <c r="U432" s="26"/>
      <c r="V432" s="26"/>
      <c r="W432" s="26"/>
      <c r="X432" s="26"/>
      <c r="Y432" s="26"/>
      <c r="Z432" s="26"/>
      <c r="AA432" s="29"/>
      <c r="AB432" s="29"/>
      <c r="AC432" s="16"/>
      <c r="AD432" s="16"/>
      <c r="AE432" s="17"/>
      <c r="AF432" s="17"/>
      <c r="AG432" s="17"/>
      <c r="AH432" s="17"/>
      <c r="AI432" s="19"/>
      <c r="AJ432" s="19"/>
      <c r="AK432" s="19"/>
      <c r="AL432" s="19"/>
      <c r="AM432" s="19"/>
      <c r="AN432" s="19"/>
      <c r="AO432" s="19"/>
      <c r="AP432" s="19"/>
      <c r="AQ432" s="19"/>
      <c r="AR432" s="19"/>
      <c r="AS432" s="19"/>
    </row>
    <row r="433" spans="2:45" s="2" customFormat="1">
      <c r="B433" s="22"/>
      <c r="C433" s="23"/>
      <c r="D433" s="24"/>
      <c r="E433" s="25"/>
      <c r="F433" s="26"/>
      <c r="G433" s="26"/>
      <c r="H433" s="26"/>
      <c r="I433" s="26"/>
      <c r="J433" s="26"/>
      <c r="K433" s="26"/>
      <c r="L433" s="26"/>
      <c r="M433" s="26"/>
      <c r="N433" s="26"/>
      <c r="O433" s="29"/>
      <c r="P433" s="26"/>
      <c r="Q433" s="26"/>
      <c r="R433" s="26"/>
      <c r="S433" s="26"/>
      <c r="T433" s="26"/>
      <c r="U433" s="26"/>
      <c r="V433" s="26"/>
      <c r="W433" s="26"/>
      <c r="X433" s="26"/>
      <c r="Y433" s="26"/>
      <c r="Z433" s="26"/>
      <c r="AA433" s="29"/>
      <c r="AB433" s="29"/>
      <c r="AC433" s="16"/>
      <c r="AD433" s="16"/>
      <c r="AE433" s="17"/>
      <c r="AF433" s="17"/>
      <c r="AG433" s="17"/>
      <c r="AH433" s="17"/>
      <c r="AI433" s="19"/>
      <c r="AJ433" s="19"/>
      <c r="AK433" s="19"/>
      <c r="AL433" s="19"/>
      <c r="AM433" s="19"/>
      <c r="AN433" s="19"/>
      <c r="AO433" s="19"/>
      <c r="AP433" s="19"/>
      <c r="AQ433" s="19"/>
      <c r="AR433" s="19"/>
      <c r="AS433" s="19"/>
    </row>
    <row r="434" spans="2:45" s="2" customFormat="1">
      <c r="B434" s="22"/>
      <c r="C434" s="23"/>
      <c r="D434" s="24"/>
      <c r="E434" s="25"/>
      <c r="F434" s="26"/>
      <c r="G434" s="26"/>
      <c r="H434" s="26"/>
      <c r="I434" s="26"/>
      <c r="J434" s="26"/>
      <c r="K434" s="26"/>
      <c r="L434" s="26"/>
      <c r="M434" s="26"/>
      <c r="N434" s="26"/>
      <c r="O434" s="29"/>
      <c r="P434" s="26"/>
      <c r="Q434" s="26"/>
      <c r="R434" s="26"/>
      <c r="S434" s="26"/>
      <c r="T434" s="26"/>
      <c r="U434" s="26"/>
      <c r="V434" s="26"/>
      <c r="W434" s="26"/>
      <c r="X434" s="26"/>
      <c r="Y434" s="26"/>
      <c r="Z434" s="26"/>
      <c r="AA434" s="29"/>
      <c r="AB434" s="29"/>
      <c r="AC434" s="16"/>
      <c r="AD434" s="16"/>
      <c r="AE434" s="17"/>
      <c r="AF434" s="17"/>
      <c r="AG434" s="17"/>
      <c r="AH434" s="17"/>
      <c r="AI434" s="19"/>
      <c r="AJ434" s="19"/>
      <c r="AK434" s="19"/>
      <c r="AL434" s="19"/>
      <c r="AM434" s="19"/>
      <c r="AN434" s="19"/>
      <c r="AO434" s="19"/>
      <c r="AP434" s="19"/>
      <c r="AQ434" s="19"/>
      <c r="AR434" s="19"/>
      <c r="AS434" s="19"/>
    </row>
    <row r="435" spans="2:45" s="2" customFormat="1">
      <c r="B435" s="22"/>
      <c r="C435" s="23"/>
      <c r="D435" s="24"/>
      <c r="E435" s="25"/>
      <c r="F435" s="26"/>
      <c r="G435" s="26"/>
      <c r="H435" s="26"/>
      <c r="I435" s="26"/>
      <c r="J435" s="26"/>
      <c r="K435" s="26"/>
      <c r="L435" s="26"/>
      <c r="M435" s="26"/>
      <c r="N435" s="26"/>
      <c r="O435" s="29"/>
      <c r="P435" s="26"/>
      <c r="Q435" s="26"/>
      <c r="R435" s="26"/>
      <c r="S435" s="26"/>
      <c r="T435" s="26"/>
      <c r="U435" s="26"/>
      <c r="V435" s="26"/>
      <c r="W435" s="26"/>
      <c r="X435" s="26"/>
      <c r="Y435" s="26"/>
      <c r="Z435" s="26"/>
      <c r="AA435" s="29"/>
      <c r="AB435" s="29"/>
      <c r="AC435" s="16"/>
      <c r="AD435" s="16"/>
      <c r="AE435" s="17"/>
      <c r="AF435" s="17"/>
      <c r="AG435" s="17"/>
      <c r="AH435" s="17"/>
      <c r="AI435" s="19"/>
      <c r="AJ435" s="19"/>
      <c r="AK435" s="19"/>
      <c r="AL435" s="19"/>
      <c r="AM435" s="19"/>
      <c r="AN435" s="19"/>
      <c r="AO435" s="19"/>
      <c r="AP435" s="19"/>
      <c r="AQ435" s="19"/>
      <c r="AR435" s="19"/>
      <c r="AS435" s="19"/>
    </row>
    <row r="436" spans="2:45" s="2" customFormat="1">
      <c r="B436" s="22"/>
      <c r="C436" s="23"/>
      <c r="D436" s="24"/>
      <c r="E436" s="25"/>
      <c r="F436" s="26"/>
      <c r="G436" s="26"/>
      <c r="H436" s="26"/>
      <c r="I436" s="26"/>
      <c r="J436" s="26"/>
      <c r="K436" s="26"/>
      <c r="L436" s="26"/>
      <c r="M436" s="26"/>
      <c r="N436" s="26"/>
      <c r="O436" s="29"/>
      <c r="P436" s="26"/>
      <c r="Q436" s="26"/>
      <c r="R436" s="26"/>
      <c r="S436" s="26"/>
      <c r="T436" s="26"/>
      <c r="U436" s="26"/>
      <c r="V436" s="26"/>
      <c r="W436" s="26"/>
      <c r="X436" s="26"/>
      <c r="Y436" s="26"/>
      <c r="Z436" s="26"/>
      <c r="AA436" s="29"/>
      <c r="AB436" s="29"/>
      <c r="AC436" s="16"/>
      <c r="AD436" s="16"/>
      <c r="AE436" s="17"/>
      <c r="AF436" s="17"/>
      <c r="AG436" s="17"/>
      <c r="AH436" s="17"/>
      <c r="AI436" s="19"/>
      <c r="AJ436" s="19"/>
      <c r="AK436" s="19"/>
      <c r="AL436" s="19"/>
      <c r="AM436" s="19"/>
      <c r="AN436" s="19"/>
      <c r="AO436" s="19"/>
      <c r="AP436" s="19"/>
      <c r="AQ436" s="19"/>
      <c r="AR436" s="19"/>
      <c r="AS436" s="19"/>
    </row>
    <row r="437" spans="2:45" s="2" customFormat="1">
      <c r="B437" s="22"/>
      <c r="C437" s="23"/>
      <c r="D437" s="24"/>
      <c r="E437" s="25"/>
      <c r="F437" s="26"/>
      <c r="G437" s="26"/>
      <c r="H437" s="26"/>
      <c r="I437" s="26"/>
      <c r="J437" s="26"/>
      <c r="K437" s="26"/>
      <c r="L437" s="26"/>
      <c r="M437" s="26"/>
      <c r="N437" s="26"/>
      <c r="O437" s="29"/>
      <c r="P437" s="26"/>
      <c r="Q437" s="26"/>
      <c r="R437" s="26"/>
      <c r="S437" s="26"/>
      <c r="T437" s="26"/>
      <c r="U437" s="26"/>
      <c r="V437" s="26"/>
      <c r="W437" s="26"/>
      <c r="X437" s="26"/>
      <c r="Y437" s="26"/>
      <c r="Z437" s="26"/>
      <c r="AA437" s="29"/>
      <c r="AB437" s="29"/>
      <c r="AC437" s="16"/>
      <c r="AD437" s="16"/>
      <c r="AE437" s="17"/>
      <c r="AF437" s="17"/>
      <c r="AG437" s="17"/>
      <c r="AH437" s="17"/>
      <c r="AI437" s="19"/>
      <c r="AJ437" s="19"/>
      <c r="AK437" s="19"/>
      <c r="AL437" s="19"/>
      <c r="AM437" s="19"/>
      <c r="AN437" s="19"/>
      <c r="AO437" s="19"/>
      <c r="AP437" s="19"/>
      <c r="AQ437" s="19"/>
      <c r="AR437" s="19"/>
      <c r="AS437" s="19"/>
    </row>
    <row r="438" spans="2:45" s="2" customFormat="1">
      <c r="B438" s="22"/>
      <c r="C438" s="23"/>
      <c r="D438" s="24"/>
      <c r="E438" s="25"/>
      <c r="F438" s="26"/>
      <c r="G438" s="26"/>
      <c r="H438" s="26"/>
      <c r="I438" s="26"/>
      <c r="J438" s="26"/>
      <c r="K438" s="26"/>
      <c r="L438" s="26"/>
      <c r="M438" s="26"/>
      <c r="N438" s="26"/>
      <c r="O438" s="29"/>
      <c r="P438" s="26"/>
      <c r="Q438" s="26"/>
      <c r="R438" s="26"/>
      <c r="S438" s="26"/>
      <c r="T438" s="26"/>
      <c r="U438" s="26"/>
      <c r="V438" s="26"/>
      <c r="W438" s="26"/>
      <c r="X438" s="26"/>
      <c r="Y438" s="26"/>
      <c r="Z438" s="26"/>
      <c r="AA438" s="29"/>
      <c r="AB438" s="29"/>
      <c r="AC438" s="16"/>
      <c r="AD438" s="16"/>
      <c r="AE438" s="17"/>
      <c r="AF438" s="17"/>
      <c r="AG438" s="17"/>
      <c r="AH438" s="17"/>
      <c r="AI438" s="19"/>
      <c r="AJ438" s="19"/>
      <c r="AK438" s="19"/>
      <c r="AL438" s="19"/>
      <c r="AM438" s="19"/>
      <c r="AN438" s="19"/>
      <c r="AO438" s="19"/>
      <c r="AP438" s="19"/>
      <c r="AQ438" s="19"/>
      <c r="AR438" s="19"/>
      <c r="AS438" s="19"/>
    </row>
    <row r="439" spans="2:45" s="2" customFormat="1">
      <c r="B439" s="22"/>
      <c r="C439" s="23"/>
      <c r="D439" s="24"/>
      <c r="E439" s="25"/>
      <c r="F439" s="26"/>
      <c r="G439" s="26"/>
      <c r="H439" s="26"/>
      <c r="I439" s="26"/>
      <c r="J439" s="26"/>
      <c r="K439" s="26"/>
      <c r="L439" s="26"/>
      <c r="M439" s="26"/>
      <c r="N439" s="26"/>
      <c r="O439" s="29"/>
      <c r="P439" s="26"/>
      <c r="Q439" s="26"/>
      <c r="R439" s="26"/>
      <c r="S439" s="26"/>
      <c r="T439" s="26"/>
      <c r="U439" s="26"/>
      <c r="V439" s="26"/>
      <c r="W439" s="26"/>
      <c r="X439" s="26"/>
      <c r="Y439" s="26"/>
      <c r="Z439" s="26"/>
      <c r="AA439" s="29"/>
      <c r="AB439" s="29"/>
      <c r="AC439" s="16"/>
      <c r="AD439" s="16"/>
      <c r="AE439" s="17"/>
      <c r="AF439" s="17"/>
      <c r="AG439" s="17"/>
      <c r="AH439" s="17"/>
      <c r="AI439" s="19"/>
      <c r="AJ439" s="19"/>
      <c r="AK439" s="19"/>
      <c r="AL439" s="19"/>
      <c r="AM439" s="19"/>
      <c r="AN439" s="19"/>
      <c r="AO439" s="19"/>
      <c r="AP439" s="19"/>
      <c r="AQ439" s="19"/>
      <c r="AR439" s="19"/>
      <c r="AS439" s="19"/>
    </row>
    <row r="440" spans="2:45" s="2" customFormat="1">
      <c r="B440" s="22"/>
      <c r="C440" s="23"/>
      <c r="D440" s="24"/>
      <c r="E440" s="25"/>
      <c r="F440" s="26"/>
      <c r="G440" s="26"/>
      <c r="H440" s="26"/>
      <c r="I440" s="26"/>
      <c r="J440" s="26"/>
      <c r="K440" s="26"/>
      <c r="L440" s="26"/>
      <c r="M440" s="26"/>
      <c r="N440" s="26"/>
      <c r="O440" s="29"/>
      <c r="P440" s="26"/>
      <c r="Q440" s="26"/>
      <c r="R440" s="26"/>
      <c r="S440" s="26"/>
      <c r="T440" s="26"/>
      <c r="U440" s="26"/>
      <c r="V440" s="26"/>
      <c r="W440" s="26"/>
      <c r="X440" s="26"/>
      <c r="Y440" s="26"/>
      <c r="Z440" s="26"/>
      <c r="AA440" s="29"/>
      <c r="AB440" s="29"/>
      <c r="AC440" s="16"/>
      <c r="AD440" s="16"/>
      <c r="AE440" s="17"/>
      <c r="AF440" s="17"/>
      <c r="AG440" s="17"/>
      <c r="AH440" s="17"/>
      <c r="AI440" s="19"/>
      <c r="AJ440" s="19"/>
      <c r="AK440" s="19"/>
      <c r="AL440" s="19"/>
      <c r="AM440" s="19"/>
      <c r="AN440" s="19"/>
      <c r="AO440" s="19"/>
      <c r="AP440" s="19"/>
      <c r="AQ440" s="19"/>
      <c r="AR440" s="19"/>
      <c r="AS440" s="19"/>
    </row>
    <row r="441" spans="2:45" s="2" customFormat="1">
      <c r="B441" s="22"/>
      <c r="C441" s="23"/>
      <c r="D441" s="24"/>
      <c r="E441" s="25"/>
      <c r="F441" s="26"/>
      <c r="G441" s="26"/>
      <c r="H441" s="26"/>
      <c r="I441" s="26"/>
      <c r="J441" s="26"/>
      <c r="K441" s="26"/>
      <c r="L441" s="26"/>
      <c r="M441" s="26"/>
      <c r="N441" s="26"/>
      <c r="O441" s="29"/>
      <c r="P441" s="26"/>
      <c r="Q441" s="26"/>
      <c r="R441" s="26"/>
      <c r="S441" s="26"/>
      <c r="T441" s="26"/>
      <c r="U441" s="26"/>
      <c r="V441" s="26"/>
      <c r="W441" s="26"/>
      <c r="X441" s="26"/>
      <c r="Y441" s="26"/>
      <c r="Z441" s="26"/>
      <c r="AA441" s="29"/>
      <c r="AB441" s="29"/>
      <c r="AC441" s="16"/>
      <c r="AD441" s="16"/>
      <c r="AE441" s="17"/>
      <c r="AF441" s="17"/>
      <c r="AG441" s="17"/>
      <c r="AH441" s="17"/>
      <c r="AI441" s="19"/>
      <c r="AJ441" s="19"/>
      <c r="AK441" s="19"/>
      <c r="AL441" s="19"/>
      <c r="AM441" s="19"/>
      <c r="AN441" s="19"/>
      <c r="AO441" s="19"/>
      <c r="AP441" s="19"/>
      <c r="AQ441" s="19"/>
      <c r="AR441" s="19"/>
      <c r="AS441" s="19"/>
    </row>
    <row r="442" spans="2:45" s="2" customFormat="1">
      <c r="B442" s="22"/>
      <c r="C442" s="23"/>
      <c r="D442" s="24"/>
      <c r="E442" s="25"/>
      <c r="F442" s="26"/>
      <c r="G442" s="26"/>
      <c r="H442" s="26"/>
      <c r="I442" s="26"/>
      <c r="J442" s="26"/>
      <c r="K442" s="26"/>
      <c r="L442" s="26"/>
      <c r="M442" s="26"/>
      <c r="N442" s="26"/>
      <c r="O442" s="29"/>
      <c r="P442" s="26"/>
      <c r="Q442" s="26"/>
      <c r="R442" s="26"/>
      <c r="S442" s="26"/>
      <c r="T442" s="26"/>
      <c r="U442" s="26"/>
      <c r="V442" s="26"/>
      <c r="W442" s="26"/>
      <c r="X442" s="26"/>
      <c r="Y442" s="26"/>
      <c r="Z442" s="26"/>
      <c r="AA442" s="29"/>
      <c r="AB442" s="29"/>
      <c r="AC442" s="16"/>
      <c r="AD442" s="16"/>
      <c r="AE442" s="17"/>
      <c r="AF442" s="17"/>
      <c r="AG442" s="17"/>
      <c r="AH442" s="17"/>
      <c r="AI442" s="19"/>
      <c r="AJ442" s="19"/>
      <c r="AK442" s="19"/>
      <c r="AL442" s="19"/>
      <c r="AM442" s="19"/>
      <c r="AN442" s="19"/>
      <c r="AO442" s="19"/>
      <c r="AP442" s="19"/>
      <c r="AQ442" s="19"/>
      <c r="AR442" s="19"/>
      <c r="AS442" s="19"/>
    </row>
    <row r="443" spans="2:45" s="2" customFormat="1">
      <c r="B443" s="22"/>
      <c r="C443" s="23"/>
      <c r="D443" s="24"/>
      <c r="E443" s="25"/>
      <c r="F443" s="26"/>
      <c r="G443" s="26"/>
      <c r="H443" s="26"/>
      <c r="I443" s="26"/>
      <c r="J443" s="26"/>
      <c r="K443" s="26"/>
      <c r="L443" s="26"/>
      <c r="M443" s="26"/>
      <c r="N443" s="26"/>
      <c r="O443" s="29"/>
      <c r="P443" s="26"/>
      <c r="Q443" s="26"/>
      <c r="R443" s="26"/>
      <c r="S443" s="26"/>
      <c r="T443" s="26"/>
      <c r="U443" s="26"/>
      <c r="V443" s="26"/>
      <c r="W443" s="26"/>
      <c r="X443" s="26"/>
      <c r="Y443" s="26"/>
      <c r="Z443" s="26"/>
      <c r="AA443" s="29"/>
      <c r="AB443" s="29"/>
      <c r="AC443" s="16"/>
      <c r="AD443" s="16"/>
      <c r="AE443" s="17"/>
      <c r="AF443" s="17"/>
      <c r="AG443" s="17"/>
      <c r="AH443" s="17"/>
      <c r="AI443" s="19"/>
      <c r="AJ443" s="19"/>
      <c r="AK443" s="19"/>
      <c r="AL443" s="19"/>
      <c r="AM443" s="19"/>
      <c r="AN443" s="19"/>
      <c r="AO443" s="19"/>
      <c r="AP443" s="19"/>
      <c r="AQ443" s="19"/>
      <c r="AR443" s="19"/>
      <c r="AS443" s="19"/>
    </row>
    <row r="444" spans="2:45" s="2" customFormat="1">
      <c r="B444" s="22"/>
      <c r="C444" s="23"/>
      <c r="D444" s="24"/>
      <c r="E444" s="25"/>
      <c r="F444" s="26"/>
      <c r="G444" s="26"/>
      <c r="H444" s="26"/>
      <c r="I444" s="26"/>
      <c r="J444" s="26"/>
      <c r="K444" s="26"/>
      <c r="L444" s="26"/>
      <c r="M444" s="26"/>
      <c r="N444" s="26"/>
      <c r="O444" s="29"/>
      <c r="P444" s="26"/>
      <c r="Q444" s="26"/>
      <c r="R444" s="26"/>
      <c r="S444" s="26"/>
      <c r="T444" s="26"/>
      <c r="U444" s="26"/>
      <c r="V444" s="26"/>
      <c r="W444" s="26"/>
      <c r="X444" s="26"/>
      <c r="Y444" s="26"/>
      <c r="Z444" s="26"/>
      <c r="AA444" s="29"/>
      <c r="AB444" s="29"/>
      <c r="AC444" s="16"/>
      <c r="AD444" s="16"/>
      <c r="AE444" s="17"/>
      <c r="AF444" s="17"/>
      <c r="AG444" s="17"/>
      <c r="AH444" s="17"/>
      <c r="AI444" s="19"/>
      <c r="AJ444" s="19"/>
      <c r="AK444" s="19"/>
      <c r="AL444" s="19"/>
      <c r="AM444" s="19"/>
      <c r="AN444" s="19"/>
      <c r="AO444" s="19"/>
      <c r="AP444" s="19"/>
      <c r="AQ444" s="19"/>
      <c r="AR444" s="19"/>
      <c r="AS444" s="19"/>
    </row>
    <row r="445" spans="2:45" s="2" customFormat="1">
      <c r="B445" s="22"/>
      <c r="C445" s="23"/>
      <c r="D445" s="24"/>
      <c r="E445" s="25"/>
      <c r="F445" s="26"/>
      <c r="G445" s="26"/>
      <c r="H445" s="26"/>
      <c r="I445" s="26"/>
      <c r="J445" s="26"/>
      <c r="K445" s="26"/>
      <c r="L445" s="26"/>
      <c r="M445" s="26"/>
      <c r="N445" s="26"/>
      <c r="O445" s="29"/>
      <c r="P445" s="26"/>
      <c r="Q445" s="26"/>
      <c r="R445" s="26"/>
      <c r="S445" s="26"/>
      <c r="T445" s="26"/>
      <c r="U445" s="26"/>
      <c r="V445" s="26"/>
      <c r="W445" s="26"/>
      <c r="X445" s="26"/>
      <c r="Y445" s="26"/>
      <c r="Z445" s="26"/>
      <c r="AA445" s="29"/>
      <c r="AB445" s="29"/>
      <c r="AC445" s="16"/>
      <c r="AD445" s="16"/>
      <c r="AE445" s="17"/>
      <c r="AF445" s="17"/>
      <c r="AG445" s="17"/>
      <c r="AH445" s="17"/>
      <c r="AI445" s="19"/>
      <c r="AJ445" s="19"/>
      <c r="AK445" s="19"/>
      <c r="AL445" s="19"/>
      <c r="AM445" s="19"/>
      <c r="AN445" s="19"/>
      <c r="AO445" s="19"/>
      <c r="AP445" s="19"/>
      <c r="AQ445" s="19"/>
      <c r="AR445" s="19"/>
      <c r="AS445" s="19"/>
    </row>
    <row r="446" spans="2:45" s="2" customFormat="1">
      <c r="B446" s="22"/>
      <c r="C446" s="23"/>
      <c r="D446" s="24"/>
      <c r="E446" s="25"/>
      <c r="F446" s="26"/>
      <c r="G446" s="26"/>
      <c r="H446" s="26"/>
      <c r="I446" s="26"/>
      <c r="J446" s="26"/>
      <c r="K446" s="26"/>
      <c r="L446" s="26"/>
      <c r="M446" s="26"/>
      <c r="N446" s="26"/>
      <c r="O446" s="29"/>
      <c r="P446" s="26"/>
      <c r="Q446" s="26"/>
      <c r="R446" s="26"/>
      <c r="S446" s="26"/>
      <c r="T446" s="26"/>
      <c r="U446" s="26"/>
      <c r="V446" s="26"/>
      <c r="W446" s="26"/>
      <c r="X446" s="26"/>
      <c r="Y446" s="26"/>
      <c r="Z446" s="26"/>
      <c r="AA446" s="29"/>
      <c r="AB446" s="29"/>
      <c r="AC446" s="16"/>
      <c r="AD446" s="16"/>
      <c r="AE446" s="17"/>
      <c r="AF446" s="17"/>
      <c r="AG446" s="17"/>
      <c r="AH446" s="17"/>
      <c r="AI446" s="19"/>
      <c r="AJ446" s="19"/>
      <c r="AK446" s="19"/>
      <c r="AL446" s="19"/>
      <c r="AM446" s="19"/>
      <c r="AN446" s="19"/>
      <c r="AO446" s="19"/>
      <c r="AP446" s="19"/>
      <c r="AQ446" s="19"/>
      <c r="AR446" s="19"/>
      <c r="AS446" s="19"/>
    </row>
    <row r="447" spans="2:45" s="2" customFormat="1">
      <c r="B447" s="22"/>
      <c r="C447" s="23"/>
      <c r="D447" s="24"/>
      <c r="E447" s="25"/>
      <c r="F447" s="26"/>
      <c r="G447" s="26"/>
      <c r="H447" s="26"/>
      <c r="I447" s="26"/>
      <c r="J447" s="26"/>
      <c r="K447" s="26"/>
      <c r="L447" s="26"/>
      <c r="M447" s="26"/>
      <c r="N447" s="26"/>
      <c r="O447" s="29"/>
      <c r="P447" s="26"/>
      <c r="Q447" s="26"/>
      <c r="R447" s="26"/>
      <c r="S447" s="26"/>
      <c r="T447" s="26"/>
      <c r="U447" s="26"/>
      <c r="V447" s="26"/>
      <c r="W447" s="26"/>
      <c r="X447" s="26"/>
      <c r="Y447" s="26"/>
      <c r="Z447" s="26"/>
      <c r="AA447" s="29"/>
      <c r="AB447" s="29"/>
      <c r="AC447" s="16"/>
      <c r="AD447" s="16"/>
      <c r="AE447" s="17"/>
      <c r="AF447" s="17"/>
      <c r="AG447" s="17"/>
      <c r="AH447" s="17"/>
      <c r="AI447" s="19"/>
      <c r="AJ447" s="19"/>
      <c r="AK447" s="19"/>
      <c r="AL447" s="19"/>
      <c r="AM447" s="19"/>
      <c r="AN447" s="19"/>
      <c r="AO447" s="19"/>
      <c r="AP447" s="19"/>
      <c r="AQ447" s="19"/>
      <c r="AR447" s="19"/>
      <c r="AS447" s="19"/>
    </row>
    <row r="448" spans="2:45" s="2" customFormat="1">
      <c r="B448" s="22"/>
      <c r="C448" s="23"/>
      <c r="D448" s="24"/>
      <c r="E448" s="25"/>
      <c r="F448" s="26"/>
      <c r="G448" s="26"/>
      <c r="H448" s="26"/>
      <c r="I448" s="26"/>
      <c r="J448" s="26"/>
      <c r="K448" s="26"/>
      <c r="L448" s="26"/>
      <c r="M448" s="26"/>
      <c r="N448" s="26"/>
      <c r="O448" s="29"/>
      <c r="P448" s="26"/>
      <c r="Q448" s="26"/>
      <c r="R448" s="26"/>
      <c r="S448" s="26"/>
      <c r="T448" s="26"/>
      <c r="U448" s="26"/>
      <c r="V448" s="26"/>
      <c r="W448" s="26"/>
      <c r="X448" s="26"/>
      <c r="Y448" s="26"/>
      <c r="Z448" s="26"/>
      <c r="AA448" s="29"/>
      <c r="AB448" s="29"/>
      <c r="AC448" s="16"/>
      <c r="AD448" s="16"/>
      <c r="AE448" s="17"/>
      <c r="AF448" s="17"/>
      <c r="AG448" s="17"/>
      <c r="AH448" s="17"/>
      <c r="AI448" s="19"/>
      <c r="AJ448" s="19"/>
      <c r="AK448" s="19"/>
      <c r="AL448" s="19"/>
      <c r="AM448" s="19"/>
      <c r="AN448" s="19"/>
      <c r="AO448" s="19"/>
      <c r="AP448" s="19"/>
      <c r="AQ448" s="19"/>
      <c r="AR448" s="19"/>
      <c r="AS448" s="19"/>
    </row>
    <row r="449" spans="2:45" s="2" customFormat="1">
      <c r="B449" s="22"/>
      <c r="C449" s="23"/>
      <c r="D449" s="24"/>
      <c r="E449" s="25"/>
      <c r="F449" s="26"/>
      <c r="G449" s="26"/>
      <c r="H449" s="26"/>
      <c r="I449" s="26"/>
      <c r="J449" s="26"/>
      <c r="K449" s="26"/>
      <c r="L449" s="26"/>
      <c r="M449" s="26"/>
      <c r="N449" s="26"/>
      <c r="O449" s="29"/>
      <c r="P449" s="26"/>
      <c r="Q449" s="26"/>
      <c r="R449" s="26"/>
      <c r="S449" s="26"/>
      <c r="T449" s="26"/>
      <c r="U449" s="26"/>
      <c r="V449" s="26"/>
      <c r="W449" s="26"/>
      <c r="X449" s="26"/>
      <c r="Y449" s="26"/>
      <c r="Z449" s="26"/>
      <c r="AA449" s="29"/>
      <c r="AB449" s="29"/>
      <c r="AC449" s="16"/>
      <c r="AD449" s="16"/>
      <c r="AE449" s="17"/>
      <c r="AF449" s="17"/>
      <c r="AG449" s="17"/>
      <c r="AH449" s="17"/>
      <c r="AI449" s="19"/>
      <c r="AJ449" s="19"/>
      <c r="AK449" s="19"/>
      <c r="AL449" s="19"/>
      <c r="AM449" s="19"/>
      <c r="AN449" s="19"/>
      <c r="AO449" s="19"/>
      <c r="AP449" s="19"/>
      <c r="AQ449" s="19"/>
      <c r="AR449" s="19"/>
      <c r="AS449" s="19"/>
    </row>
    <row r="450" spans="2:45" s="2" customFormat="1">
      <c r="B450" s="22"/>
      <c r="C450" s="23"/>
      <c r="D450" s="24"/>
      <c r="E450" s="25"/>
      <c r="F450" s="26"/>
      <c r="G450" s="26"/>
      <c r="H450" s="26"/>
      <c r="I450" s="26"/>
      <c r="J450" s="26"/>
      <c r="K450" s="26"/>
      <c r="L450" s="26"/>
      <c r="M450" s="26"/>
      <c r="N450" s="26"/>
      <c r="O450" s="29"/>
      <c r="P450" s="26"/>
      <c r="Q450" s="26"/>
      <c r="R450" s="26"/>
      <c r="S450" s="26"/>
      <c r="T450" s="26"/>
      <c r="U450" s="26"/>
      <c r="V450" s="26"/>
      <c r="W450" s="26"/>
      <c r="X450" s="26"/>
      <c r="Y450" s="26"/>
      <c r="Z450" s="26"/>
      <c r="AA450" s="29"/>
      <c r="AB450" s="29"/>
      <c r="AC450" s="16"/>
      <c r="AD450" s="16"/>
      <c r="AE450" s="17"/>
      <c r="AF450" s="17"/>
      <c r="AG450" s="17"/>
      <c r="AH450" s="17"/>
      <c r="AI450" s="19"/>
      <c r="AJ450" s="19"/>
      <c r="AK450" s="19"/>
      <c r="AL450" s="19"/>
      <c r="AM450" s="19"/>
      <c r="AN450" s="19"/>
      <c r="AO450" s="19"/>
      <c r="AP450" s="19"/>
      <c r="AQ450" s="19"/>
      <c r="AR450" s="19"/>
      <c r="AS450" s="19"/>
    </row>
    <row r="451" spans="2:45" s="2" customFormat="1">
      <c r="B451" s="22"/>
      <c r="C451" s="23"/>
      <c r="D451" s="24"/>
      <c r="E451" s="25"/>
      <c r="F451" s="26"/>
      <c r="G451" s="26"/>
      <c r="H451" s="26"/>
      <c r="I451" s="26"/>
      <c r="J451" s="26"/>
      <c r="K451" s="26"/>
      <c r="L451" s="26"/>
      <c r="M451" s="26"/>
      <c r="N451" s="26"/>
      <c r="O451" s="29"/>
      <c r="P451" s="26"/>
      <c r="Q451" s="26"/>
      <c r="R451" s="26"/>
      <c r="S451" s="26"/>
      <c r="T451" s="26"/>
      <c r="U451" s="26"/>
      <c r="V451" s="26"/>
      <c r="W451" s="26"/>
      <c r="X451" s="26"/>
      <c r="Y451" s="26"/>
      <c r="Z451" s="26"/>
      <c r="AA451" s="29"/>
      <c r="AB451" s="29"/>
      <c r="AC451" s="16"/>
      <c r="AD451" s="16"/>
      <c r="AE451" s="17"/>
      <c r="AF451" s="17"/>
      <c r="AG451" s="17"/>
      <c r="AH451" s="17"/>
      <c r="AI451" s="19"/>
      <c r="AJ451" s="19"/>
      <c r="AK451" s="19"/>
      <c r="AL451" s="19"/>
      <c r="AM451" s="19"/>
      <c r="AN451" s="19"/>
      <c r="AO451" s="19"/>
      <c r="AP451" s="19"/>
      <c r="AQ451" s="19"/>
      <c r="AR451" s="19"/>
      <c r="AS451" s="19"/>
    </row>
    <row r="452" spans="2:45" s="2" customFormat="1">
      <c r="B452" s="22"/>
      <c r="C452" s="23"/>
      <c r="D452" s="24"/>
      <c r="E452" s="25"/>
      <c r="F452" s="26"/>
      <c r="G452" s="26"/>
      <c r="H452" s="26"/>
      <c r="I452" s="26"/>
      <c r="J452" s="26"/>
      <c r="K452" s="26"/>
      <c r="L452" s="26"/>
      <c r="M452" s="26"/>
      <c r="N452" s="26"/>
      <c r="O452" s="29"/>
      <c r="P452" s="26"/>
      <c r="Q452" s="26"/>
      <c r="R452" s="26"/>
      <c r="S452" s="26"/>
      <c r="T452" s="26"/>
      <c r="U452" s="26"/>
      <c r="V452" s="26"/>
      <c r="W452" s="26"/>
      <c r="X452" s="26"/>
      <c r="Y452" s="26"/>
      <c r="Z452" s="26"/>
      <c r="AA452" s="29"/>
      <c r="AB452" s="29"/>
      <c r="AC452" s="16"/>
      <c r="AD452" s="16"/>
      <c r="AE452" s="17"/>
      <c r="AF452" s="17"/>
      <c r="AG452" s="17"/>
      <c r="AH452" s="17"/>
      <c r="AI452" s="19"/>
      <c r="AJ452" s="19"/>
      <c r="AK452" s="19"/>
      <c r="AL452" s="19"/>
      <c r="AM452" s="19"/>
      <c r="AN452" s="19"/>
      <c r="AO452" s="19"/>
      <c r="AP452" s="19"/>
      <c r="AQ452" s="19"/>
      <c r="AR452" s="19"/>
      <c r="AS452" s="19"/>
    </row>
    <row r="453" spans="2:45" s="2" customFormat="1">
      <c r="B453" s="22"/>
      <c r="C453" s="23"/>
      <c r="D453" s="24"/>
      <c r="E453" s="25"/>
      <c r="F453" s="26"/>
      <c r="G453" s="26"/>
      <c r="H453" s="26"/>
      <c r="I453" s="26"/>
      <c r="J453" s="26"/>
      <c r="K453" s="26"/>
      <c r="L453" s="26"/>
      <c r="M453" s="26"/>
      <c r="N453" s="26"/>
      <c r="O453" s="29"/>
      <c r="P453" s="26"/>
      <c r="Q453" s="26"/>
      <c r="R453" s="26"/>
      <c r="S453" s="26"/>
      <c r="T453" s="26"/>
      <c r="U453" s="26"/>
      <c r="V453" s="26"/>
      <c r="W453" s="26"/>
      <c r="X453" s="26"/>
      <c r="Y453" s="26"/>
      <c r="Z453" s="26"/>
      <c r="AA453" s="29"/>
      <c r="AB453" s="29"/>
      <c r="AC453" s="16"/>
      <c r="AD453" s="16"/>
      <c r="AE453" s="17"/>
      <c r="AF453" s="17"/>
      <c r="AG453" s="17"/>
      <c r="AH453" s="17"/>
      <c r="AI453" s="19"/>
      <c r="AJ453" s="19"/>
      <c r="AK453" s="19"/>
      <c r="AL453" s="19"/>
      <c r="AM453" s="19"/>
      <c r="AN453" s="19"/>
      <c r="AO453" s="19"/>
      <c r="AP453" s="19"/>
      <c r="AQ453" s="19"/>
      <c r="AR453" s="19"/>
      <c r="AS453" s="19"/>
    </row>
    <row r="454" spans="2:45" s="2" customFormat="1">
      <c r="B454" s="22"/>
      <c r="C454" s="23"/>
      <c r="D454" s="24"/>
      <c r="E454" s="25"/>
      <c r="F454" s="26"/>
      <c r="G454" s="26"/>
      <c r="H454" s="26"/>
      <c r="I454" s="26"/>
      <c r="J454" s="26"/>
      <c r="K454" s="26"/>
      <c r="L454" s="26"/>
      <c r="M454" s="26"/>
      <c r="N454" s="26"/>
      <c r="O454" s="29"/>
      <c r="P454" s="26"/>
      <c r="Q454" s="26"/>
      <c r="R454" s="26"/>
      <c r="S454" s="26"/>
      <c r="T454" s="26"/>
      <c r="U454" s="26"/>
      <c r="V454" s="26"/>
      <c r="W454" s="26"/>
      <c r="X454" s="26"/>
      <c r="Y454" s="26"/>
      <c r="Z454" s="26"/>
      <c r="AA454" s="29"/>
      <c r="AB454" s="29"/>
      <c r="AC454" s="16"/>
      <c r="AD454" s="16"/>
      <c r="AE454" s="17"/>
      <c r="AF454" s="17"/>
      <c r="AG454" s="17"/>
      <c r="AH454" s="17"/>
      <c r="AI454" s="19"/>
      <c r="AJ454" s="19"/>
      <c r="AK454" s="19"/>
      <c r="AL454" s="19"/>
      <c r="AM454" s="19"/>
      <c r="AN454" s="19"/>
      <c r="AO454" s="19"/>
      <c r="AP454" s="19"/>
      <c r="AQ454" s="19"/>
      <c r="AR454" s="19"/>
      <c r="AS454" s="19"/>
    </row>
    <row r="455" spans="2:45" s="2" customFormat="1">
      <c r="B455" s="22"/>
      <c r="C455" s="23"/>
      <c r="D455" s="24"/>
      <c r="E455" s="25"/>
      <c r="F455" s="26"/>
      <c r="G455" s="26"/>
      <c r="H455" s="26"/>
      <c r="I455" s="26"/>
      <c r="J455" s="26"/>
      <c r="K455" s="26"/>
      <c r="L455" s="26"/>
      <c r="M455" s="26"/>
      <c r="N455" s="26"/>
      <c r="O455" s="29"/>
      <c r="P455" s="26"/>
      <c r="Q455" s="26"/>
      <c r="R455" s="26"/>
      <c r="S455" s="26"/>
      <c r="T455" s="26"/>
      <c r="U455" s="26"/>
      <c r="V455" s="26"/>
      <c r="W455" s="26"/>
      <c r="X455" s="26"/>
      <c r="Y455" s="26"/>
      <c r="Z455" s="26"/>
      <c r="AA455" s="29"/>
      <c r="AB455" s="29"/>
      <c r="AC455" s="16"/>
      <c r="AD455" s="16"/>
      <c r="AE455" s="17"/>
      <c r="AF455" s="17"/>
      <c r="AG455" s="17"/>
      <c r="AH455" s="17"/>
      <c r="AI455" s="19"/>
      <c r="AJ455" s="19"/>
      <c r="AK455" s="19"/>
      <c r="AL455" s="19"/>
      <c r="AM455" s="19"/>
      <c r="AN455" s="19"/>
      <c r="AO455" s="19"/>
      <c r="AP455" s="19"/>
      <c r="AQ455" s="19"/>
      <c r="AR455" s="19"/>
      <c r="AS455" s="19"/>
    </row>
    <row r="456" spans="2:45" s="2" customFormat="1">
      <c r="B456" s="22"/>
      <c r="C456" s="23"/>
      <c r="D456" s="24"/>
      <c r="E456" s="25"/>
      <c r="F456" s="26"/>
      <c r="G456" s="26"/>
      <c r="H456" s="26"/>
      <c r="I456" s="26"/>
      <c r="J456" s="26"/>
      <c r="K456" s="26"/>
      <c r="L456" s="26"/>
      <c r="M456" s="26"/>
      <c r="N456" s="26"/>
      <c r="O456" s="29"/>
      <c r="P456" s="26"/>
      <c r="Q456" s="26"/>
      <c r="R456" s="26"/>
      <c r="S456" s="26"/>
      <c r="T456" s="26"/>
      <c r="U456" s="26"/>
      <c r="V456" s="26"/>
      <c r="W456" s="26"/>
      <c r="X456" s="26"/>
      <c r="Y456" s="26"/>
      <c r="Z456" s="26"/>
      <c r="AA456" s="29"/>
      <c r="AB456" s="29"/>
      <c r="AC456" s="16"/>
      <c r="AD456" s="16"/>
      <c r="AE456" s="17"/>
      <c r="AF456" s="17"/>
      <c r="AG456" s="17"/>
      <c r="AH456" s="17"/>
      <c r="AI456" s="19"/>
      <c r="AJ456" s="19"/>
      <c r="AK456" s="19"/>
      <c r="AL456" s="19"/>
      <c r="AM456" s="19"/>
      <c r="AN456" s="19"/>
      <c r="AO456" s="19"/>
      <c r="AP456" s="19"/>
      <c r="AQ456" s="19"/>
      <c r="AR456" s="19"/>
      <c r="AS456" s="19"/>
    </row>
    <row r="457" spans="2:45" s="2" customFormat="1">
      <c r="B457" s="22"/>
      <c r="C457" s="23"/>
      <c r="D457" s="24"/>
      <c r="E457" s="25"/>
      <c r="F457" s="26"/>
      <c r="G457" s="26"/>
      <c r="H457" s="26"/>
      <c r="I457" s="26"/>
      <c r="J457" s="26"/>
      <c r="K457" s="26"/>
      <c r="L457" s="26"/>
      <c r="M457" s="26"/>
      <c r="N457" s="26"/>
      <c r="O457" s="29"/>
      <c r="P457" s="26"/>
      <c r="Q457" s="26"/>
      <c r="R457" s="26"/>
      <c r="S457" s="26"/>
      <c r="T457" s="26"/>
      <c r="U457" s="26"/>
      <c r="V457" s="26"/>
      <c r="W457" s="26"/>
      <c r="X457" s="26"/>
      <c r="Y457" s="26"/>
      <c r="Z457" s="26"/>
      <c r="AA457" s="29"/>
      <c r="AB457" s="29"/>
      <c r="AC457" s="16"/>
      <c r="AD457" s="16"/>
      <c r="AE457" s="17"/>
      <c r="AF457" s="17"/>
      <c r="AG457" s="17"/>
      <c r="AH457" s="17"/>
      <c r="AI457" s="19"/>
      <c r="AJ457" s="19"/>
      <c r="AK457" s="19"/>
      <c r="AL457" s="19"/>
      <c r="AM457" s="19"/>
      <c r="AN457" s="19"/>
      <c r="AO457" s="19"/>
      <c r="AP457" s="19"/>
      <c r="AQ457" s="19"/>
      <c r="AR457" s="19"/>
      <c r="AS457" s="19"/>
    </row>
    <row r="458" spans="2:45" s="2" customFormat="1">
      <c r="B458" s="22"/>
      <c r="C458" s="23"/>
      <c r="D458" s="24"/>
      <c r="E458" s="25"/>
      <c r="F458" s="26"/>
      <c r="G458" s="26"/>
      <c r="H458" s="26"/>
      <c r="I458" s="26"/>
      <c r="J458" s="26"/>
      <c r="K458" s="26"/>
      <c r="L458" s="26"/>
      <c r="M458" s="26"/>
      <c r="N458" s="26"/>
      <c r="O458" s="29"/>
      <c r="P458" s="26"/>
      <c r="Q458" s="26"/>
      <c r="R458" s="26"/>
      <c r="S458" s="26"/>
      <c r="T458" s="26"/>
      <c r="U458" s="26"/>
      <c r="V458" s="26"/>
      <c r="W458" s="26"/>
      <c r="X458" s="26"/>
      <c r="Y458" s="26"/>
      <c r="Z458" s="26"/>
      <c r="AA458" s="29"/>
      <c r="AB458" s="29"/>
      <c r="AC458" s="16"/>
      <c r="AD458" s="16"/>
      <c r="AE458" s="17"/>
      <c r="AF458" s="17"/>
      <c r="AG458" s="17"/>
      <c r="AH458" s="17"/>
      <c r="AI458" s="19"/>
      <c r="AJ458" s="19"/>
      <c r="AK458" s="19"/>
      <c r="AL458" s="19"/>
      <c r="AM458" s="19"/>
      <c r="AN458" s="19"/>
      <c r="AO458" s="19"/>
      <c r="AP458" s="19"/>
      <c r="AQ458" s="19"/>
      <c r="AR458" s="19"/>
      <c r="AS458" s="19"/>
    </row>
    <row r="459" spans="2:45" s="2" customFormat="1">
      <c r="B459" s="22"/>
      <c r="C459" s="23"/>
      <c r="D459" s="24"/>
      <c r="E459" s="25"/>
      <c r="F459" s="26"/>
      <c r="G459" s="26"/>
      <c r="H459" s="26"/>
      <c r="I459" s="26"/>
      <c r="J459" s="26"/>
      <c r="K459" s="26"/>
      <c r="L459" s="26"/>
      <c r="M459" s="26"/>
      <c r="N459" s="26"/>
      <c r="O459" s="29"/>
      <c r="P459" s="26"/>
      <c r="Q459" s="26"/>
      <c r="R459" s="26"/>
      <c r="S459" s="26"/>
      <c r="T459" s="26"/>
      <c r="U459" s="26"/>
      <c r="V459" s="26"/>
      <c r="W459" s="26"/>
      <c r="X459" s="26"/>
      <c r="Y459" s="26"/>
      <c r="Z459" s="26"/>
      <c r="AA459" s="29"/>
      <c r="AB459" s="29"/>
      <c r="AC459" s="16"/>
      <c r="AD459" s="16"/>
      <c r="AE459" s="17"/>
      <c r="AF459" s="17"/>
      <c r="AG459" s="17"/>
      <c r="AH459" s="17"/>
      <c r="AI459" s="19"/>
      <c r="AJ459" s="19"/>
      <c r="AK459" s="19"/>
      <c r="AL459" s="19"/>
      <c r="AM459" s="19"/>
      <c r="AN459" s="19"/>
      <c r="AO459" s="19"/>
      <c r="AP459" s="19"/>
      <c r="AQ459" s="19"/>
      <c r="AR459" s="19"/>
      <c r="AS459" s="19"/>
    </row>
    <row r="460" spans="2:45" s="2" customFormat="1">
      <c r="B460" s="22"/>
      <c r="C460" s="23"/>
      <c r="D460" s="24"/>
      <c r="E460" s="25"/>
      <c r="F460" s="26"/>
      <c r="G460" s="26"/>
      <c r="H460" s="26"/>
      <c r="I460" s="26"/>
      <c r="J460" s="26"/>
      <c r="K460" s="26"/>
      <c r="L460" s="26"/>
      <c r="M460" s="26"/>
      <c r="N460" s="26"/>
      <c r="O460" s="29"/>
      <c r="P460" s="26"/>
      <c r="Q460" s="26"/>
      <c r="R460" s="26"/>
      <c r="S460" s="26"/>
      <c r="T460" s="26"/>
      <c r="U460" s="26"/>
      <c r="V460" s="26"/>
      <c r="W460" s="26"/>
      <c r="X460" s="26"/>
      <c r="Y460" s="26"/>
      <c r="Z460" s="26"/>
      <c r="AA460" s="29"/>
      <c r="AB460" s="29"/>
      <c r="AC460" s="16"/>
      <c r="AD460" s="16"/>
      <c r="AE460" s="17"/>
      <c r="AF460" s="17"/>
      <c r="AG460" s="17"/>
      <c r="AH460" s="17"/>
      <c r="AI460" s="19"/>
      <c r="AJ460" s="19"/>
      <c r="AK460" s="19"/>
      <c r="AL460" s="19"/>
      <c r="AM460" s="19"/>
      <c r="AN460" s="19"/>
      <c r="AO460" s="19"/>
      <c r="AP460" s="19"/>
      <c r="AQ460" s="19"/>
      <c r="AR460" s="19"/>
      <c r="AS460" s="19"/>
    </row>
    <row r="461" spans="2:45" s="2" customFormat="1">
      <c r="B461" s="22"/>
      <c r="C461" s="23"/>
      <c r="D461" s="24"/>
      <c r="E461" s="25"/>
      <c r="F461" s="26"/>
      <c r="G461" s="26"/>
      <c r="H461" s="26"/>
      <c r="I461" s="26"/>
      <c r="J461" s="26"/>
      <c r="K461" s="26"/>
      <c r="L461" s="26"/>
      <c r="M461" s="26"/>
      <c r="N461" s="26"/>
      <c r="O461" s="29"/>
      <c r="P461" s="26"/>
      <c r="Q461" s="26"/>
      <c r="R461" s="26"/>
      <c r="S461" s="26"/>
      <c r="T461" s="26"/>
      <c r="U461" s="26"/>
      <c r="V461" s="26"/>
      <c r="W461" s="26"/>
      <c r="X461" s="26"/>
      <c r="Y461" s="26"/>
      <c r="Z461" s="26"/>
      <c r="AA461" s="29"/>
      <c r="AB461" s="29"/>
      <c r="AC461" s="16"/>
      <c r="AD461" s="16"/>
      <c r="AE461" s="17"/>
      <c r="AF461" s="17"/>
      <c r="AG461" s="17"/>
      <c r="AH461" s="17"/>
      <c r="AI461" s="19"/>
      <c r="AJ461" s="19"/>
      <c r="AK461" s="19"/>
      <c r="AL461" s="19"/>
      <c r="AM461" s="19"/>
      <c r="AN461" s="19"/>
      <c r="AO461" s="19"/>
      <c r="AP461" s="19"/>
      <c r="AQ461" s="19"/>
      <c r="AR461" s="19"/>
      <c r="AS461" s="19"/>
    </row>
    <row r="462" spans="2:45" s="2" customFormat="1">
      <c r="B462" s="22"/>
      <c r="C462" s="23"/>
      <c r="D462" s="24"/>
      <c r="E462" s="25"/>
      <c r="F462" s="26"/>
      <c r="G462" s="26"/>
      <c r="H462" s="26"/>
      <c r="I462" s="26"/>
      <c r="J462" s="26"/>
      <c r="K462" s="26"/>
      <c r="L462" s="26"/>
      <c r="M462" s="26"/>
      <c r="N462" s="26"/>
      <c r="O462" s="29"/>
      <c r="P462" s="26"/>
      <c r="Q462" s="26"/>
      <c r="R462" s="26"/>
      <c r="S462" s="26"/>
      <c r="T462" s="26"/>
      <c r="U462" s="26"/>
      <c r="V462" s="26"/>
      <c r="W462" s="26"/>
      <c r="X462" s="26"/>
      <c r="Y462" s="26"/>
      <c r="Z462" s="26"/>
      <c r="AA462" s="29"/>
      <c r="AB462" s="29"/>
      <c r="AC462" s="16"/>
      <c r="AD462" s="16"/>
      <c r="AE462" s="17"/>
      <c r="AF462" s="17"/>
      <c r="AG462" s="17"/>
      <c r="AH462" s="17"/>
      <c r="AI462" s="19"/>
      <c r="AJ462" s="19"/>
      <c r="AK462" s="19"/>
      <c r="AL462" s="19"/>
      <c r="AM462" s="19"/>
      <c r="AN462" s="19"/>
      <c r="AO462" s="19"/>
      <c r="AP462" s="19"/>
      <c r="AQ462" s="19"/>
      <c r="AR462" s="19"/>
      <c r="AS462" s="19"/>
    </row>
    <row r="463" spans="2:45" s="2" customFormat="1">
      <c r="B463" s="22"/>
      <c r="C463" s="23"/>
      <c r="D463" s="24"/>
      <c r="E463" s="25"/>
      <c r="F463" s="26"/>
      <c r="G463" s="26"/>
      <c r="H463" s="26"/>
      <c r="I463" s="26"/>
      <c r="J463" s="26"/>
      <c r="K463" s="26"/>
      <c r="L463" s="26"/>
      <c r="M463" s="26"/>
      <c r="N463" s="26"/>
      <c r="O463" s="29"/>
      <c r="P463" s="26"/>
      <c r="Q463" s="26"/>
      <c r="R463" s="26"/>
      <c r="S463" s="26"/>
      <c r="T463" s="26"/>
      <c r="U463" s="26"/>
      <c r="V463" s="26"/>
      <c r="W463" s="26"/>
      <c r="X463" s="26"/>
      <c r="Y463" s="26"/>
      <c r="Z463" s="26"/>
      <c r="AA463" s="29"/>
      <c r="AB463" s="29"/>
      <c r="AC463" s="16"/>
      <c r="AD463" s="16"/>
      <c r="AE463" s="17"/>
      <c r="AF463" s="17"/>
      <c r="AG463" s="17"/>
      <c r="AH463" s="17"/>
      <c r="AI463" s="19"/>
      <c r="AJ463" s="19"/>
      <c r="AK463" s="19"/>
      <c r="AL463" s="19"/>
      <c r="AM463" s="19"/>
      <c r="AN463" s="19"/>
      <c r="AO463" s="19"/>
      <c r="AP463" s="19"/>
      <c r="AQ463" s="19"/>
      <c r="AR463" s="19"/>
      <c r="AS463" s="19"/>
    </row>
    <row r="464" spans="2:45" s="2" customFormat="1">
      <c r="B464" s="22"/>
      <c r="C464" s="23"/>
      <c r="D464" s="24"/>
      <c r="E464" s="25"/>
      <c r="F464" s="26"/>
      <c r="G464" s="26"/>
      <c r="H464" s="26"/>
      <c r="I464" s="26"/>
      <c r="J464" s="26"/>
      <c r="K464" s="26"/>
      <c r="L464" s="26"/>
      <c r="M464" s="26"/>
      <c r="N464" s="26"/>
      <c r="O464" s="29"/>
      <c r="P464" s="26"/>
      <c r="Q464" s="26"/>
      <c r="R464" s="26"/>
      <c r="S464" s="26"/>
      <c r="T464" s="26"/>
      <c r="U464" s="26"/>
      <c r="V464" s="26"/>
      <c r="W464" s="26"/>
      <c r="X464" s="26"/>
      <c r="Y464" s="26"/>
      <c r="Z464" s="26"/>
      <c r="AA464" s="29"/>
      <c r="AB464" s="29"/>
      <c r="AC464" s="16"/>
      <c r="AD464" s="16"/>
      <c r="AE464" s="17"/>
      <c r="AF464" s="17"/>
      <c r="AG464" s="17"/>
      <c r="AH464" s="17"/>
      <c r="AI464" s="19"/>
      <c r="AJ464" s="19"/>
      <c r="AK464" s="19"/>
      <c r="AL464" s="19"/>
      <c r="AM464" s="19"/>
      <c r="AN464" s="19"/>
      <c r="AO464" s="19"/>
      <c r="AP464" s="19"/>
      <c r="AQ464" s="19"/>
      <c r="AR464" s="19"/>
      <c r="AS464" s="19"/>
    </row>
    <row r="465" spans="2:45" s="2" customFormat="1">
      <c r="B465" s="22"/>
      <c r="C465" s="23"/>
      <c r="D465" s="24"/>
      <c r="E465" s="25"/>
      <c r="F465" s="26"/>
      <c r="G465" s="26"/>
      <c r="H465" s="26"/>
      <c r="I465" s="26"/>
      <c r="J465" s="26"/>
      <c r="K465" s="26"/>
      <c r="L465" s="26"/>
      <c r="M465" s="26"/>
      <c r="N465" s="26"/>
      <c r="O465" s="29"/>
      <c r="P465" s="26"/>
      <c r="Q465" s="26"/>
      <c r="R465" s="26"/>
      <c r="S465" s="26"/>
      <c r="T465" s="26"/>
      <c r="U465" s="26"/>
      <c r="V465" s="26"/>
      <c r="W465" s="26"/>
      <c r="X465" s="26"/>
      <c r="Y465" s="26"/>
      <c r="Z465" s="26"/>
      <c r="AA465" s="29"/>
      <c r="AB465" s="29"/>
      <c r="AC465" s="16"/>
      <c r="AD465" s="16"/>
      <c r="AE465" s="17"/>
      <c r="AF465" s="17"/>
      <c r="AG465" s="17"/>
      <c r="AH465" s="17"/>
      <c r="AI465" s="19"/>
      <c r="AJ465" s="19"/>
      <c r="AK465" s="19"/>
      <c r="AL465" s="19"/>
      <c r="AM465" s="19"/>
      <c r="AN465" s="19"/>
      <c r="AO465" s="19"/>
      <c r="AP465" s="19"/>
      <c r="AQ465" s="19"/>
      <c r="AR465" s="19"/>
      <c r="AS465" s="19"/>
    </row>
    <row r="466" spans="2:45" s="2" customFormat="1">
      <c r="B466" s="22"/>
      <c r="C466" s="23"/>
      <c r="D466" s="24"/>
      <c r="E466" s="25"/>
      <c r="F466" s="26"/>
      <c r="G466" s="26"/>
      <c r="H466" s="26"/>
      <c r="I466" s="26"/>
      <c r="J466" s="26"/>
      <c r="K466" s="26"/>
      <c r="L466" s="26"/>
      <c r="M466" s="26"/>
      <c r="N466" s="26"/>
      <c r="O466" s="29"/>
      <c r="P466" s="26"/>
      <c r="Q466" s="26"/>
      <c r="R466" s="26"/>
      <c r="S466" s="26"/>
      <c r="T466" s="26"/>
      <c r="U466" s="26"/>
      <c r="V466" s="26"/>
      <c r="W466" s="26"/>
      <c r="X466" s="26"/>
      <c r="Y466" s="26"/>
      <c r="Z466" s="26"/>
      <c r="AA466" s="29"/>
      <c r="AB466" s="29"/>
      <c r="AC466" s="16"/>
      <c r="AD466" s="16"/>
      <c r="AE466" s="17"/>
      <c r="AF466" s="17"/>
      <c r="AG466" s="17"/>
      <c r="AH466" s="17"/>
      <c r="AI466" s="19"/>
      <c r="AJ466" s="19"/>
      <c r="AK466" s="19"/>
      <c r="AL466" s="19"/>
      <c r="AM466" s="19"/>
      <c r="AN466" s="19"/>
      <c r="AO466" s="19"/>
      <c r="AP466" s="19"/>
      <c r="AQ466" s="19"/>
      <c r="AR466" s="19"/>
      <c r="AS466" s="19"/>
    </row>
    <row r="467" spans="2:45" s="2" customFormat="1">
      <c r="B467" s="22"/>
      <c r="C467" s="23"/>
      <c r="D467" s="24"/>
      <c r="E467" s="25"/>
      <c r="F467" s="26"/>
      <c r="G467" s="26"/>
      <c r="H467" s="26"/>
      <c r="I467" s="26"/>
      <c r="J467" s="26"/>
      <c r="K467" s="26"/>
      <c r="L467" s="26"/>
      <c r="M467" s="26"/>
      <c r="N467" s="26"/>
      <c r="O467" s="29"/>
      <c r="P467" s="26"/>
      <c r="Q467" s="26"/>
      <c r="R467" s="26"/>
      <c r="S467" s="26"/>
      <c r="T467" s="26"/>
      <c r="U467" s="26"/>
      <c r="V467" s="26"/>
      <c r="W467" s="26"/>
      <c r="X467" s="26"/>
      <c r="Y467" s="26"/>
      <c r="Z467" s="26"/>
      <c r="AA467" s="29"/>
      <c r="AB467" s="29"/>
      <c r="AC467" s="16"/>
      <c r="AD467" s="16"/>
      <c r="AE467" s="17"/>
      <c r="AF467" s="17"/>
      <c r="AG467" s="17"/>
      <c r="AH467" s="17"/>
      <c r="AI467" s="19"/>
      <c r="AJ467" s="19"/>
      <c r="AK467" s="19"/>
      <c r="AL467" s="19"/>
      <c r="AM467" s="19"/>
      <c r="AN467" s="19"/>
      <c r="AO467" s="19"/>
      <c r="AP467" s="19"/>
      <c r="AQ467" s="19"/>
      <c r="AR467" s="19"/>
      <c r="AS467" s="19"/>
    </row>
    <row r="468" spans="2:45" s="2" customFormat="1">
      <c r="B468" s="22"/>
      <c r="C468" s="23"/>
      <c r="D468" s="24"/>
      <c r="E468" s="25"/>
      <c r="F468" s="26"/>
      <c r="G468" s="26"/>
      <c r="H468" s="26"/>
      <c r="I468" s="26"/>
      <c r="J468" s="26"/>
      <c r="K468" s="26"/>
      <c r="L468" s="26"/>
      <c r="M468" s="26"/>
      <c r="N468" s="26"/>
      <c r="O468" s="29"/>
      <c r="P468" s="26"/>
      <c r="Q468" s="26"/>
      <c r="R468" s="26"/>
      <c r="S468" s="26"/>
      <c r="T468" s="26"/>
      <c r="U468" s="26"/>
      <c r="V468" s="26"/>
      <c r="W468" s="26"/>
      <c r="X468" s="26"/>
      <c r="Y468" s="26"/>
      <c r="Z468" s="26"/>
      <c r="AA468" s="29"/>
      <c r="AB468" s="29"/>
      <c r="AC468" s="16"/>
      <c r="AD468" s="16"/>
      <c r="AE468" s="17"/>
      <c r="AF468" s="17"/>
      <c r="AG468" s="17"/>
      <c r="AH468" s="17"/>
      <c r="AI468" s="19"/>
      <c r="AJ468" s="19"/>
      <c r="AK468" s="19"/>
      <c r="AL468" s="19"/>
      <c r="AM468" s="19"/>
      <c r="AN468" s="19"/>
      <c r="AO468" s="19"/>
      <c r="AP468" s="19"/>
      <c r="AQ468" s="19"/>
      <c r="AR468" s="19"/>
      <c r="AS468" s="19"/>
    </row>
    <row r="469" spans="2:45" s="2" customFormat="1">
      <c r="B469" s="22"/>
      <c r="C469" s="23"/>
      <c r="D469" s="24"/>
      <c r="E469" s="25"/>
      <c r="F469" s="26"/>
      <c r="G469" s="26"/>
      <c r="H469" s="26"/>
      <c r="I469" s="26"/>
      <c r="J469" s="26"/>
      <c r="K469" s="26"/>
      <c r="L469" s="26"/>
      <c r="M469" s="26"/>
      <c r="N469" s="26"/>
      <c r="O469" s="29"/>
      <c r="P469" s="26"/>
      <c r="Q469" s="26"/>
      <c r="R469" s="26"/>
      <c r="S469" s="26"/>
      <c r="T469" s="26"/>
      <c r="U469" s="26"/>
      <c r="V469" s="26"/>
      <c r="W469" s="26"/>
      <c r="X469" s="26"/>
      <c r="Y469" s="26"/>
      <c r="Z469" s="26"/>
      <c r="AA469" s="29"/>
      <c r="AB469" s="29"/>
      <c r="AC469" s="16"/>
      <c r="AD469" s="16"/>
      <c r="AE469" s="17"/>
      <c r="AF469" s="17"/>
      <c r="AG469" s="17"/>
      <c r="AH469" s="17"/>
      <c r="AI469" s="19"/>
      <c r="AJ469" s="19"/>
      <c r="AK469" s="19"/>
      <c r="AL469" s="19"/>
      <c r="AM469" s="19"/>
      <c r="AN469" s="19"/>
      <c r="AO469" s="19"/>
      <c r="AP469" s="19"/>
      <c r="AQ469" s="19"/>
      <c r="AR469" s="19"/>
      <c r="AS469" s="19"/>
    </row>
    <row r="470" spans="2:45" s="2" customFormat="1">
      <c r="B470" s="22"/>
      <c r="C470" s="23"/>
      <c r="D470" s="24"/>
      <c r="E470" s="25"/>
      <c r="F470" s="26"/>
      <c r="G470" s="26"/>
      <c r="H470" s="26"/>
      <c r="I470" s="26"/>
      <c r="J470" s="26"/>
      <c r="K470" s="26"/>
      <c r="L470" s="26"/>
      <c r="M470" s="26"/>
      <c r="N470" s="26"/>
      <c r="O470" s="29"/>
      <c r="P470" s="26"/>
      <c r="Q470" s="26"/>
      <c r="R470" s="26"/>
      <c r="S470" s="26"/>
      <c r="T470" s="26"/>
      <c r="U470" s="26"/>
      <c r="V470" s="26"/>
      <c r="W470" s="26"/>
      <c r="X470" s="26"/>
      <c r="Y470" s="26"/>
      <c r="Z470" s="26"/>
      <c r="AA470" s="29"/>
      <c r="AB470" s="29"/>
      <c r="AC470" s="16"/>
      <c r="AD470" s="16"/>
      <c r="AE470" s="17"/>
      <c r="AF470" s="17"/>
      <c r="AG470" s="17"/>
      <c r="AH470" s="17"/>
      <c r="AI470" s="19"/>
      <c r="AJ470" s="19"/>
      <c r="AK470" s="19"/>
      <c r="AL470" s="19"/>
      <c r="AM470" s="19"/>
      <c r="AN470" s="19"/>
      <c r="AO470" s="19"/>
      <c r="AP470" s="19"/>
      <c r="AQ470" s="19"/>
      <c r="AR470" s="19"/>
      <c r="AS470" s="19"/>
    </row>
    <row r="471" spans="2:45" s="2" customFormat="1">
      <c r="B471" s="22"/>
      <c r="C471" s="23"/>
      <c r="D471" s="24"/>
      <c r="E471" s="25"/>
      <c r="F471" s="26"/>
      <c r="G471" s="26"/>
      <c r="H471" s="26"/>
      <c r="I471" s="26"/>
      <c r="J471" s="26"/>
      <c r="K471" s="26"/>
      <c r="L471" s="26"/>
      <c r="M471" s="26"/>
      <c r="N471" s="26"/>
      <c r="O471" s="29"/>
      <c r="P471" s="26"/>
      <c r="Q471" s="26"/>
      <c r="R471" s="26"/>
      <c r="S471" s="26"/>
      <c r="T471" s="26"/>
      <c r="U471" s="26"/>
      <c r="V471" s="26"/>
      <c r="W471" s="26"/>
      <c r="X471" s="26"/>
      <c r="Y471" s="26"/>
      <c r="Z471" s="26"/>
      <c r="AA471" s="29"/>
      <c r="AB471" s="29"/>
      <c r="AC471" s="16"/>
      <c r="AD471" s="16"/>
      <c r="AE471" s="17"/>
      <c r="AF471" s="17"/>
      <c r="AG471" s="17"/>
      <c r="AH471" s="17"/>
      <c r="AI471" s="19"/>
      <c r="AJ471" s="19"/>
      <c r="AK471" s="19"/>
      <c r="AL471" s="19"/>
      <c r="AM471" s="19"/>
      <c r="AN471" s="19"/>
      <c r="AO471" s="19"/>
      <c r="AP471" s="19"/>
      <c r="AQ471" s="19"/>
      <c r="AR471" s="19"/>
      <c r="AS471" s="19"/>
    </row>
    <row r="472" spans="2:45" s="2" customFormat="1">
      <c r="B472" s="22"/>
      <c r="C472" s="23"/>
      <c r="D472" s="24"/>
      <c r="E472" s="25"/>
      <c r="F472" s="26"/>
      <c r="G472" s="26"/>
      <c r="H472" s="26"/>
      <c r="I472" s="26"/>
      <c r="J472" s="26"/>
      <c r="K472" s="26"/>
      <c r="L472" s="26"/>
      <c r="M472" s="26"/>
      <c r="N472" s="26"/>
      <c r="O472" s="29"/>
      <c r="P472" s="26"/>
      <c r="Q472" s="26"/>
      <c r="R472" s="26"/>
      <c r="S472" s="26"/>
      <c r="T472" s="26"/>
      <c r="U472" s="26"/>
      <c r="V472" s="26"/>
      <c r="W472" s="26"/>
      <c r="X472" s="26"/>
      <c r="Y472" s="26"/>
      <c r="Z472" s="26"/>
      <c r="AA472" s="29"/>
      <c r="AB472" s="29"/>
      <c r="AC472" s="16"/>
      <c r="AD472" s="16"/>
      <c r="AE472" s="17"/>
      <c r="AF472" s="17"/>
      <c r="AG472" s="17"/>
      <c r="AH472" s="17"/>
      <c r="AI472" s="19"/>
      <c r="AJ472" s="19"/>
      <c r="AK472" s="19"/>
      <c r="AL472" s="19"/>
      <c r="AM472" s="19"/>
      <c r="AN472" s="19"/>
      <c r="AO472" s="19"/>
      <c r="AP472" s="19"/>
      <c r="AQ472" s="19"/>
      <c r="AR472" s="19"/>
      <c r="AS472" s="19"/>
    </row>
    <row r="473" spans="2:45" s="2" customFormat="1">
      <c r="B473" s="22"/>
      <c r="C473" s="23"/>
      <c r="D473" s="24"/>
      <c r="E473" s="25"/>
      <c r="F473" s="26"/>
      <c r="G473" s="26"/>
      <c r="H473" s="26"/>
      <c r="I473" s="26"/>
      <c r="J473" s="26"/>
      <c r="K473" s="26"/>
      <c r="L473" s="26"/>
      <c r="M473" s="26"/>
      <c r="N473" s="26"/>
      <c r="O473" s="29"/>
      <c r="P473" s="26"/>
      <c r="Q473" s="26"/>
      <c r="R473" s="26"/>
      <c r="S473" s="26"/>
      <c r="T473" s="26"/>
      <c r="U473" s="26"/>
      <c r="V473" s="26"/>
      <c r="W473" s="26"/>
      <c r="X473" s="26"/>
      <c r="Y473" s="26"/>
      <c r="Z473" s="26"/>
      <c r="AA473" s="29"/>
      <c r="AB473" s="29"/>
      <c r="AC473" s="16"/>
      <c r="AD473" s="16"/>
      <c r="AE473" s="17"/>
      <c r="AF473" s="17"/>
      <c r="AG473" s="17"/>
      <c r="AH473" s="17"/>
      <c r="AI473" s="19"/>
      <c r="AJ473" s="19"/>
      <c r="AK473" s="19"/>
      <c r="AL473" s="19"/>
      <c r="AM473" s="19"/>
      <c r="AN473" s="19"/>
      <c r="AO473" s="19"/>
      <c r="AP473" s="19"/>
      <c r="AQ473" s="19"/>
      <c r="AR473" s="19"/>
      <c r="AS473" s="19"/>
    </row>
    <row r="474" spans="2:45" s="2" customFormat="1">
      <c r="B474" s="22"/>
      <c r="C474" s="23"/>
      <c r="D474" s="24"/>
      <c r="E474" s="25"/>
      <c r="F474" s="26"/>
      <c r="G474" s="26"/>
      <c r="H474" s="26"/>
      <c r="I474" s="26"/>
      <c r="J474" s="26"/>
      <c r="K474" s="26"/>
      <c r="L474" s="26"/>
      <c r="M474" s="26"/>
      <c r="N474" s="26"/>
      <c r="O474" s="29"/>
      <c r="P474" s="26"/>
      <c r="Q474" s="26"/>
      <c r="R474" s="26"/>
      <c r="S474" s="26"/>
      <c r="T474" s="26"/>
      <c r="U474" s="26"/>
      <c r="V474" s="26"/>
      <c r="W474" s="26"/>
      <c r="X474" s="26"/>
      <c r="Y474" s="26"/>
      <c r="Z474" s="26"/>
      <c r="AA474" s="29"/>
      <c r="AB474" s="29"/>
      <c r="AC474" s="16"/>
      <c r="AD474" s="16"/>
      <c r="AE474" s="17"/>
      <c r="AF474" s="17"/>
      <c r="AG474" s="17"/>
      <c r="AH474" s="17"/>
      <c r="AI474" s="19"/>
      <c r="AJ474" s="19"/>
      <c r="AK474" s="19"/>
      <c r="AL474" s="19"/>
      <c r="AM474" s="19"/>
      <c r="AN474" s="19"/>
      <c r="AO474" s="19"/>
      <c r="AP474" s="19"/>
      <c r="AQ474" s="19"/>
      <c r="AR474" s="19"/>
      <c r="AS474" s="19"/>
    </row>
    <row r="475" spans="2:45" s="2" customFormat="1">
      <c r="B475" s="22"/>
      <c r="C475" s="23"/>
      <c r="D475" s="24"/>
      <c r="E475" s="25"/>
      <c r="F475" s="26"/>
      <c r="G475" s="26"/>
      <c r="H475" s="26"/>
      <c r="I475" s="26"/>
      <c r="J475" s="26"/>
      <c r="K475" s="26"/>
      <c r="L475" s="26"/>
      <c r="M475" s="26"/>
      <c r="N475" s="26"/>
      <c r="O475" s="29"/>
      <c r="P475" s="26"/>
      <c r="Q475" s="26"/>
      <c r="R475" s="26"/>
      <c r="S475" s="26"/>
      <c r="T475" s="26"/>
      <c r="U475" s="26"/>
      <c r="V475" s="26"/>
      <c r="W475" s="26"/>
      <c r="X475" s="26"/>
      <c r="Y475" s="26"/>
      <c r="Z475" s="26"/>
      <c r="AA475" s="29"/>
      <c r="AB475" s="29"/>
      <c r="AC475" s="16"/>
      <c r="AD475" s="16"/>
      <c r="AE475" s="17"/>
      <c r="AF475" s="17"/>
      <c r="AG475" s="17"/>
      <c r="AH475" s="17"/>
      <c r="AI475" s="19"/>
      <c r="AJ475" s="19"/>
      <c r="AK475" s="19"/>
      <c r="AL475" s="19"/>
      <c r="AM475" s="19"/>
      <c r="AN475" s="19"/>
      <c r="AO475" s="19"/>
      <c r="AP475" s="19"/>
      <c r="AQ475" s="19"/>
      <c r="AR475" s="19"/>
      <c r="AS475" s="19"/>
    </row>
    <row r="476" spans="2:45" s="2" customFormat="1">
      <c r="B476" s="22"/>
      <c r="C476" s="23"/>
      <c r="D476" s="24"/>
      <c r="E476" s="25"/>
      <c r="F476" s="26"/>
      <c r="G476" s="26"/>
      <c r="H476" s="26"/>
      <c r="I476" s="26"/>
      <c r="J476" s="26"/>
      <c r="K476" s="26"/>
      <c r="L476" s="26"/>
      <c r="M476" s="26"/>
      <c r="N476" s="26"/>
      <c r="O476" s="29"/>
      <c r="P476" s="26"/>
      <c r="Q476" s="26"/>
      <c r="R476" s="26"/>
      <c r="S476" s="26"/>
      <c r="T476" s="26"/>
      <c r="U476" s="26"/>
      <c r="V476" s="26"/>
      <c r="W476" s="26"/>
      <c r="X476" s="26"/>
      <c r="Y476" s="26"/>
      <c r="Z476" s="26"/>
      <c r="AA476" s="29"/>
      <c r="AB476" s="29"/>
      <c r="AC476" s="16"/>
      <c r="AD476" s="16"/>
      <c r="AE476" s="17"/>
      <c r="AF476" s="17"/>
      <c r="AG476" s="17"/>
      <c r="AH476" s="17"/>
      <c r="AI476" s="19"/>
      <c r="AJ476" s="19"/>
      <c r="AK476" s="19"/>
      <c r="AL476" s="19"/>
      <c r="AM476" s="19"/>
      <c r="AN476" s="19"/>
      <c r="AO476" s="19"/>
      <c r="AP476" s="19"/>
      <c r="AQ476" s="19"/>
      <c r="AR476" s="19"/>
      <c r="AS476" s="19"/>
    </row>
    <row r="477" spans="2:45" s="2" customFormat="1">
      <c r="B477" s="22"/>
      <c r="C477" s="23"/>
      <c r="D477" s="24"/>
      <c r="E477" s="25"/>
      <c r="F477" s="26"/>
      <c r="G477" s="26"/>
      <c r="H477" s="26"/>
      <c r="I477" s="26"/>
      <c r="J477" s="26"/>
      <c r="K477" s="26"/>
      <c r="L477" s="26"/>
      <c r="M477" s="26"/>
      <c r="N477" s="26"/>
      <c r="O477" s="29"/>
      <c r="P477" s="26"/>
      <c r="Q477" s="26"/>
      <c r="R477" s="26"/>
      <c r="S477" s="26"/>
      <c r="T477" s="26"/>
      <c r="U477" s="26"/>
      <c r="V477" s="26"/>
      <c r="W477" s="26"/>
      <c r="X477" s="26"/>
      <c r="Y477" s="26"/>
      <c r="Z477" s="26"/>
      <c r="AA477" s="29"/>
      <c r="AB477" s="29"/>
      <c r="AC477" s="16"/>
      <c r="AD477" s="16"/>
      <c r="AE477" s="17"/>
      <c r="AF477" s="17"/>
      <c r="AG477" s="17"/>
      <c r="AH477" s="17"/>
      <c r="AI477" s="19"/>
      <c r="AJ477" s="19"/>
      <c r="AK477" s="19"/>
      <c r="AL477" s="19"/>
      <c r="AM477" s="19"/>
      <c r="AN477" s="19"/>
      <c r="AO477" s="19"/>
      <c r="AP477" s="19"/>
      <c r="AQ477" s="19"/>
      <c r="AR477" s="19"/>
      <c r="AS477" s="19"/>
    </row>
    <row r="478" spans="2:45" s="2" customFormat="1">
      <c r="B478" s="22"/>
      <c r="C478" s="23"/>
      <c r="D478" s="24"/>
      <c r="E478" s="25"/>
      <c r="F478" s="26"/>
      <c r="G478" s="26"/>
      <c r="H478" s="26"/>
      <c r="I478" s="26"/>
      <c r="J478" s="26"/>
      <c r="K478" s="26"/>
      <c r="L478" s="26"/>
      <c r="M478" s="26"/>
      <c r="N478" s="26"/>
      <c r="O478" s="29"/>
      <c r="P478" s="26"/>
      <c r="Q478" s="26"/>
      <c r="R478" s="26"/>
      <c r="S478" s="26"/>
      <c r="T478" s="26"/>
      <c r="U478" s="26"/>
      <c r="V478" s="26"/>
      <c r="W478" s="26"/>
      <c r="X478" s="26"/>
      <c r="Y478" s="26"/>
      <c r="Z478" s="26"/>
      <c r="AA478" s="29"/>
      <c r="AB478" s="29"/>
      <c r="AC478" s="16"/>
      <c r="AD478" s="16"/>
      <c r="AE478" s="17"/>
      <c r="AF478" s="17"/>
      <c r="AG478" s="17"/>
      <c r="AH478" s="17"/>
      <c r="AI478" s="19"/>
      <c r="AJ478" s="19"/>
      <c r="AK478" s="19"/>
      <c r="AL478" s="19"/>
      <c r="AM478" s="19"/>
      <c r="AN478" s="19"/>
      <c r="AO478" s="19"/>
      <c r="AP478" s="19"/>
      <c r="AQ478" s="19"/>
      <c r="AR478" s="19"/>
      <c r="AS478" s="19"/>
    </row>
    <row r="479" spans="2:45" s="2" customFormat="1">
      <c r="B479" s="22"/>
      <c r="C479" s="23"/>
      <c r="D479" s="24"/>
      <c r="E479" s="25"/>
      <c r="F479" s="26"/>
      <c r="G479" s="26"/>
      <c r="H479" s="26"/>
      <c r="I479" s="26"/>
      <c r="J479" s="26"/>
      <c r="K479" s="26"/>
      <c r="L479" s="26"/>
      <c r="M479" s="26"/>
      <c r="N479" s="26"/>
      <c r="O479" s="29"/>
      <c r="P479" s="26"/>
      <c r="Q479" s="26"/>
      <c r="R479" s="26"/>
      <c r="S479" s="26"/>
      <c r="T479" s="26"/>
      <c r="U479" s="26"/>
      <c r="V479" s="26"/>
      <c r="W479" s="26"/>
      <c r="X479" s="26"/>
      <c r="Y479" s="26"/>
      <c r="Z479" s="26"/>
      <c r="AA479" s="29"/>
      <c r="AB479" s="29"/>
      <c r="AC479" s="16"/>
      <c r="AD479" s="16"/>
      <c r="AE479" s="17"/>
      <c r="AF479" s="17"/>
      <c r="AG479" s="17"/>
      <c r="AH479" s="17"/>
      <c r="AI479" s="19"/>
      <c r="AJ479" s="19"/>
      <c r="AK479" s="19"/>
      <c r="AL479" s="19"/>
      <c r="AM479" s="19"/>
      <c r="AN479" s="19"/>
      <c r="AO479" s="19"/>
      <c r="AP479" s="19"/>
      <c r="AQ479" s="19"/>
      <c r="AR479" s="19"/>
      <c r="AS479" s="19"/>
    </row>
    <row r="480" spans="2:45" s="2" customFormat="1">
      <c r="B480" s="22"/>
      <c r="C480" s="23"/>
      <c r="D480" s="24"/>
      <c r="E480" s="25"/>
      <c r="F480" s="26"/>
      <c r="G480" s="26"/>
      <c r="H480" s="26"/>
      <c r="I480" s="26"/>
      <c r="J480" s="26"/>
      <c r="K480" s="26"/>
      <c r="L480" s="26"/>
      <c r="M480" s="26"/>
      <c r="N480" s="26"/>
      <c r="O480" s="29"/>
      <c r="P480" s="26"/>
      <c r="Q480" s="26"/>
      <c r="R480" s="26"/>
      <c r="S480" s="26"/>
      <c r="T480" s="26"/>
      <c r="U480" s="26"/>
      <c r="V480" s="26"/>
      <c r="W480" s="26"/>
      <c r="X480" s="26"/>
      <c r="Y480" s="26"/>
      <c r="Z480" s="26"/>
      <c r="AA480" s="29"/>
      <c r="AB480" s="29"/>
      <c r="AC480" s="16"/>
      <c r="AD480" s="16"/>
      <c r="AE480" s="17"/>
      <c r="AF480" s="17"/>
      <c r="AG480" s="17"/>
      <c r="AH480" s="17"/>
      <c r="AI480" s="19"/>
      <c r="AJ480" s="19"/>
      <c r="AK480" s="19"/>
      <c r="AL480" s="19"/>
      <c r="AM480" s="19"/>
      <c r="AN480" s="19"/>
      <c r="AO480" s="19"/>
      <c r="AP480" s="19"/>
      <c r="AQ480" s="19"/>
      <c r="AR480" s="19"/>
      <c r="AS480" s="19"/>
    </row>
    <row r="481" spans="2:45" s="2" customFormat="1">
      <c r="B481" s="22"/>
      <c r="C481" s="23"/>
      <c r="D481" s="24"/>
      <c r="E481" s="25"/>
      <c r="F481" s="26"/>
      <c r="G481" s="26"/>
      <c r="H481" s="26"/>
      <c r="I481" s="26"/>
      <c r="J481" s="26"/>
      <c r="K481" s="26"/>
      <c r="L481" s="26"/>
      <c r="M481" s="26"/>
      <c r="N481" s="26"/>
      <c r="O481" s="29"/>
      <c r="P481" s="26"/>
      <c r="Q481" s="26"/>
      <c r="R481" s="26"/>
      <c r="S481" s="26"/>
      <c r="T481" s="26"/>
      <c r="U481" s="26"/>
      <c r="V481" s="26"/>
      <c r="W481" s="26"/>
      <c r="X481" s="26"/>
      <c r="Y481" s="26"/>
      <c r="Z481" s="26"/>
      <c r="AA481" s="29"/>
      <c r="AB481" s="29"/>
      <c r="AC481" s="16"/>
      <c r="AD481" s="16"/>
      <c r="AE481" s="17"/>
      <c r="AF481" s="17"/>
      <c r="AG481" s="17"/>
      <c r="AH481" s="17"/>
      <c r="AI481" s="19"/>
      <c r="AJ481" s="19"/>
      <c r="AK481" s="19"/>
      <c r="AL481" s="19"/>
      <c r="AM481" s="19"/>
      <c r="AN481" s="19"/>
      <c r="AO481" s="19"/>
      <c r="AP481" s="19"/>
      <c r="AQ481" s="19"/>
      <c r="AR481" s="19"/>
      <c r="AS481" s="19"/>
    </row>
    <row r="482" spans="2:45" s="2" customFormat="1">
      <c r="B482" s="22"/>
      <c r="C482" s="23"/>
      <c r="D482" s="24"/>
      <c r="E482" s="25"/>
      <c r="F482" s="26"/>
      <c r="G482" s="26"/>
      <c r="H482" s="26"/>
      <c r="I482" s="26"/>
      <c r="J482" s="26"/>
      <c r="K482" s="26"/>
      <c r="L482" s="26"/>
      <c r="M482" s="26"/>
      <c r="N482" s="26"/>
      <c r="O482" s="29"/>
      <c r="P482" s="26"/>
      <c r="Q482" s="26"/>
      <c r="R482" s="26"/>
      <c r="S482" s="26"/>
      <c r="T482" s="26"/>
      <c r="U482" s="26"/>
      <c r="V482" s="26"/>
      <c r="W482" s="26"/>
      <c r="X482" s="26"/>
      <c r="Y482" s="26"/>
      <c r="Z482" s="26"/>
      <c r="AA482" s="29"/>
      <c r="AB482" s="29"/>
      <c r="AC482" s="16"/>
      <c r="AD482" s="16"/>
      <c r="AE482" s="17"/>
      <c r="AF482" s="17"/>
      <c r="AG482" s="17"/>
      <c r="AH482" s="17"/>
      <c r="AI482" s="19"/>
      <c r="AJ482" s="19"/>
      <c r="AK482" s="19"/>
      <c r="AL482" s="19"/>
      <c r="AM482" s="19"/>
      <c r="AN482" s="19"/>
      <c r="AO482" s="19"/>
      <c r="AP482" s="19"/>
      <c r="AQ482" s="19"/>
      <c r="AR482" s="19"/>
      <c r="AS482" s="19"/>
    </row>
    <row r="483" spans="2:45" s="2" customFormat="1">
      <c r="B483" s="22"/>
      <c r="C483" s="23"/>
      <c r="D483" s="24"/>
      <c r="E483" s="25"/>
      <c r="F483" s="26"/>
      <c r="G483" s="26"/>
      <c r="H483" s="26"/>
      <c r="I483" s="26"/>
      <c r="J483" s="26"/>
      <c r="K483" s="26"/>
      <c r="L483" s="26"/>
      <c r="M483" s="26"/>
      <c r="N483" s="26"/>
      <c r="O483" s="29"/>
      <c r="P483" s="26"/>
      <c r="Q483" s="26"/>
      <c r="R483" s="26"/>
      <c r="S483" s="26"/>
      <c r="T483" s="26"/>
      <c r="U483" s="26"/>
      <c r="V483" s="26"/>
      <c r="W483" s="26"/>
      <c r="X483" s="26"/>
      <c r="Y483" s="26"/>
      <c r="Z483" s="26"/>
      <c r="AA483" s="29"/>
      <c r="AB483" s="29"/>
      <c r="AC483" s="16"/>
      <c r="AD483" s="16"/>
      <c r="AE483" s="17"/>
      <c r="AF483" s="17"/>
      <c r="AG483" s="17"/>
      <c r="AH483" s="17"/>
      <c r="AI483" s="19"/>
      <c r="AJ483" s="19"/>
      <c r="AK483" s="19"/>
      <c r="AL483" s="19"/>
      <c r="AM483" s="19"/>
      <c r="AN483" s="19"/>
      <c r="AO483" s="19"/>
      <c r="AP483" s="19"/>
      <c r="AQ483" s="19"/>
      <c r="AR483" s="19"/>
      <c r="AS483" s="19"/>
    </row>
    <row r="484" spans="2:45" s="2" customFormat="1">
      <c r="B484" s="22"/>
      <c r="C484" s="23"/>
      <c r="D484" s="24"/>
      <c r="E484" s="25"/>
      <c r="F484" s="26"/>
      <c r="G484" s="26"/>
      <c r="H484" s="26"/>
      <c r="I484" s="26"/>
      <c r="J484" s="26"/>
      <c r="K484" s="26"/>
      <c r="L484" s="26"/>
      <c r="M484" s="26"/>
      <c r="N484" s="26"/>
      <c r="O484" s="29"/>
      <c r="P484" s="26"/>
      <c r="Q484" s="26"/>
      <c r="R484" s="26"/>
      <c r="S484" s="26"/>
      <c r="T484" s="26"/>
      <c r="U484" s="26"/>
      <c r="V484" s="26"/>
      <c r="W484" s="26"/>
      <c r="X484" s="26"/>
      <c r="Y484" s="26"/>
      <c r="Z484" s="26"/>
      <c r="AA484" s="29"/>
      <c r="AB484" s="29"/>
      <c r="AC484" s="16"/>
      <c r="AD484" s="16"/>
      <c r="AE484" s="17"/>
      <c r="AF484" s="17"/>
      <c r="AG484" s="17"/>
      <c r="AH484" s="17"/>
      <c r="AI484" s="19"/>
      <c r="AJ484" s="19"/>
      <c r="AK484" s="19"/>
      <c r="AL484" s="19"/>
      <c r="AM484" s="19"/>
      <c r="AN484" s="19"/>
      <c r="AO484" s="19"/>
      <c r="AP484" s="19"/>
      <c r="AQ484" s="19"/>
      <c r="AR484" s="19"/>
      <c r="AS484" s="19"/>
    </row>
    <row r="485" spans="2:45" s="2" customFormat="1">
      <c r="B485" s="22"/>
      <c r="C485" s="23"/>
      <c r="D485" s="24"/>
      <c r="E485" s="25"/>
      <c r="F485" s="26"/>
      <c r="G485" s="26"/>
      <c r="H485" s="26"/>
      <c r="I485" s="26"/>
      <c r="J485" s="26"/>
      <c r="K485" s="26"/>
      <c r="L485" s="26"/>
      <c r="M485" s="26"/>
      <c r="N485" s="26"/>
      <c r="O485" s="29"/>
      <c r="P485" s="26"/>
      <c r="Q485" s="26"/>
      <c r="R485" s="26"/>
      <c r="S485" s="26"/>
      <c r="T485" s="26"/>
      <c r="U485" s="26"/>
      <c r="V485" s="26"/>
      <c r="W485" s="26"/>
      <c r="X485" s="26"/>
      <c r="Y485" s="26"/>
      <c r="Z485" s="26"/>
      <c r="AA485" s="29"/>
      <c r="AB485" s="29"/>
      <c r="AC485" s="16"/>
      <c r="AD485" s="16"/>
      <c r="AE485" s="17"/>
      <c r="AF485" s="17"/>
      <c r="AG485" s="17"/>
      <c r="AH485" s="17"/>
      <c r="AI485" s="19"/>
      <c r="AJ485" s="19"/>
      <c r="AK485" s="19"/>
      <c r="AL485" s="19"/>
      <c r="AM485" s="19"/>
      <c r="AN485" s="19"/>
      <c r="AO485" s="19"/>
      <c r="AP485" s="19"/>
      <c r="AQ485" s="19"/>
      <c r="AR485" s="19"/>
      <c r="AS485" s="19"/>
    </row>
    <row r="486" spans="2:45" s="2" customFormat="1">
      <c r="B486" s="22"/>
      <c r="C486" s="23"/>
      <c r="D486" s="24"/>
      <c r="E486" s="25"/>
      <c r="F486" s="26"/>
      <c r="G486" s="26"/>
      <c r="H486" s="26"/>
      <c r="I486" s="26"/>
      <c r="J486" s="26"/>
      <c r="K486" s="26"/>
      <c r="L486" s="26"/>
      <c r="M486" s="26"/>
      <c r="N486" s="26"/>
      <c r="O486" s="29"/>
      <c r="P486" s="26"/>
      <c r="Q486" s="26"/>
      <c r="R486" s="26"/>
      <c r="S486" s="26"/>
      <c r="T486" s="26"/>
      <c r="U486" s="26"/>
      <c r="V486" s="26"/>
      <c r="W486" s="26"/>
      <c r="X486" s="26"/>
      <c r="Y486" s="26"/>
      <c r="Z486" s="26"/>
      <c r="AA486" s="29"/>
      <c r="AB486" s="29"/>
      <c r="AC486" s="16"/>
      <c r="AD486" s="16"/>
      <c r="AE486" s="17"/>
      <c r="AF486" s="17"/>
      <c r="AG486" s="17"/>
      <c r="AH486" s="17"/>
      <c r="AI486" s="19"/>
      <c r="AJ486" s="19"/>
      <c r="AK486" s="19"/>
      <c r="AL486" s="19"/>
      <c r="AM486" s="19"/>
      <c r="AN486" s="19"/>
      <c r="AO486" s="19"/>
      <c r="AP486" s="19"/>
      <c r="AQ486" s="19"/>
      <c r="AR486" s="19"/>
      <c r="AS486" s="19"/>
    </row>
    <row r="487" spans="2:45" s="2" customFormat="1">
      <c r="B487" s="22"/>
      <c r="C487" s="23"/>
      <c r="D487" s="24"/>
      <c r="E487" s="25"/>
      <c r="F487" s="26"/>
      <c r="G487" s="26"/>
      <c r="H487" s="26"/>
      <c r="I487" s="26"/>
      <c r="J487" s="26"/>
      <c r="K487" s="26"/>
      <c r="L487" s="26"/>
      <c r="M487" s="26"/>
      <c r="N487" s="26"/>
      <c r="O487" s="29"/>
      <c r="P487" s="26"/>
      <c r="Q487" s="26"/>
      <c r="R487" s="26"/>
      <c r="S487" s="26"/>
      <c r="T487" s="26"/>
      <c r="U487" s="26"/>
      <c r="V487" s="26"/>
      <c r="W487" s="26"/>
      <c r="X487" s="26"/>
      <c r="Y487" s="26"/>
      <c r="Z487" s="26"/>
      <c r="AA487" s="29"/>
      <c r="AB487" s="29"/>
      <c r="AC487" s="16"/>
      <c r="AD487" s="16"/>
      <c r="AE487" s="17"/>
      <c r="AF487" s="17"/>
      <c r="AG487" s="17"/>
      <c r="AH487" s="17"/>
      <c r="AI487" s="19"/>
      <c r="AJ487" s="19"/>
      <c r="AK487" s="19"/>
      <c r="AL487" s="19"/>
      <c r="AM487" s="19"/>
      <c r="AN487" s="19"/>
      <c r="AO487" s="19"/>
      <c r="AP487" s="19"/>
      <c r="AQ487" s="19"/>
      <c r="AR487" s="19"/>
      <c r="AS487" s="19"/>
    </row>
    <row r="488" spans="2:45" s="2" customFormat="1">
      <c r="B488" s="22"/>
      <c r="C488" s="23"/>
      <c r="D488" s="24"/>
      <c r="E488" s="25"/>
      <c r="F488" s="26"/>
      <c r="G488" s="26"/>
      <c r="H488" s="26"/>
      <c r="I488" s="26"/>
      <c r="J488" s="26"/>
      <c r="K488" s="26"/>
      <c r="L488" s="26"/>
      <c r="M488" s="26"/>
      <c r="N488" s="26"/>
      <c r="O488" s="29"/>
      <c r="P488" s="26"/>
      <c r="Q488" s="26"/>
      <c r="R488" s="26"/>
      <c r="S488" s="26"/>
      <c r="T488" s="26"/>
      <c r="U488" s="26"/>
      <c r="V488" s="26"/>
      <c r="W488" s="26"/>
      <c r="X488" s="26"/>
      <c r="Y488" s="26"/>
      <c r="Z488" s="26"/>
      <c r="AA488" s="29"/>
      <c r="AB488" s="29"/>
      <c r="AC488" s="16"/>
      <c r="AD488" s="16"/>
      <c r="AE488" s="17"/>
      <c r="AF488" s="17"/>
      <c r="AG488" s="17"/>
      <c r="AH488" s="17"/>
      <c r="AI488" s="19"/>
      <c r="AJ488" s="19"/>
      <c r="AK488" s="19"/>
      <c r="AL488" s="19"/>
      <c r="AM488" s="19"/>
      <c r="AN488" s="19"/>
      <c r="AO488" s="19"/>
      <c r="AP488" s="19"/>
      <c r="AQ488" s="19"/>
      <c r="AR488" s="19"/>
      <c r="AS488" s="19"/>
    </row>
    <row r="489" spans="2:45" s="2" customFormat="1">
      <c r="B489" s="22"/>
      <c r="C489" s="23"/>
      <c r="D489" s="24"/>
      <c r="E489" s="25"/>
      <c r="F489" s="26"/>
      <c r="G489" s="26"/>
      <c r="H489" s="26"/>
      <c r="I489" s="26"/>
      <c r="J489" s="26"/>
      <c r="K489" s="26"/>
      <c r="L489" s="26"/>
      <c r="M489" s="26"/>
      <c r="N489" s="26"/>
      <c r="O489" s="29"/>
      <c r="P489" s="26"/>
      <c r="Q489" s="26"/>
      <c r="R489" s="26"/>
      <c r="S489" s="26"/>
      <c r="T489" s="26"/>
      <c r="U489" s="26"/>
      <c r="V489" s="26"/>
      <c r="W489" s="26"/>
      <c r="X489" s="26"/>
      <c r="Y489" s="26"/>
      <c r="Z489" s="26"/>
      <c r="AA489" s="29"/>
      <c r="AB489" s="29"/>
      <c r="AC489" s="16"/>
      <c r="AD489" s="16"/>
      <c r="AE489" s="17"/>
      <c r="AF489" s="17"/>
      <c r="AG489" s="17"/>
      <c r="AH489" s="17"/>
      <c r="AI489" s="19"/>
      <c r="AJ489" s="19"/>
      <c r="AK489" s="19"/>
      <c r="AL489" s="19"/>
      <c r="AM489" s="19"/>
      <c r="AN489" s="19"/>
      <c r="AO489" s="19"/>
      <c r="AP489" s="19"/>
      <c r="AQ489" s="19"/>
      <c r="AR489" s="19"/>
      <c r="AS489" s="19"/>
    </row>
    <row r="490" spans="2:45" s="2" customFormat="1">
      <c r="B490" s="22"/>
      <c r="C490" s="23"/>
      <c r="D490" s="24"/>
      <c r="E490" s="25"/>
      <c r="F490" s="26"/>
      <c r="G490" s="26"/>
      <c r="H490" s="26"/>
      <c r="I490" s="26"/>
      <c r="J490" s="26"/>
      <c r="K490" s="26"/>
      <c r="L490" s="26"/>
      <c r="M490" s="26"/>
      <c r="N490" s="26"/>
      <c r="O490" s="29"/>
      <c r="P490" s="26"/>
      <c r="Q490" s="26"/>
      <c r="R490" s="26"/>
      <c r="S490" s="26"/>
      <c r="T490" s="26"/>
      <c r="U490" s="26"/>
      <c r="V490" s="26"/>
      <c r="W490" s="26"/>
      <c r="X490" s="26"/>
      <c r="Y490" s="26"/>
      <c r="Z490" s="26"/>
      <c r="AA490" s="29"/>
      <c r="AB490" s="29"/>
      <c r="AC490" s="16"/>
      <c r="AD490" s="16"/>
      <c r="AE490" s="17"/>
      <c r="AF490" s="17"/>
      <c r="AG490" s="17"/>
      <c r="AH490" s="17"/>
      <c r="AI490" s="19"/>
      <c r="AJ490" s="19"/>
      <c r="AK490" s="19"/>
      <c r="AL490" s="19"/>
      <c r="AM490" s="19"/>
      <c r="AN490" s="19"/>
      <c r="AO490" s="19"/>
      <c r="AP490" s="19"/>
      <c r="AQ490" s="19"/>
      <c r="AR490" s="19"/>
      <c r="AS490" s="19"/>
    </row>
    <row r="491" spans="2:45" s="2" customFormat="1">
      <c r="B491" s="22"/>
      <c r="C491" s="23"/>
      <c r="D491" s="24"/>
      <c r="E491" s="25"/>
      <c r="F491" s="26"/>
      <c r="G491" s="26"/>
      <c r="H491" s="26"/>
      <c r="I491" s="26"/>
      <c r="J491" s="26"/>
      <c r="K491" s="26"/>
      <c r="L491" s="26"/>
      <c r="M491" s="26"/>
      <c r="N491" s="26"/>
      <c r="O491" s="29"/>
      <c r="P491" s="26"/>
      <c r="Q491" s="26"/>
      <c r="R491" s="26"/>
      <c r="S491" s="26"/>
      <c r="T491" s="26"/>
      <c r="U491" s="26"/>
      <c r="V491" s="26"/>
      <c r="W491" s="26"/>
      <c r="X491" s="26"/>
      <c r="Y491" s="26"/>
      <c r="Z491" s="26"/>
      <c r="AA491" s="29"/>
      <c r="AB491" s="29"/>
      <c r="AC491" s="16"/>
      <c r="AD491" s="16"/>
      <c r="AE491" s="17"/>
      <c r="AF491" s="17"/>
      <c r="AG491" s="17"/>
      <c r="AH491" s="17"/>
      <c r="AI491" s="19"/>
      <c r="AJ491" s="19"/>
      <c r="AK491" s="19"/>
      <c r="AL491" s="19"/>
      <c r="AM491" s="19"/>
      <c r="AN491" s="19"/>
      <c r="AO491" s="19"/>
      <c r="AP491" s="19"/>
      <c r="AQ491" s="19"/>
      <c r="AR491" s="19"/>
      <c r="AS491" s="19"/>
    </row>
    <row r="492" spans="2:45" s="2" customFormat="1">
      <c r="B492" s="22"/>
      <c r="C492" s="23"/>
      <c r="D492" s="24"/>
      <c r="E492" s="25"/>
      <c r="F492" s="26"/>
      <c r="G492" s="26"/>
      <c r="H492" s="26"/>
      <c r="I492" s="26"/>
      <c r="J492" s="26"/>
      <c r="K492" s="26"/>
      <c r="L492" s="26"/>
      <c r="M492" s="26"/>
      <c r="N492" s="26"/>
      <c r="O492" s="29"/>
      <c r="P492" s="26"/>
      <c r="Q492" s="26"/>
      <c r="R492" s="26"/>
      <c r="S492" s="26"/>
      <c r="T492" s="26"/>
      <c r="U492" s="26"/>
      <c r="V492" s="26"/>
      <c r="W492" s="26"/>
      <c r="X492" s="26"/>
      <c r="Y492" s="26"/>
      <c r="Z492" s="26"/>
      <c r="AA492" s="29"/>
      <c r="AB492" s="29"/>
      <c r="AC492" s="16"/>
      <c r="AD492" s="16"/>
      <c r="AE492" s="17"/>
      <c r="AF492" s="17"/>
      <c r="AG492" s="17"/>
      <c r="AH492" s="17"/>
      <c r="AI492" s="19"/>
      <c r="AJ492" s="19"/>
      <c r="AK492" s="19"/>
      <c r="AL492" s="19"/>
      <c r="AM492" s="19"/>
      <c r="AN492" s="19"/>
      <c r="AO492" s="19"/>
      <c r="AP492" s="19"/>
      <c r="AQ492" s="19"/>
      <c r="AR492" s="19"/>
      <c r="AS492" s="19"/>
    </row>
    <row r="493" spans="2:45" s="2" customFormat="1">
      <c r="B493" s="22"/>
      <c r="C493" s="23"/>
      <c r="D493" s="24"/>
      <c r="E493" s="25"/>
      <c r="F493" s="26"/>
      <c r="G493" s="26"/>
      <c r="H493" s="26"/>
      <c r="I493" s="26"/>
      <c r="J493" s="26"/>
      <c r="K493" s="26"/>
      <c r="L493" s="26"/>
      <c r="M493" s="26"/>
      <c r="N493" s="26"/>
      <c r="O493" s="29"/>
      <c r="P493" s="26"/>
      <c r="Q493" s="26"/>
      <c r="R493" s="26"/>
      <c r="S493" s="26"/>
      <c r="T493" s="26"/>
      <c r="U493" s="26"/>
      <c r="V493" s="26"/>
      <c r="W493" s="26"/>
      <c r="X493" s="26"/>
      <c r="Y493" s="26"/>
      <c r="Z493" s="26"/>
      <c r="AA493" s="29"/>
      <c r="AB493" s="29"/>
      <c r="AC493" s="16"/>
      <c r="AD493" s="16"/>
      <c r="AE493" s="17"/>
      <c r="AF493" s="17"/>
      <c r="AG493" s="17"/>
      <c r="AH493" s="17"/>
      <c r="AI493" s="19"/>
      <c r="AJ493" s="19"/>
      <c r="AK493" s="19"/>
      <c r="AL493" s="19"/>
      <c r="AM493" s="19"/>
      <c r="AN493" s="19"/>
      <c r="AO493" s="19"/>
      <c r="AP493" s="19"/>
      <c r="AQ493" s="19"/>
      <c r="AR493" s="19"/>
      <c r="AS493" s="19"/>
    </row>
    <row r="494" spans="2:45" s="2" customFormat="1">
      <c r="B494" s="22"/>
      <c r="C494" s="23"/>
      <c r="D494" s="24"/>
      <c r="E494" s="25"/>
      <c r="F494" s="26"/>
      <c r="G494" s="26"/>
      <c r="H494" s="26"/>
      <c r="I494" s="26"/>
      <c r="J494" s="26"/>
      <c r="K494" s="26"/>
      <c r="L494" s="26"/>
      <c r="M494" s="26"/>
      <c r="N494" s="26"/>
      <c r="O494" s="29"/>
      <c r="P494" s="26"/>
      <c r="Q494" s="26"/>
      <c r="R494" s="26"/>
      <c r="S494" s="26"/>
      <c r="T494" s="26"/>
      <c r="U494" s="26"/>
      <c r="V494" s="26"/>
      <c r="W494" s="26"/>
      <c r="X494" s="26"/>
      <c r="Y494" s="26"/>
      <c r="Z494" s="26"/>
      <c r="AA494" s="29"/>
      <c r="AB494" s="29"/>
      <c r="AC494" s="16"/>
      <c r="AD494" s="16"/>
      <c r="AE494" s="17"/>
      <c r="AF494" s="17"/>
      <c r="AG494" s="17"/>
      <c r="AH494" s="17"/>
      <c r="AI494" s="19"/>
      <c r="AJ494" s="19"/>
      <c r="AK494" s="19"/>
      <c r="AL494" s="19"/>
      <c r="AM494" s="19"/>
      <c r="AN494" s="19"/>
      <c r="AO494" s="19"/>
      <c r="AP494" s="19"/>
      <c r="AQ494" s="19"/>
      <c r="AR494" s="19"/>
      <c r="AS494" s="19"/>
    </row>
    <row r="495" spans="2:45" s="2" customFormat="1">
      <c r="B495" s="22"/>
      <c r="C495" s="23"/>
      <c r="D495" s="24"/>
      <c r="E495" s="25"/>
      <c r="F495" s="26"/>
      <c r="G495" s="26"/>
      <c r="H495" s="26"/>
      <c r="I495" s="26"/>
      <c r="J495" s="26"/>
      <c r="K495" s="26"/>
      <c r="L495" s="26"/>
      <c r="M495" s="26"/>
      <c r="N495" s="26"/>
      <c r="O495" s="29"/>
      <c r="P495" s="26"/>
      <c r="Q495" s="26"/>
      <c r="R495" s="26"/>
      <c r="S495" s="26"/>
      <c r="T495" s="26"/>
      <c r="U495" s="26"/>
      <c r="V495" s="26"/>
      <c r="W495" s="26"/>
      <c r="X495" s="26"/>
      <c r="Y495" s="26"/>
      <c r="Z495" s="26"/>
      <c r="AA495" s="29"/>
      <c r="AB495" s="29"/>
      <c r="AC495" s="16"/>
      <c r="AD495" s="16"/>
      <c r="AE495" s="17"/>
      <c r="AF495" s="17"/>
      <c r="AG495" s="17"/>
      <c r="AH495" s="17"/>
      <c r="AI495" s="19"/>
      <c r="AJ495" s="19"/>
      <c r="AK495" s="19"/>
      <c r="AL495" s="19"/>
      <c r="AM495" s="19"/>
      <c r="AN495" s="19"/>
      <c r="AO495" s="19"/>
      <c r="AP495" s="19"/>
      <c r="AQ495" s="19"/>
      <c r="AR495" s="19"/>
      <c r="AS495" s="19"/>
    </row>
    <row r="496" spans="2:45" s="2" customFormat="1">
      <c r="B496" s="22"/>
      <c r="C496" s="23"/>
      <c r="D496" s="24"/>
      <c r="E496" s="25"/>
      <c r="F496" s="26"/>
      <c r="G496" s="26"/>
      <c r="H496" s="26"/>
      <c r="I496" s="26"/>
      <c r="J496" s="26"/>
      <c r="K496" s="26"/>
      <c r="L496" s="26"/>
      <c r="M496" s="26"/>
      <c r="N496" s="26"/>
      <c r="O496" s="29"/>
      <c r="P496" s="26"/>
      <c r="Q496" s="26"/>
      <c r="R496" s="26"/>
      <c r="S496" s="26"/>
      <c r="T496" s="26"/>
      <c r="U496" s="26"/>
      <c r="V496" s="26"/>
      <c r="W496" s="26"/>
      <c r="X496" s="26"/>
      <c r="Y496" s="26"/>
      <c r="Z496" s="26"/>
      <c r="AA496" s="29"/>
      <c r="AB496" s="29"/>
      <c r="AC496" s="16"/>
      <c r="AD496" s="16"/>
      <c r="AE496" s="17"/>
      <c r="AF496" s="17"/>
      <c r="AG496" s="17"/>
      <c r="AH496" s="17"/>
      <c r="AI496" s="19"/>
      <c r="AJ496" s="19"/>
      <c r="AK496" s="19"/>
      <c r="AL496" s="19"/>
      <c r="AM496" s="19"/>
      <c r="AN496" s="19"/>
      <c r="AO496" s="19"/>
      <c r="AP496" s="19"/>
      <c r="AQ496" s="19"/>
      <c r="AR496" s="19"/>
      <c r="AS496" s="19"/>
    </row>
    <row r="497" spans="2:45" s="2" customFormat="1">
      <c r="B497" s="22"/>
      <c r="C497" s="23"/>
      <c r="D497" s="24"/>
      <c r="E497" s="25"/>
      <c r="F497" s="26"/>
      <c r="G497" s="26"/>
      <c r="H497" s="26"/>
      <c r="I497" s="26"/>
      <c r="J497" s="26"/>
      <c r="K497" s="26"/>
      <c r="L497" s="26"/>
      <c r="M497" s="26"/>
      <c r="N497" s="26"/>
      <c r="O497" s="29"/>
      <c r="P497" s="26"/>
      <c r="Q497" s="26"/>
      <c r="R497" s="26"/>
      <c r="S497" s="26"/>
      <c r="T497" s="26"/>
      <c r="U497" s="26"/>
      <c r="V497" s="26"/>
      <c r="W497" s="26"/>
      <c r="X497" s="26"/>
      <c r="Y497" s="26"/>
      <c r="Z497" s="26"/>
      <c r="AA497" s="29"/>
      <c r="AB497" s="29"/>
      <c r="AC497" s="16"/>
      <c r="AD497" s="16"/>
      <c r="AE497" s="17"/>
      <c r="AF497" s="17"/>
      <c r="AG497" s="17"/>
      <c r="AH497" s="17"/>
      <c r="AI497" s="19"/>
      <c r="AJ497" s="19"/>
      <c r="AK497" s="19"/>
      <c r="AL497" s="19"/>
      <c r="AM497" s="19"/>
      <c r="AN497" s="19"/>
      <c r="AO497" s="19"/>
      <c r="AP497" s="19"/>
      <c r="AQ497" s="19"/>
      <c r="AR497" s="19"/>
      <c r="AS497" s="19"/>
    </row>
    <row r="498" spans="2:45" s="2" customFormat="1">
      <c r="B498" s="22"/>
      <c r="C498" s="23"/>
      <c r="D498" s="24"/>
      <c r="E498" s="25"/>
      <c r="F498" s="26"/>
      <c r="G498" s="26"/>
      <c r="H498" s="26"/>
      <c r="I498" s="26"/>
      <c r="J498" s="26"/>
      <c r="K498" s="26"/>
      <c r="L498" s="26"/>
      <c r="M498" s="26"/>
      <c r="N498" s="26"/>
      <c r="O498" s="29"/>
      <c r="P498" s="26"/>
      <c r="Q498" s="26"/>
      <c r="R498" s="26"/>
      <c r="S498" s="26"/>
      <c r="T498" s="26"/>
      <c r="U498" s="26"/>
      <c r="V498" s="26"/>
      <c r="W498" s="26"/>
      <c r="X498" s="26"/>
      <c r="Y498" s="26"/>
      <c r="Z498" s="26"/>
      <c r="AA498" s="29"/>
      <c r="AB498" s="29"/>
      <c r="AC498" s="16"/>
      <c r="AD498" s="16"/>
      <c r="AE498" s="17"/>
      <c r="AF498" s="17"/>
      <c r="AG498" s="17"/>
      <c r="AH498" s="17"/>
      <c r="AI498" s="19"/>
      <c r="AJ498" s="19"/>
      <c r="AK498" s="19"/>
      <c r="AL498" s="19"/>
      <c r="AM498" s="19"/>
      <c r="AN498" s="19"/>
      <c r="AO498" s="19"/>
      <c r="AP498" s="19"/>
      <c r="AQ498" s="19"/>
      <c r="AR498" s="19"/>
      <c r="AS498" s="19"/>
    </row>
    <row r="499" spans="2:45" s="2" customFormat="1">
      <c r="B499" s="22"/>
      <c r="C499" s="23"/>
      <c r="D499" s="24"/>
      <c r="E499" s="25"/>
      <c r="F499" s="26"/>
      <c r="G499" s="26"/>
      <c r="H499" s="26"/>
      <c r="I499" s="26"/>
      <c r="J499" s="26"/>
      <c r="K499" s="26"/>
      <c r="L499" s="26"/>
      <c r="M499" s="26"/>
      <c r="N499" s="26"/>
      <c r="O499" s="29"/>
      <c r="P499" s="26"/>
      <c r="Q499" s="26"/>
      <c r="R499" s="26"/>
      <c r="S499" s="26"/>
      <c r="T499" s="26"/>
      <c r="U499" s="26"/>
      <c r="V499" s="26"/>
      <c r="W499" s="26"/>
      <c r="X499" s="26"/>
      <c r="Y499" s="26"/>
      <c r="Z499" s="26"/>
      <c r="AA499" s="29"/>
      <c r="AB499" s="29"/>
      <c r="AC499" s="16"/>
      <c r="AD499" s="16"/>
      <c r="AE499" s="17"/>
      <c r="AF499" s="17"/>
      <c r="AG499" s="17"/>
      <c r="AH499" s="17"/>
      <c r="AI499" s="19"/>
      <c r="AJ499" s="19"/>
      <c r="AK499" s="19"/>
      <c r="AL499" s="19"/>
      <c r="AM499" s="19"/>
      <c r="AN499" s="19"/>
      <c r="AO499" s="19"/>
      <c r="AP499" s="19"/>
      <c r="AQ499" s="19"/>
      <c r="AR499" s="19"/>
      <c r="AS499" s="19"/>
    </row>
    <row r="500" spans="2:45" s="2" customFormat="1">
      <c r="B500" s="22"/>
      <c r="C500" s="23"/>
      <c r="D500" s="24"/>
      <c r="E500" s="25"/>
      <c r="F500" s="26"/>
      <c r="G500" s="26"/>
      <c r="H500" s="26"/>
      <c r="I500" s="26"/>
      <c r="J500" s="26"/>
      <c r="K500" s="26"/>
      <c r="L500" s="26"/>
      <c r="M500" s="26"/>
      <c r="N500" s="26"/>
      <c r="O500" s="29"/>
      <c r="P500" s="26"/>
      <c r="Q500" s="26"/>
      <c r="R500" s="26"/>
      <c r="S500" s="26"/>
      <c r="T500" s="26"/>
      <c r="U500" s="26"/>
      <c r="V500" s="26"/>
      <c r="W500" s="26"/>
      <c r="X500" s="26"/>
      <c r="Y500" s="26"/>
      <c r="Z500" s="26"/>
      <c r="AA500" s="29"/>
      <c r="AB500" s="29"/>
      <c r="AC500" s="16"/>
      <c r="AD500" s="16"/>
      <c r="AE500" s="17"/>
      <c r="AF500" s="17"/>
      <c r="AG500" s="17"/>
      <c r="AH500" s="17"/>
      <c r="AI500" s="19"/>
      <c r="AJ500" s="19"/>
      <c r="AK500" s="19"/>
      <c r="AL500" s="19"/>
      <c r="AM500" s="19"/>
      <c r="AN500" s="19"/>
      <c r="AO500" s="19"/>
      <c r="AP500" s="19"/>
      <c r="AQ500" s="19"/>
      <c r="AR500" s="19"/>
      <c r="AS500" s="19"/>
    </row>
    <row r="501" spans="2:45" s="2" customFormat="1">
      <c r="B501" s="22"/>
      <c r="C501" s="23"/>
      <c r="D501" s="24"/>
      <c r="E501" s="25"/>
      <c r="F501" s="26"/>
      <c r="G501" s="26"/>
      <c r="H501" s="26"/>
      <c r="I501" s="26"/>
      <c r="J501" s="26"/>
      <c r="K501" s="26"/>
      <c r="L501" s="26"/>
      <c r="M501" s="26"/>
      <c r="N501" s="26"/>
      <c r="O501" s="29"/>
      <c r="P501" s="26"/>
      <c r="Q501" s="26"/>
      <c r="R501" s="26"/>
      <c r="S501" s="26"/>
      <c r="T501" s="26"/>
      <c r="U501" s="26"/>
      <c r="V501" s="26"/>
      <c r="W501" s="26"/>
      <c r="X501" s="26"/>
      <c r="Y501" s="26"/>
      <c r="Z501" s="26"/>
      <c r="AA501" s="29"/>
      <c r="AB501" s="29"/>
      <c r="AC501" s="16"/>
      <c r="AD501" s="16"/>
      <c r="AE501" s="17"/>
      <c r="AF501" s="17"/>
      <c r="AG501" s="17"/>
      <c r="AH501" s="17"/>
      <c r="AI501" s="19"/>
      <c r="AJ501" s="19"/>
      <c r="AK501" s="19"/>
      <c r="AL501" s="19"/>
      <c r="AM501" s="19"/>
      <c r="AN501" s="19"/>
      <c r="AO501" s="19"/>
      <c r="AP501" s="19"/>
      <c r="AQ501" s="19"/>
      <c r="AR501" s="19"/>
      <c r="AS501" s="19"/>
    </row>
    <row r="502" spans="2:45" s="2" customFormat="1">
      <c r="B502" s="22"/>
      <c r="C502" s="23"/>
      <c r="D502" s="24"/>
      <c r="E502" s="25"/>
      <c r="F502" s="26"/>
      <c r="G502" s="26"/>
      <c r="H502" s="26"/>
      <c r="I502" s="26"/>
      <c r="J502" s="26"/>
      <c r="K502" s="26"/>
      <c r="L502" s="26"/>
      <c r="M502" s="26"/>
      <c r="N502" s="26"/>
      <c r="O502" s="29"/>
      <c r="P502" s="26"/>
      <c r="Q502" s="26"/>
      <c r="R502" s="26"/>
      <c r="S502" s="26"/>
      <c r="T502" s="26"/>
      <c r="U502" s="26"/>
      <c r="V502" s="26"/>
      <c r="W502" s="26"/>
      <c r="X502" s="26"/>
      <c r="Y502" s="26"/>
      <c r="Z502" s="26"/>
      <c r="AA502" s="29"/>
      <c r="AB502" s="29"/>
      <c r="AC502" s="16"/>
      <c r="AD502" s="16"/>
      <c r="AE502" s="17"/>
      <c r="AF502" s="17"/>
      <c r="AG502" s="17"/>
      <c r="AH502" s="17"/>
      <c r="AI502" s="19"/>
      <c r="AJ502" s="19"/>
      <c r="AK502" s="19"/>
      <c r="AL502" s="19"/>
      <c r="AM502" s="19"/>
      <c r="AN502" s="19"/>
      <c r="AO502" s="19"/>
      <c r="AP502" s="19"/>
      <c r="AQ502" s="19"/>
      <c r="AR502" s="19"/>
      <c r="AS502" s="19"/>
    </row>
    <row r="503" spans="2:45" s="2" customFormat="1">
      <c r="B503" s="22"/>
      <c r="C503" s="23"/>
      <c r="D503" s="24"/>
      <c r="E503" s="25"/>
      <c r="F503" s="26"/>
      <c r="G503" s="26"/>
      <c r="H503" s="26"/>
      <c r="I503" s="26"/>
      <c r="J503" s="26"/>
      <c r="K503" s="26"/>
      <c r="L503" s="26"/>
      <c r="M503" s="26"/>
      <c r="N503" s="26"/>
      <c r="O503" s="29"/>
      <c r="P503" s="26"/>
      <c r="Q503" s="26"/>
      <c r="R503" s="26"/>
      <c r="S503" s="26"/>
      <c r="T503" s="26"/>
      <c r="U503" s="26"/>
      <c r="V503" s="26"/>
      <c r="W503" s="26"/>
      <c r="X503" s="26"/>
      <c r="Y503" s="26"/>
      <c r="Z503" s="26"/>
      <c r="AA503" s="29"/>
      <c r="AB503" s="29"/>
      <c r="AC503" s="16"/>
      <c r="AD503" s="16"/>
      <c r="AE503" s="17"/>
      <c r="AF503" s="17"/>
      <c r="AG503" s="17"/>
      <c r="AH503" s="17"/>
      <c r="AI503" s="19"/>
      <c r="AJ503" s="19"/>
      <c r="AK503" s="19"/>
      <c r="AL503" s="19"/>
      <c r="AM503" s="19"/>
      <c r="AN503" s="19"/>
      <c r="AO503" s="19"/>
      <c r="AP503" s="19"/>
      <c r="AQ503" s="19"/>
      <c r="AR503" s="19"/>
      <c r="AS503" s="19"/>
    </row>
    <row r="504" spans="2:45" s="295" customFormat="1">
      <c r="B504" s="287"/>
      <c r="C504" s="288"/>
      <c r="D504" s="289"/>
      <c r="E504" s="290"/>
      <c r="F504" s="291"/>
      <c r="G504" s="291"/>
      <c r="H504" s="291"/>
      <c r="I504" s="291"/>
      <c r="J504" s="291"/>
      <c r="K504" s="291"/>
      <c r="L504" s="291"/>
      <c r="M504" s="291"/>
      <c r="N504" s="291"/>
      <c r="O504" s="292"/>
      <c r="P504" s="291"/>
      <c r="Q504" s="291"/>
      <c r="R504" s="291"/>
      <c r="S504" s="291"/>
      <c r="T504" s="291"/>
      <c r="U504" s="291"/>
      <c r="V504" s="291"/>
      <c r="W504" s="291"/>
      <c r="X504" s="291"/>
      <c r="Y504" s="291"/>
      <c r="Z504" s="291"/>
      <c r="AA504" s="292"/>
      <c r="AB504" s="292"/>
      <c r="AC504" s="293"/>
      <c r="AD504" s="293"/>
      <c r="AE504" s="294"/>
      <c r="AF504" s="294"/>
      <c r="AG504" s="294"/>
      <c r="AH504" s="294"/>
    </row>
    <row r="505" spans="2:45" s="295" customFormat="1">
      <c r="B505" s="287"/>
      <c r="C505" s="288"/>
      <c r="D505" s="289"/>
      <c r="E505" s="290"/>
      <c r="F505" s="291"/>
      <c r="G505" s="291"/>
      <c r="H505" s="291"/>
      <c r="I505" s="291"/>
      <c r="J505" s="291"/>
      <c r="K505" s="291"/>
      <c r="L505" s="291"/>
      <c r="M505" s="291"/>
      <c r="N505" s="291"/>
      <c r="O505" s="292"/>
      <c r="P505" s="291"/>
      <c r="Q505" s="291"/>
      <c r="R505" s="291"/>
      <c r="S505" s="291"/>
      <c r="T505" s="291"/>
      <c r="U505" s="291"/>
      <c r="V505" s="291"/>
      <c r="W505" s="291"/>
      <c r="X505" s="291"/>
      <c r="Y505" s="291"/>
      <c r="Z505" s="291"/>
      <c r="AA505" s="292"/>
      <c r="AB505" s="292"/>
      <c r="AC505" s="293"/>
      <c r="AD505" s="293"/>
      <c r="AE505" s="294"/>
      <c r="AF505" s="294"/>
      <c r="AG505" s="294"/>
      <c r="AH505" s="294"/>
    </row>
    <row r="506" spans="2:45" s="295" customFormat="1">
      <c r="B506" s="287"/>
      <c r="C506" s="288"/>
      <c r="D506" s="289"/>
      <c r="E506" s="290"/>
      <c r="F506" s="291"/>
      <c r="G506" s="291"/>
      <c r="H506" s="291"/>
      <c r="I506" s="291"/>
      <c r="J506" s="291"/>
      <c r="K506" s="291"/>
      <c r="L506" s="291"/>
      <c r="M506" s="291"/>
      <c r="N506" s="291"/>
      <c r="O506" s="292"/>
      <c r="P506" s="291"/>
      <c r="Q506" s="291"/>
      <c r="R506" s="291"/>
      <c r="S506" s="291"/>
      <c r="T506" s="291"/>
      <c r="U506" s="291"/>
      <c r="V506" s="291"/>
      <c r="W506" s="291"/>
      <c r="X506" s="291"/>
      <c r="Y506" s="291"/>
      <c r="Z506" s="291"/>
      <c r="AA506" s="292"/>
      <c r="AB506" s="292"/>
      <c r="AC506" s="293"/>
      <c r="AD506" s="293"/>
      <c r="AE506" s="294"/>
      <c r="AF506" s="294"/>
      <c r="AG506" s="294"/>
      <c r="AH506" s="294"/>
    </row>
    <row r="507" spans="2:45" s="295" customFormat="1">
      <c r="B507" s="287"/>
      <c r="C507" s="288"/>
      <c r="D507" s="289"/>
      <c r="E507" s="290"/>
      <c r="F507" s="291"/>
      <c r="G507" s="291"/>
      <c r="H507" s="291"/>
      <c r="I507" s="291"/>
      <c r="J507" s="291"/>
      <c r="K507" s="291"/>
      <c r="L507" s="291"/>
      <c r="M507" s="291"/>
      <c r="N507" s="291"/>
      <c r="O507" s="292"/>
      <c r="P507" s="291"/>
      <c r="Q507" s="291"/>
      <c r="R507" s="291"/>
      <c r="S507" s="291"/>
      <c r="T507" s="291"/>
      <c r="U507" s="291"/>
      <c r="V507" s="291"/>
      <c r="W507" s="291"/>
      <c r="X507" s="291"/>
      <c r="Y507" s="291"/>
      <c r="Z507" s="291"/>
      <c r="AA507" s="292"/>
      <c r="AB507" s="292"/>
      <c r="AC507" s="293"/>
      <c r="AD507" s="293"/>
      <c r="AE507" s="294"/>
      <c r="AF507" s="294"/>
      <c r="AG507" s="294"/>
      <c r="AH507" s="294"/>
    </row>
    <row r="508" spans="2:45" s="295" customFormat="1">
      <c r="B508" s="287"/>
      <c r="C508" s="288"/>
      <c r="D508" s="289"/>
      <c r="E508" s="290"/>
      <c r="F508" s="291"/>
      <c r="G508" s="291"/>
      <c r="H508" s="291"/>
      <c r="I508" s="291"/>
      <c r="J508" s="291"/>
      <c r="K508" s="291"/>
      <c r="L508" s="291"/>
      <c r="M508" s="291"/>
      <c r="N508" s="291"/>
      <c r="O508" s="292"/>
      <c r="P508" s="291"/>
      <c r="Q508" s="291"/>
      <c r="R508" s="291"/>
      <c r="S508" s="291"/>
      <c r="T508" s="291"/>
      <c r="U508" s="291"/>
      <c r="V508" s="291"/>
      <c r="W508" s="291"/>
      <c r="X508" s="291"/>
      <c r="Y508" s="291"/>
      <c r="Z508" s="291"/>
      <c r="AA508" s="292"/>
      <c r="AB508" s="292"/>
      <c r="AC508" s="293"/>
      <c r="AD508" s="293"/>
      <c r="AE508" s="294"/>
      <c r="AF508" s="294"/>
      <c r="AG508" s="294"/>
      <c r="AH508" s="294"/>
    </row>
    <row r="509" spans="2:45" s="295" customFormat="1">
      <c r="B509" s="287"/>
      <c r="C509" s="288"/>
      <c r="D509" s="289"/>
      <c r="E509" s="290"/>
      <c r="F509" s="291"/>
      <c r="G509" s="291"/>
      <c r="H509" s="291"/>
      <c r="I509" s="291"/>
      <c r="J509" s="291"/>
      <c r="K509" s="291"/>
      <c r="L509" s="291"/>
      <c r="M509" s="291"/>
      <c r="N509" s="291"/>
      <c r="O509" s="292"/>
      <c r="P509" s="291"/>
      <c r="Q509" s="291"/>
      <c r="R509" s="291"/>
      <c r="S509" s="291"/>
      <c r="T509" s="291"/>
      <c r="U509" s="291"/>
      <c r="V509" s="291"/>
      <c r="W509" s="291"/>
      <c r="X509" s="291"/>
      <c r="Y509" s="291"/>
      <c r="Z509" s="291"/>
      <c r="AA509" s="292"/>
      <c r="AB509" s="292"/>
      <c r="AC509" s="293"/>
      <c r="AD509" s="293"/>
      <c r="AE509" s="294"/>
      <c r="AF509" s="294"/>
      <c r="AG509" s="294"/>
      <c r="AH509" s="294"/>
    </row>
    <row r="510" spans="2:45" s="295" customFormat="1">
      <c r="B510" s="287"/>
      <c r="C510" s="288"/>
      <c r="D510" s="289"/>
      <c r="E510" s="290"/>
      <c r="F510" s="291"/>
      <c r="G510" s="291"/>
      <c r="H510" s="291"/>
      <c r="I510" s="291"/>
      <c r="J510" s="291"/>
      <c r="K510" s="291"/>
      <c r="L510" s="291"/>
      <c r="M510" s="291"/>
      <c r="N510" s="291"/>
      <c r="O510" s="292"/>
      <c r="P510" s="291"/>
      <c r="Q510" s="291"/>
      <c r="R510" s="291"/>
      <c r="S510" s="291"/>
      <c r="T510" s="291"/>
      <c r="U510" s="291"/>
      <c r="V510" s="291"/>
      <c r="W510" s="291"/>
      <c r="X510" s="291"/>
      <c r="Y510" s="291"/>
      <c r="Z510" s="291"/>
      <c r="AA510" s="292"/>
      <c r="AB510" s="292"/>
      <c r="AC510" s="293"/>
      <c r="AD510" s="293"/>
      <c r="AE510" s="294"/>
      <c r="AF510" s="294"/>
      <c r="AG510" s="294"/>
      <c r="AH510" s="294"/>
    </row>
    <row r="511" spans="2:45" s="295" customFormat="1">
      <c r="B511" s="287"/>
      <c r="C511" s="288"/>
      <c r="D511" s="289"/>
      <c r="E511" s="290"/>
      <c r="F511" s="291"/>
      <c r="G511" s="291"/>
      <c r="H511" s="291"/>
      <c r="I511" s="291"/>
      <c r="J511" s="291"/>
      <c r="K511" s="291"/>
      <c r="L511" s="291"/>
      <c r="M511" s="291"/>
      <c r="N511" s="291"/>
      <c r="O511" s="292"/>
      <c r="P511" s="291"/>
      <c r="Q511" s="291"/>
      <c r="R511" s="291"/>
      <c r="S511" s="291"/>
      <c r="T511" s="291"/>
      <c r="U511" s="291"/>
      <c r="V511" s="291"/>
      <c r="W511" s="291"/>
      <c r="X511" s="291"/>
      <c r="Y511" s="291"/>
      <c r="Z511" s="291"/>
      <c r="AA511" s="292"/>
      <c r="AB511" s="292"/>
      <c r="AC511" s="293"/>
      <c r="AD511" s="293"/>
      <c r="AE511" s="294"/>
      <c r="AF511" s="294"/>
      <c r="AG511" s="294"/>
      <c r="AH511" s="294"/>
    </row>
    <row r="512" spans="2:45" s="295" customFormat="1">
      <c r="B512" s="287"/>
      <c r="C512" s="288"/>
      <c r="D512" s="289"/>
      <c r="E512" s="290"/>
      <c r="F512" s="291"/>
      <c r="G512" s="291"/>
      <c r="H512" s="291"/>
      <c r="I512" s="291"/>
      <c r="J512" s="291"/>
      <c r="K512" s="291"/>
      <c r="L512" s="291"/>
      <c r="M512" s="291"/>
      <c r="N512" s="291"/>
      <c r="O512" s="292"/>
      <c r="P512" s="291"/>
      <c r="Q512" s="291"/>
      <c r="R512" s="291"/>
      <c r="S512" s="291"/>
      <c r="T512" s="291"/>
      <c r="U512" s="291"/>
      <c r="V512" s="291"/>
      <c r="W512" s="291"/>
      <c r="X512" s="291"/>
      <c r="Y512" s="291"/>
      <c r="Z512" s="291"/>
      <c r="AA512" s="292"/>
      <c r="AB512" s="292"/>
      <c r="AC512" s="293"/>
      <c r="AD512" s="293"/>
      <c r="AE512" s="294"/>
      <c r="AF512" s="294"/>
      <c r="AG512" s="294"/>
      <c r="AH512" s="294"/>
    </row>
    <row r="513" spans="2:34" s="295" customFormat="1">
      <c r="B513" s="287"/>
      <c r="C513" s="288"/>
      <c r="D513" s="289"/>
      <c r="E513" s="290"/>
      <c r="F513" s="291"/>
      <c r="G513" s="291"/>
      <c r="H513" s="291"/>
      <c r="I513" s="291"/>
      <c r="J513" s="291"/>
      <c r="K513" s="291"/>
      <c r="L513" s="291"/>
      <c r="M513" s="291"/>
      <c r="N513" s="291"/>
      <c r="O513" s="292"/>
      <c r="P513" s="291"/>
      <c r="Q513" s="291"/>
      <c r="R513" s="291"/>
      <c r="S513" s="291"/>
      <c r="T513" s="291"/>
      <c r="U513" s="291"/>
      <c r="V513" s="291"/>
      <c r="W513" s="291"/>
      <c r="X513" s="291"/>
      <c r="Y513" s="291"/>
      <c r="Z513" s="291"/>
      <c r="AA513" s="292"/>
      <c r="AB513" s="292"/>
      <c r="AC513" s="293"/>
      <c r="AD513" s="293"/>
      <c r="AE513" s="294"/>
      <c r="AF513" s="294"/>
      <c r="AG513" s="294"/>
      <c r="AH513" s="294"/>
    </row>
    <row r="514" spans="2:34" s="295" customFormat="1">
      <c r="B514" s="287"/>
      <c r="C514" s="288"/>
      <c r="D514" s="289"/>
      <c r="E514" s="290"/>
      <c r="F514" s="291"/>
      <c r="G514" s="291"/>
      <c r="H514" s="291"/>
      <c r="I514" s="291"/>
      <c r="J514" s="291"/>
      <c r="K514" s="291"/>
      <c r="L514" s="291"/>
      <c r="M514" s="291"/>
      <c r="N514" s="291"/>
      <c r="O514" s="292"/>
      <c r="P514" s="291"/>
      <c r="Q514" s="291"/>
      <c r="R514" s="291"/>
      <c r="S514" s="291"/>
      <c r="T514" s="291"/>
      <c r="U514" s="291"/>
      <c r="V514" s="291"/>
      <c r="W514" s="291"/>
      <c r="X514" s="291"/>
      <c r="Y514" s="291"/>
      <c r="Z514" s="291"/>
      <c r="AA514" s="292"/>
      <c r="AB514" s="292"/>
      <c r="AC514" s="293"/>
      <c r="AD514" s="293"/>
      <c r="AE514" s="294"/>
      <c r="AF514" s="294"/>
      <c r="AG514" s="294"/>
      <c r="AH514" s="294"/>
    </row>
    <row r="515" spans="2:34" s="295" customFormat="1">
      <c r="B515" s="287"/>
      <c r="C515" s="288"/>
      <c r="D515" s="289"/>
      <c r="E515" s="290"/>
      <c r="F515" s="291"/>
      <c r="G515" s="291"/>
      <c r="H515" s="291"/>
      <c r="I515" s="291"/>
      <c r="J515" s="291"/>
      <c r="K515" s="291"/>
      <c r="L515" s="291"/>
      <c r="M515" s="291"/>
      <c r="N515" s="291"/>
      <c r="O515" s="292"/>
      <c r="P515" s="291"/>
      <c r="Q515" s="291"/>
      <c r="R515" s="291"/>
      <c r="S515" s="291"/>
      <c r="T515" s="291"/>
      <c r="U515" s="291"/>
      <c r="V515" s="291"/>
      <c r="W515" s="291"/>
      <c r="X515" s="291"/>
      <c r="Y515" s="291"/>
      <c r="Z515" s="291"/>
      <c r="AA515" s="292"/>
      <c r="AB515" s="292"/>
      <c r="AC515" s="293"/>
      <c r="AD515" s="293"/>
      <c r="AE515" s="294"/>
      <c r="AF515" s="294"/>
      <c r="AG515" s="294"/>
      <c r="AH515" s="294"/>
    </row>
    <row r="516" spans="2:34" s="295" customFormat="1">
      <c r="B516" s="287"/>
      <c r="C516" s="288"/>
      <c r="D516" s="289"/>
      <c r="E516" s="290"/>
      <c r="F516" s="291"/>
      <c r="G516" s="291"/>
      <c r="H516" s="291"/>
      <c r="I516" s="291"/>
      <c r="J516" s="291"/>
      <c r="K516" s="291"/>
      <c r="L516" s="291"/>
      <c r="M516" s="291"/>
      <c r="N516" s="291"/>
      <c r="O516" s="292"/>
      <c r="P516" s="291"/>
      <c r="Q516" s="291"/>
      <c r="R516" s="291"/>
      <c r="S516" s="291"/>
      <c r="T516" s="291"/>
      <c r="U516" s="291"/>
      <c r="V516" s="291"/>
      <c r="W516" s="291"/>
      <c r="X516" s="291"/>
      <c r="Y516" s="291"/>
      <c r="Z516" s="291"/>
      <c r="AA516" s="292"/>
      <c r="AB516" s="292"/>
      <c r="AC516" s="293"/>
      <c r="AD516" s="293"/>
      <c r="AE516" s="294"/>
      <c r="AF516" s="294"/>
      <c r="AG516" s="294"/>
      <c r="AH516" s="294"/>
    </row>
    <row r="517" spans="2:34" s="295" customFormat="1">
      <c r="B517" s="287"/>
      <c r="C517" s="288"/>
      <c r="D517" s="289"/>
      <c r="E517" s="290"/>
      <c r="F517" s="291"/>
      <c r="G517" s="291"/>
      <c r="H517" s="291"/>
      <c r="I517" s="291"/>
      <c r="J517" s="291"/>
      <c r="K517" s="291"/>
      <c r="L517" s="291"/>
      <c r="M517" s="291"/>
      <c r="N517" s="291"/>
      <c r="O517" s="292"/>
      <c r="P517" s="291"/>
      <c r="Q517" s="291"/>
      <c r="R517" s="291"/>
      <c r="S517" s="291"/>
      <c r="T517" s="291"/>
      <c r="U517" s="291"/>
      <c r="V517" s="291"/>
      <c r="W517" s="291"/>
      <c r="X517" s="291"/>
      <c r="Y517" s="291"/>
      <c r="Z517" s="291"/>
      <c r="AA517" s="292"/>
      <c r="AB517" s="292"/>
      <c r="AC517" s="293"/>
      <c r="AD517" s="293"/>
      <c r="AE517" s="294"/>
      <c r="AF517" s="294"/>
      <c r="AG517" s="294"/>
      <c r="AH517" s="294"/>
    </row>
    <row r="518" spans="2:34" s="295" customFormat="1">
      <c r="B518" s="287"/>
      <c r="C518" s="288"/>
      <c r="D518" s="289"/>
      <c r="E518" s="290"/>
      <c r="F518" s="291"/>
      <c r="G518" s="291"/>
      <c r="H518" s="291"/>
      <c r="I518" s="291"/>
      <c r="J518" s="291"/>
      <c r="K518" s="291"/>
      <c r="L518" s="291"/>
      <c r="M518" s="291"/>
      <c r="N518" s="291"/>
      <c r="O518" s="292"/>
      <c r="P518" s="291"/>
      <c r="Q518" s="291"/>
      <c r="R518" s="291"/>
      <c r="S518" s="291"/>
      <c r="T518" s="291"/>
      <c r="U518" s="291"/>
      <c r="V518" s="291"/>
      <c r="W518" s="291"/>
      <c r="X518" s="291"/>
      <c r="Y518" s="291"/>
      <c r="Z518" s="291"/>
      <c r="AA518" s="292"/>
      <c r="AB518" s="292"/>
      <c r="AC518" s="293"/>
      <c r="AD518" s="293"/>
      <c r="AE518" s="294"/>
      <c r="AF518" s="294"/>
      <c r="AG518" s="294"/>
      <c r="AH518" s="294"/>
    </row>
    <row r="519" spans="2:34" s="295" customFormat="1">
      <c r="B519" s="287"/>
      <c r="C519" s="288"/>
      <c r="D519" s="289"/>
      <c r="E519" s="290"/>
      <c r="F519" s="291"/>
      <c r="G519" s="291"/>
      <c r="H519" s="291"/>
      <c r="I519" s="291"/>
      <c r="J519" s="291"/>
      <c r="K519" s="291"/>
      <c r="L519" s="291"/>
      <c r="M519" s="291"/>
      <c r="N519" s="291"/>
      <c r="O519" s="292"/>
      <c r="P519" s="291"/>
      <c r="Q519" s="291"/>
      <c r="R519" s="291"/>
      <c r="S519" s="291"/>
      <c r="T519" s="291"/>
      <c r="U519" s="291"/>
      <c r="V519" s="291"/>
      <c r="W519" s="291"/>
      <c r="X519" s="291"/>
      <c r="Y519" s="291"/>
      <c r="Z519" s="291"/>
      <c r="AA519" s="292"/>
      <c r="AB519" s="292"/>
      <c r="AC519" s="293"/>
      <c r="AD519" s="293"/>
      <c r="AE519" s="294"/>
      <c r="AF519" s="294"/>
      <c r="AG519" s="294"/>
      <c r="AH519" s="294"/>
    </row>
    <row r="520" spans="2:34" s="295" customFormat="1">
      <c r="B520" s="287"/>
      <c r="C520" s="288"/>
      <c r="D520" s="289"/>
      <c r="E520" s="290"/>
      <c r="F520" s="291"/>
      <c r="G520" s="291"/>
      <c r="H520" s="291"/>
      <c r="I520" s="291"/>
      <c r="J520" s="291"/>
      <c r="K520" s="291"/>
      <c r="L520" s="291"/>
      <c r="M520" s="291"/>
      <c r="N520" s="291"/>
      <c r="O520" s="292"/>
      <c r="P520" s="291"/>
      <c r="Q520" s="291"/>
      <c r="R520" s="291"/>
      <c r="S520" s="291"/>
      <c r="T520" s="291"/>
      <c r="U520" s="291"/>
      <c r="V520" s="291"/>
      <c r="W520" s="291"/>
      <c r="X520" s="291"/>
      <c r="Y520" s="291"/>
      <c r="Z520" s="291"/>
      <c r="AA520" s="292"/>
      <c r="AB520" s="292"/>
      <c r="AC520" s="293"/>
      <c r="AD520" s="293"/>
      <c r="AE520" s="294"/>
      <c r="AF520" s="294"/>
      <c r="AG520" s="294"/>
      <c r="AH520" s="294"/>
    </row>
    <row r="521" spans="2:34" s="295" customFormat="1">
      <c r="B521" s="287"/>
      <c r="C521" s="288"/>
      <c r="D521" s="289"/>
      <c r="E521" s="290"/>
      <c r="F521" s="291"/>
      <c r="G521" s="291"/>
      <c r="H521" s="291"/>
      <c r="I521" s="291"/>
      <c r="J521" s="291"/>
      <c r="K521" s="291"/>
      <c r="L521" s="291"/>
      <c r="M521" s="291"/>
      <c r="N521" s="291"/>
      <c r="O521" s="292"/>
      <c r="P521" s="291"/>
      <c r="Q521" s="291"/>
      <c r="R521" s="291"/>
      <c r="S521" s="291"/>
      <c r="T521" s="291"/>
      <c r="U521" s="291"/>
      <c r="V521" s="291"/>
      <c r="W521" s="291"/>
      <c r="X521" s="291"/>
      <c r="Y521" s="291"/>
      <c r="Z521" s="291"/>
      <c r="AA521" s="292"/>
      <c r="AB521" s="292"/>
      <c r="AC521" s="293"/>
      <c r="AD521" s="293"/>
      <c r="AE521" s="294"/>
      <c r="AF521" s="294"/>
      <c r="AG521" s="294"/>
      <c r="AH521" s="294"/>
    </row>
    <row r="522" spans="2:34" s="295" customFormat="1">
      <c r="B522" s="287"/>
      <c r="C522" s="288"/>
      <c r="D522" s="289"/>
      <c r="E522" s="290"/>
      <c r="F522" s="291"/>
      <c r="G522" s="291"/>
      <c r="H522" s="291"/>
      <c r="I522" s="291"/>
      <c r="J522" s="291"/>
      <c r="K522" s="291"/>
      <c r="L522" s="291"/>
      <c r="M522" s="291"/>
      <c r="N522" s="291"/>
      <c r="O522" s="292"/>
      <c r="P522" s="291"/>
      <c r="Q522" s="291"/>
      <c r="R522" s="291"/>
      <c r="S522" s="291"/>
      <c r="T522" s="291"/>
      <c r="U522" s="291"/>
      <c r="V522" s="291"/>
      <c r="W522" s="291"/>
      <c r="X522" s="291"/>
      <c r="Y522" s="291"/>
      <c r="Z522" s="291"/>
      <c r="AA522" s="292"/>
      <c r="AB522" s="292"/>
      <c r="AC522" s="293"/>
      <c r="AD522" s="293"/>
      <c r="AE522" s="294"/>
      <c r="AF522" s="294"/>
      <c r="AG522" s="294"/>
      <c r="AH522" s="294"/>
    </row>
    <row r="523" spans="2:34" s="295" customFormat="1">
      <c r="B523" s="287"/>
      <c r="C523" s="288"/>
      <c r="D523" s="289"/>
      <c r="E523" s="290"/>
      <c r="F523" s="291"/>
      <c r="G523" s="291"/>
      <c r="H523" s="291"/>
      <c r="I523" s="291"/>
      <c r="J523" s="291"/>
      <c r="K523" s="291"/>
      <c r="L523" s="291"/>
      <c r="M523" s="291"/>
      <c r="N523" s="291"/>
      <c r="O523" s="292"/>
      <c r="P523" s="291"/>
      <c r="Q523" s="291"/>
      <c r="R523" s="291"/>
      <c r="S523" s="291"/>
      <c r="T523" s="291"/>
      <c r="U523" s="291"/>
      <c r="V523" s="291"/>
      <c r="W523" s="291"/>
      <c r="X523" s="291"/>
      <c r="Y523" s="291"/>
      <c r="Z523" s="291"/>
      <c r="AA523" s="292"/>
      <c r="AB523" s="292"/>
      <c r="AC523" s="293"/>
      <c r="AD523" s="293"/>
      <c r="AE523" s="294"/>
      <c r="AF523" s="294"/>
      <c r="AG523" s="294"/>
      <c r="AH523" s="294"/>
    </row>
    <row r="524" spans="2:34" s="295" customFormat="1">
      <c r="B524" s="287"/>
      <c r="C524" s="288"/>
      <c r="D524" s="289"/>
      <c r="E524" s="290"/>
      <c r="F524" s="291"/>
      <c r="G524" s="291"/>
      <c r="H524" s="291"/>
      <c r="I524" s="291"/>
      <c r="J524" s="291"/>
      <c r="K524" s="291"/>
      <c r="L524" s="291"/>
      <c r="M524" s="291"/>
      <c r="N524" s="291"/>
      <c r="O524" s="292"/>
      <c r="P524" s="291"/>
      <c r="Q524" s="291"/>
      <c r="R524" s="291"/>
      <c r="S524" s="291"/>
      <c r="T524" s="291"/>
      <c r="U524" s="291"/>
      <c r="V524" s="291"/>
      <c r="W524" s="291"/>
      <c r="X524" s="291"/>
      <c r="Y524" s="291"/>
      <c r="Z524" s="291"/>
      <c r="AA524" s="292"/>
      <c r="AB524" s="292"/>
      <c r="AC524" s="293"/>
      <c r="AD524" s="293"/>
      <c r="AE524" s="294"/>
      <c r="AF524" s="294"/>
      <c r="AG524" s="294"/>
      <c r="AH524" s="294"/>
    </row>
    <row r="525" spans="2:34" s="295" customFormat="1">
      <c r="B525" s="287"/>
      <c r="C525" s="288"/>
      <c r="D525" s="289"/>
      <c r="E525" s="290"/>
      <c r="F525" s="291"/>
      <c r="G525" s="291"/>
      <c r="H525" s="291"/>
      <c r="I525" s="291"/>
      <c r="J525" s="291"/>
      <c r="K525" s="291"/>
      <c r="L525" s="291"/>
      <c r="M525" s="291"/>
      <c r="N525" s="291"/>
      <c r="O525" s="292"/>
      <c r="P525" s="291"/>
      <c r="Q525" s="291"/>
      <c r="R525" s="291"/>
      <c r="S525" s="291"/>
      <c r="T525" s="291"/>
      <c r="U525" s="291"/>
      <c r="V525" s="291"/>
      <c r="W525" s="291"/>
      <c r="X525" s="291"/>
      <c r="Y525" s="291"/>
      <c r="Z525" s="291"/>
      <c r="AA525" s="292"/>
      <c r="AB525" s="292"/>
      <c r="AC525" s="293"/>
      <c r="AD525" s="293"/>
      <c r="AE525" s="294"/>
      <c r="AF525" s="294"/>
      <c r="AG525" s="294"/>
      <c r="AH525" s="294"/>
    </row>
    <row r="526" spans="2:34" s="295" customFormat="1">
      <c r="B526" s="287"/>
      <c r="C526" s="288"/>
      <c r="D526" s="289"/>
      <c r="E526" s="290"/>
      <c r="F526" s="291"/>
      <c r="G526" s="291"/>
      <c r="H526" s="291"/>
      <c r="I526" s="291"/>
      <c r="J526" s="291"/>
      <c r="K526" s="291"/>
      <c r="L526" s="291"/>
      <c r="M526" s="291"/>
      <c r="N526" s="291"/>
      <c r="O526" s="292"/>
      <c r="P526" s="291"/>
      <c r="Q526" s="291"/>
      <c r="R526" s="291"/>
      <c r="S526" s="291"/>
      <c r="T526" s="291"/>
      <c r="U526" s="291"/>
      <c r="V526" s="291"/>
      <c r="W526" s="291"/>
      <c r="X526" s="291"/>
      <c r="Y526" s="291"/>
      <c r="Z526" s="291"/>
      <c r="AA526" s="292"/>
      <c r="AB526" s="292"/>
      <c r="AC526" s="293"/>
      <c r="AD526" s="293"/>
      <c r="AE526" s="294"/>
      <c r="AF526" s="294"/>
      <c r="AG526" s="294"/>
      <c r="AH526" s="294"/>
    </row>
    <row r="527" spans="2:34" s="295" customFormat="1">
      <c r="B527" s="287"/>
      <c r="C527" s="288"/>
      <c r="D527" s="289"/>
      <c r="E527" s="290"/>
      <c r="F527" s="291"/>
      <c r="G527" s="291"/>
      <c r="H527" s="291"/>
      <c r="I527" s="291"/>
      <c r="J527" s="291"/>
      <c r="K527" s="291"/>
      <c r="L527" s="291"/>
      <c r="M527" s="291"/>
      <c r="N527" s="291"/>
      <c r="O527" s="292"/>
      <c r="P527" s="291"/>
      <c r="Q527" s="291"/>
      <c r="R527" s="291"/>
      <c r="S527" s="291"/>
      <c r="T527" s="291"/>
      <c r="U527" s="291"/>
      <c r="V527" s="291"/>
      <c r="W527" s="291"/>
      <c r="X527" s="291"/>
      <c r="Y527" s="291"/>
      <c r="Z527" s="291"/>
      <c r="AA527" s="292"/>
      <c r="AB527" s="292"/>
      <c r="AC527" s="293"/>
      <c r="AD527" s="293"/>
      <c r="AE527" s="294"/>
      <c r="AF527" s="294"/>
      <c r="AG527" s="294"/>
      <c r="AH527" s="294"/>
    </row>
    <row r="528" spans="2:34" s="295" customFormat="1">
      <c r="B528" s="287"/>
      <c r="C528" s="288"/>
      <c r="D528" s="289"/>
      <c r="E528" s="290"/>
      <c r="F528" s="291"/>
      <c r="G528" s="291"/>
      <c r="H528" s="291"/>
      <c r="I528" s="291"/>
      <c r="J528" s="291"/>
      <c r="K528" s="291"/>
      <c r="L528" s="291"/>
      <c r="M528" s="291"/>
      <c r="N528" s="291"/>
      <c r="O528" s="292"/>
      <c r="P528" s="291"/>
      <c r="Q528" s="291"/>
      <c r="R528" s="291"/>
      <c r="S528" s="291"/>
      <c r="T528" s="291"/>
      <c r="U528" s="291"/>
      <c r="V528" s="291"/>
      <c r="W528" s="291"/>
      <c r="X528" s="291"/>
      <c r="Y528" s="291"/>
      <c r="Z528" s="291"/>
      <c r="AA528" s="292"/>
      <c r="AB528" s="292"/>
      <c r="AC528" s="293"/>
      <c r="AD528" s="293"/>
      <c r="AE528" s="294"/>
      <c r="AF528" s="294"/>
      <c r="AG528" s="294"/>
      <c r="AH528" s="294"/>
    </row>
    <row r="529" spans="2:34" s="295" customFormat="1">
      <c r="B529" s="287"/>
      <c r="C529" s="288"/>
      <c r="D529" s="289"/>
      <c r="E529" s="290"/>
      <c r="F529" s="291"/>
      <c r="G529" s="291"/>
      <c r="H529" s="291"/>
      <c r="I529" s="291"/>
      <c r="J529" s="291"/>
      <c r="K529" s="291"/>
      <c r="L529" s="291"/>
      <c r="M529" s="291"/>
      <c r="N529" s="291"/>
      <c r="O529" s="292"/>
      <c r="P529" s="291"/>
      <c r="Q529" s="291"/>
      <c r="R529" s="291"/>
      <c r="S529" s="291"/>
      <c r="T529" s="291"/>
      <c r="U529" s="291"/>
      <c r="V529" s="291"/>
      <c r="W529" s="291"/>
      <c r="X529" s="291"/>
      <c r="Y529" s="291"/>
      <c r="Z529" s="291"/>
      <c r="AA529" s="292"/>
      <c r="AB529" s="292"/>
      <c r="AC529" s="293"/>
      <c r="AD529" s="293"/>
      <c r="AE529" s="294"/>
      <c r="AF529" s="294"/>
      <c r="AG529" s="294"/>
      <c r="AH529" s="294"/>
    </row>
    <row r="530" spans="2:34" s="295" customFormat="1">
      <c r="B530" s="287"/>
      <c r="C530" s="288"/>
      <c r="D530" s="289"/>
      <c r="E530" s="290"/>
      <c r="F530" s="291"/>
      <c r="G530" s="291"/>
      <c r="H530" s="291"/>
      <c r="I530" s="291"/>
      <c r="J530" s="291"/>
      <c r="K530" s="291"/>
      <c r="L530" s="291"/>
      <c r="M530" s="291"/>
      <c r="N530" s="291"/>
      <c r="O530" s="292"/>
      <c r="P530" s="291"/>
      <c r="Q530" s="291"/>
      <c r="R530" s="291"/>
      <c r="S530" s="291"/>
      <c r="T530" s="291"/>
      <c r="U530" s="291"/>
      <c r="V530" s="291"/>
      <c r="W530" s="291"/>
      <c r="X530" s="291"/>
      <c r="Y530" s="291"/>
      <c r="Z530" s="291"/>
      <c r="AA530" s="292"/>
      <c r="AB530" s="292"/>
      <c r="AC530" s="293"/>
      <c r="AD530" s="293"/>
      <c r="AE530" s="294"/>
      <c r="AF530" s="294"/>
      <c r="AG530" s="294"/>
      <c r="AH530" s="294"/>
    </row>
    <row r="531" spans="2:34" s="295" customFormat="1">
      <c r="B531" s="287"/>
      <c r="C531" s="288"/>
      <c r="D531" s="289"/>
      <c r="E531" s="290"/>
      <c r="F531" s="291"/>
      <c r="G531" s="291"/>
      <c r="H531" s="291"/>
      <c r="I531" s="291"/>
      <c r="J531" s="291"/>
      <c r="K531" s="291"/>
      <c r="L531" s="291"/>
      <c r="M531" s="291"/>
      <c r="N531" s="291"/>
      <c r="O531" s="292"/>
      <c r="P531" s="291"/>
      <c r="Q531" s="291"/>
      <c r="R531" s="291"/>
      <c r="S531" s="291"/>
      <c r="T531" s="291"/>
      <c r="U531" s="291"/>
      <c r="V531" s="291"/>
      <c r="W531" s="291"/>
      <c r="X531" s="291"/>
      <c r="Y531" s="291"/>
      <c r="Z531" s="291"/>
      <c r="AA531" s="292"/>
      <c r="AB531" s="292"/>
      <c r="AC531" s="293"/>
      <c r="AD531" s="293"/>
      <c r="AE531" s="294"/>
      <c r="AF531" s="294"/>
      <c r="AG531" s="294"/>
      <c r="AH531" s="294"/>
    </row>
    <row r="532" spans="2:34" s="295" customFormat="1">
      <c r="B532" s="287"/>
      <c r="C532" s="288"/>
      <c r="D532" s="289"/>
      <c r="E532" s="290"/>
      <c r="F532" s="291"/>
      <c r="G532" s="291"/>
      <c r="H532" s="291"/>
      <c r="I532" s="291"/>
      <c r="J532" s="291"/>
      <c r="K532" s="291"/>
      <c r="L532" s="291"/>
      <c r="M532" s="291"/>
      <c r="N532" s="291"/>
      <c r="O532" s="292"/>
      <c r="P532" s="291"/>
      <c r="Q532" s="291"/>
      <c r="R532" s="291"/>
      <c r="S532" s="291"/>
      <c r="T532" s="291"/>
      <c r="U532" s="291"/>
      <c r="V532" s="291"/>
      <c r="W532" s="291"/>
      <c r="X532" s="291"/>
      <c r="Y532" s="291"/>
      <c r="Z532" s="291"/>
      <c r="AA532" s="292"/>
      <c r="AB532" s="292"/>
      <c r="AC532" s="293"/>
      <c r="AD532" s="293"/>
      <c r="AE532" s="294"/>
      <c r="AF532" s="294"/>
      <c r="AG532" s="294"/>
      <c r="AH532" s="294"/>
    </row>
    <row r="533" spans="2:34" s="295" customFormat="1">
      <c r="B533" s="287"/>
      <c r="C533" s="288"/>
      <c r="D533" s="289"/>
      <c r="E533" s="290"/>
      <c r="F533" s="291"/>
      <c r="G533" s="291"/>
      <c r="H533" s="291"/>
      <c r="I533" s="291"/>
      <c r="J533" s="291"/>
      <c r="K533" s="291"/>
      <c r="L533" s="291"/>
      <c r="M533" s="291"/>
      <c r="N533" s="291"/>
      <c r="O533" s="292"/>
      <c r="P533" s="291"/>
      <c r="Q533" s="291"/>
      <c r="R533" s="291"/>
      <c r="S533" s="291"/>
      <c r="T533" s="291"/>
      <c r="U533" s="291"/>
      <c r="V533" s="291"/>
      <c r="W533" s="291"/>
      <c r="X533" s="291"/>
      <c r="Y533" s="291"/>
      <c r="Z533" s="291"/>
      <c r="AA533" s="292"/>
      <c r="AB533" s="292"/>
      <c r="AC533" s="293"/>
      <c r="AD533" s="293"/>
      <c r="AE533" s="294"/>
      <c r="AF533" s="294"/>
      <c r="AG533" s="294"/>
      <c r="AH533" s="294"/>
    </row>
    <row r="534" spans="2:34" s="295" customFormat="1">
      <c r="B534" s="287"/>
      <c r="C534" s="288"/>
      <c r="D534" s="289"/>
      <c r="E534" s="290"/>
      <c r="F534" s="291"/>
      <c r="G534" s="291"/>
      <c r="H534" s="291"/>
      <c r="I534" s="291"/>
      <c r="J534" s="291"/>
      <c r="K534" s="291"/>
      <c r="L534" s="291"/>
      <c r="M534" s="291"/>
      <c r="N534" s="291"/>
      <c r="O534" s="292"/>
      <c r="P534" s="291"/>
      <c r="Q534" s="291"/>
      <c r="R534" s="291"/>
      <c r="S534" s="291"/>
      <c r="T534" s="291"/>
      <c r="U534" s="291"/>
      <c r="V534" s="291"/>
      <c r="W534" s="291"/>
      <c r="X534" s="291"/>
      <c r="Y534" s="291"/>
      <c r="Z534" s="291"/>
      <c r="AA534" s="292"/>
      <c r="AB534" s="292"/>
      <c r="AC534" s="293"/>
      <c r="AD534" s="293"/>
      <c r="AE534" s="294"/>
      <c r="AF534" s="294"/>
      <c r="AG534" s="294"/>
      <c r="AH534" s="294"/>
    </row>
    <row r="535" spans="2:34" s="295" customFormat="1">
      <c r="B535" s="287"/>
      <c r="C535" s="288"/>
      <c r="D535" s="289"/>
      <c r="E535" s="290"/>
      <c r="F535" s="291"/>
      <c r="G535" s="291"/>
      <c r="H535" s="291"/>
      <c r="I535" s="291"/>
      <c r="J535" s="291"/>
      <c r="K535" s="291"/>
      <c r="L535" s="291"/>
      <c r="M535" s="291"/>
      <c r="N535" s="291"/>
      <c r="O535" s="292"/>
      <c r="P535" s="291"/>
      <c r="Q535" s="291"/>
      <c r="R535" s="291"/>
      <c r="S535" s="291"/>
      <c r="T535" s="291"/>
      <c r="U535" s="291"/>
      <c r="V535" s="291"/>
      <c r="W535" s="291"/>
      <c r="X535" s="291"/>
      <c r="Y535" s="291"/>
      <c r="Z535" s="291"/>
      <c r="AA535" s="292"/>
      <c r="AB535" s="292"/>
      <c r="AC535" s="293"/>
      <c r="AD535" s="293"/>
      <c r="AE535" s="294"/>
      <c r="AF535" s="294"/>
      <c r="AG535" s="294"/>
      <c r="AH535" s="294"/>
    </row>
    <row r="536" spans="2:34" s="295" customFormat="1">
      <c r="B536" s="287"/>
      <c r="C536" s="288"/>
      <c r="D536" s="289"/>
      <c r="E536" s="290"/>
      <c r="F536" s="291"/>
      <c r="G536" s="291"/>
      <c r="H536" s="291"/>
      <c r="I536" s="291"/>
      <c r="J536" s="291"/>
      <c r="K536" s="291"/>
      <c r="L536" s="291"/>
      <c r="M536" s="291"/>
      <c r="N536" s="291"/>
      <c r="O536" s="292"/>
      <c r="P536" s="291"/>
      <c r="Q536" s="291"/>
      <c r="R536" s="291"/>
      <c r="S536" s="291"/>
      <c r="T536" s="291"/>
      <c r="U536" s="291"/>
      <c r="V536" s="291"/>
      <c r="W536" s="291"/>
      <c r="X536" s="291"/>
      <c r="Y536" s="291"/>
      <c r="Z536" s="291"/>
      <c r="AA536" s="292"/>
      <c r="AB536" s="292"/>
      <c r="AC536" s="293"/>
      <c r="AD536" s="293"/>
      <c r="AE536" s="294"/>
      <c r="AF536" s="294"/>
      <c r="AG536" s="294"/>
      <c r="AH536" s="294"/>
    </row>
    <row r="537" spans="2:34" s="295" customFormat="1">
      <c r="B537" s="287"/>
      <c r="C537" s="288"/>
      <c r="D537" s="289"/>
      <c r="E537" s="290"/>
      <c r="F537" s="291"/>
      <c r="G537" s="291"/>
      <c r="H537" s="291"/>
      <c r="I537" s="291"/>
      <c r="J537" s="291"/>
      <c r="K537" s="291"/>
      <c r="L537" s="291"/>
      <c r="M537" s="291"/>
      <c r="N537" s="291"/>
      <c r="O537" s="292"/>
      <c r="P537" s="291"/>
      <c r="Q537" s="291"/>
      <c r="R537" s="291"/>
      <c r="S537" s="291"/>
      <c r="T537" s="291"/>
      <c r="U537" s="291"/>
      <c r="V537" s="291"/>
      <c r="W537" s="291"/>
      <c r="X537" s="291"/>
      <c r="Y537" s="291"/>
      <c r="Z537" s="291"/>
      <c r="AA537" s="292"/>
      <c r="AB537" s="292"/>
      <c r="AC537" s="293"/>
      <c r="AD537" s="293"/>
      <c r="AE537" s="294"/>
      <c r="AF537" s="294"/>
      <c r="AG537" s="294"/>
      <c r="AH537" s="294"/>
    </row>
    <row r="538" spans="2:34" s="295" customFormat="1">
      <c r="B538" s="287"/>
      <c r="C538" s="288"/>
      <c r="D538" s="289"/>
      <c r="E538" s="290"/>
      <c r="F538" s="291"/>
      <c r="G538" s="291"/>
      <c r="H538" s="291"/>
      <c r="I538" s="291"/>
      <c r="J538" s="291"/>
      <c r="K538" s="291"/>
      <c r="L538" s="291"/>
      <c r="M538" s="291"/>
      <c r="N538" s="291"/>
      <c r="O538" s="292"/>
      <c r="P538" s="291"/>
      <c r="Q538" s="291"/>
      <c r="R538" s="291"/>
      <c r="S538" s="291"/>
      <c r="T538" s="291"/>
      <c r="U538" s="291"/>
      <c r="V538" s="291"/>
      <c r="W538" s="291"/>
      <c r="X538" s="291"/>
      <c r="Y538" s="291"/>
      <c r="Z538" s="291"/>
      <c r="AA538" s="292"/>
      <c r="AB538" s="292"/>
      <c r="AC538" s="293"/>
      <c r="AD538" s="293"/>
      <c r="AE538" s="294"/>
      <c r="AF538" s="294"/>
      <c r="AG538" s="294"/>
      <c r="AH538" s="294"/>
    </row>
    <row r="539" spans="2:34" s="295" customFormat="1">
      <c r="B539" s="287"/>
      <c r="C539" s="288"/>
      <c r="D539" s="289"/>
      <c r="E539" s="290"/>
      <c r="F539" s="291"/>
      <c r="G539" s="291"/>
      <c r="H539" s="291"/>
      <c r="I539" s="291"/>
      <c r="J539" s="291"/>
      <c r="K539" s="291"/>
      <c r="L539" s="291"/>
      <c r="M539" s="291"/>
      <c r="N539" s="291"/>
      <c r="O539" s="292"/>
      <c r="P539" s="291"/>
      <c r="Q539" s="291"/>
      <c r="R539" s="291"/>
      <c r="S539" s="291"/>
      <c r="T539" s="291"/>
      <c r="U539" s="291"/>
      <c r="V539" s="291"/>
      <c r="W539" s="291"/>
      <c r="X539" s="291"/>
      <c r="Y539" s="291"/>
      <c r="Z539" s="291"/>
      <c r="AA539" s="292"/>
      <c r="AB539" s="292"/>
      <c r="AC539" s="293"/>
      <c r="AD539" s="293"/>
      <c r="AE539" s="294"/>
      <c r="AF539" s="294"/>
      <c r="AG539" s="294"/>
      <c r="AH539" s="294"/>
    </row>
    <row r="540" spans="2:34" s="295" customFormat="1">
      <c r="B540" s="287"/>
      <c r="C540" s="288"/>
      <c r="D540" s="289"/>
      <c r="E540" s="290"/>
      <c r="F540" s="291"/>
      <c r="G540" s="291"/>
      <c r="H540" s="291"/>
      <c r="I540" s="291"/>
      <c r="J540" s="291"/>
      <c r="K540" s="291"/>
      <c r="L540" s="291"/>
      <c r="M540" s="291"/>
      <c r="N540" s="291"/>
      <c r="O540" s="292"/>
      <c r="P540" s="291"/>
      <c r="Q540" s="291"/>
      <c r="R540" s="291"/>
      <c r="S540" s="291"/>
      <c r="T540" s="291"/>
      <c r="U540" s="291"/>
      <c r="V540" s="291"/>
      <c r="W540" s="291"/>
      <c r="X540" s="291"/>
      <c r="Y540" s="291"/>
      <c r="Z540" s="291"/>
      <c r="AA540" s="292"/>
      <c r="AB540" s="292"/>
      <c r="AC540" s="293"/>
      <c r="AD540" s="293"/>
      <c r="AE540" s="294"/>
      <c r="AF540" s="294"/>
      <c r="AG540" s="294"/>
      <c r="AH540" s="294"/>
    </row>
    <row r="541" spans="2:34" s="295" customFormat="1">
      <c r="B541" s="287"/>
      <c r="C541" s="288"/>
      <c r="D541" s="289"/>
      <c r="E541" s="290"/>
      <c r="F541" s="291"/>
      <c r="G541" s="291"/>
      <c r="H541" s="291"/>
      <c r="I541" s="291"/>
      <c r="J541" s="291"/>
      <c r="K541" s="291"/>
      <c r="L541" s="291"/>
      <c r="M541" s="291"/>
      <c r="N541" s="291"/>
      <c r="O541" s="292"/>
      <c r="P541" s="291"/>
      <c r="Q541" s="291"/>
      <c r="R541" s="291"/>
      <c r="S541" s="291"/>
      <c r="T541" s="291"/>
      <c r="U541" s="291"/>
      <c r="V541" s="291"/>
      <c r="W541" s="291"/>
      <c r="X541" s="291"/>
      <c r="Y541" s="291"/>
      <c r="Z541" s="291"/>
      <c r="AA541" s="292"/>
      <c r="AB541" s="292"/>
      <c r="AC541" s="293"/>
      <c r="AD541" s="293"/>
      <c r="AE541" s="294"/>
      <c r="AF541" s="294"/>
      <c r="AG541" s="294"/>
      <c r="AH541" s="294"/>
    </row>
    <row r="542" spans="2:34" s="295" customFormat="1">
      <c r="B542" s="287"/>
      <c r="C542" s="288"/>
      <c r="D542" s="289"/>
      <c r="E542" s="290"/>
      <c r="F542" s="291"/>
      <c r="G542" s="291"/>
      <c r="H542" s="291"/>
      <c r="I542" s="291"/>
      <c r="J542" s="291"/>
      <c r="K542" s="291"/>
      <c r="L542" s="291"/>
      <c r="M542" s="291"/>
      <c r="N542" s="291"/>
      <c r="O542" s="292"/>
      <c r="P542" s="291"/>
      <c r="Q542" s="291"/>
      <c r="R542" s="291"/>
      <c r="S542" s="291"/>
      <c r="T542" s="291"/>
      <c r="U542" s="291"/>
      <c r="V542" s="291"/>
      <c r="W542" s="291"/>
      <c r="X542" s="291"/>
      <c r="Y542" s="291"/>
      <c r="Z542" s="291"/>
      <c r="AA542" s="292"/>
      <c r="AB542" s="292"/>
      <c r="AC542" s="293"/>
      <c r="AD542" s="293"/>
      <c r="AE542" s="294"/>
      <c r="AF542" s="294"/>
      <c r="AG542" s="294"/>
      <c r="AH542" s="294"/>
    </row>
    <row r="543" spans="2:34" s="295" customFormat="1">
      <c r="B543" s="287"/>
      <c r="C543" s="288"/>
      <c r="D543" s="289"/>
      <c r="E543" s="290"/>
      <c r="F543" s="291"/>
      <c r="G543" s="291"/>
      <c r="H543" s="291"/>
      <c r="I543" s="291"/>
      <c r="J543" s="291"/>
      <c r="K543" s="291"/>
      <c r="L543" s="291"/>
      <c r="M543" s="291"/>
      <c r="N543" s="291"/>
      <c r="O543" s="292"/>
      <c r="P543" s="291"/>
      <c r="Q543" s="291"/>
      <c r="R543" s="291"/>
      <c r="S543" s="291"/>
      <c r="T543" s="291"/>
      <c r="U543" s="291"/>
      <c r="V543" s="291"/>
      <c r="W543" s="291"/>
      <c r="X543" s="291"/>
      <c r="Y543" s="291"/>
      <c r="Z543" s="291"/>
      <c r="AA543" s="292"/>
      <c r="AB543" s="292"/>
      <c r="AC543" s="293"/>
      <c r="AD543" s="293"/>
      <c r="AE543" s="294"/>
      <c r="AF543" s="294"/>
      <c r="AG543" s="294"/>
      <c r="AH543" s="294"/>
    </row>
    <row r="544" spans="2:34" s="295" customFormat="1">
      <c r="B544" s="287"/>
      <c r="C544" s="288"/>
      <c r="D544" s="289"/>
      <c r="E544" s="290"/>
      <c r="F544" s="291"/>
      <c r="G544" s="291"/>
      <c r="H544" s="291"/>
      <c r="I544" s="291"/>
      <c r="J544" s="291"/>
      <c r="K544" s="291"/>
      <c r="L544" s="291"/>
      <c r="M544" s="291"/>
      <c r="N544" s="291"/>
      <c r="O544" s="292"/>
      <c r="P544" s="291"/>
      <c r="Q544" s="291"/>
      <c r="R544" s="291"/>
      <c r="S544" s="291"/>
      <c r="T544" s="291"/>
      <c r="U544" s="291"/>
      <c r="V544" s="291"/>
      <c r="W544" s="291"/>
      <c r="X544" s="291"/>
      <c r="Y544" s="291"/>
      <c r="Z544" s="291"/>
      <c r="AA544" s="292"/>
      <c r="AB544" s="292"/>
      <c r="AC544" s="293"/>
      <c r="AD544" s="293"/>
      <c r="AE544" s="294"/>
      <c r="AF544" s="294"/>
      <c r="AG544" s="294"/>
      <c r="AH544" s="294"/>
    </row>
    <row r="545" spans="2:34" s="295" customFormat="1">
      <c r="B545" s="287"/>
      <c r="C545" s="288"/>
      <c r="D545" s="289"/>
      <c r="E545" s="290"/>
      <c r="F545" s="291"/>
      <c r="G545" s="291"/>
      <c r="H545" s="291"/>
      <c r="I545" s="291"/>
      <c r="J545" s="291"/>
      <c r="K545" s="291"/>
      <c r="L545" s="291"/>
      <c r="M545" s="291"/>
      <c r="N545" s="291"/>
      <c r="O545" s="292"/>
      <c r="P545" s="291"/>
      <c r="Q545" s="291"/>
      <c r="R545" s="291"/>
      <c r="S545" s="291"/>
      <c r="T545" s="291"/>
      <c r="U545" s="291"/>
      <c r="V545" s="291"/>
      <c r="W545" s="291"/>
      <c r="X545" s="291"/>
      <c r="Y545" s="291"/>
      <c r="Z545" s="291"/>
      <c r="AA545" s="292"/>
      <c r="AB545" s="292"/>
      <c r="AC545" s="293"/>
      <c r="AD545" s="293"/>
      <c r="AE545" s="294"/>
      <c r="AF545" s="294"/>
      <c r="AG545" s="294"/>
      <c r="AH545" s="294"/>
    </row>
    <row r="546" spans="2:34" s="295" customFormat="1">
      <c r="B546" s="287"/>
      <c r="C546" s="288"/>
      <c r="D546" s="289"/>
      <c r="E546" s="290"/>
      <c r="F546" s="291"/>
      <c r="G546" s="291"/>
      <c r="H546" s="291"/>
      <c r="I546" s="291"/>
      <c r="J546" s="291"/>
      <c r="K546" s="291"/>
      <c r="L546" s="291"/>
      <c r="M546" s="291"/>
      <c r="N546" s="291"/>
      <c r="O546" s="292"/>
      <c r="P546" s="291"/>
      <c r="Q546" s="291"/>
      <c r="R546" s="291"/>
      <c r="S546" s="291"/>
      <c r="T546" s="291"/>
      <c r="U546" s="291"/>
      <c r="V546" s="291"/>
      <c r="W546" s="291"/>
      <c r="X546" s="291"/>
      <c r="Y546" s="291"/>
      <c r="Z546" s="291"/>
      <c r="AA546" s="292"/>
      <c r="AB546" s="292"/>
      <c r="AC546" s="293"/>
      <c r="AD546" s="293"/>
      <c r="AE546" s="294"/>
      <c r="AF546" s="294"/>
      <c r="AG546" s="294"/>
      <c r="AH546" s="294"/>
    </row>
    <row r="547" spans="2:34" s="295" customFormat="1">
      <c r="B547" s="287"/>
      <c r="C547" s="288"/>
      <c r="D547" s="289"/>
      <c r="E547" s="290"/>
      <c r="F547" s="291"/>
      <c r="G547" s="291"/>
      <c r="H547" s="291"/>
      <c r="I547" s="291"/>
      <c r="J547" s="291"/>
      <c r="K547" s="291"/>
      <c r="L547" s="291"/>
      <c r="M547" s="291"/>
      <c r="N547" s="291"/>
      <c r="O547" s="292"/>
      <c r="P547" s="291"/>
      <c r="Q547" s="291"/>
      <c r="R547" s="291"/>
      <c r="S547" s="291"/>
      <c r="T547" s="291"/>
      <c r="U547" s="291"/>
      <c r="V547" s="291"/>
      <c r="W547" s="291"/>
      <c r="X547" s="291"/>
      <c r="Y547" s="291"/>
      <c r="Z547" s="291"/>
      <c r="AA547" s="292"/>
      <c r="AB547" s="292"/>
      <c r="AC547" s="293"/>
      <c r="AD547" s="293"/>
      <c r="AE547" s="294"/>
      <c r="AF547" s="294"/>
      <c r="AG547" s="294"/>
      <c r="AH547" s="294"/>
    </row>
    <row r="548" spans="2:34" s="295" customFormat="1">
      <c r="B548" s="287"/>
      <c r="C548" s="288"/>
      <c r="D548" s="289"/>
      <c r="E548" s="290"/>
      <c r="F548" s="291"/>
      <c r="G548" s="291"/>
      <c r="H548" s="291"/>
      <c r="I548" s="291"/>
      <c r="J548" s="291"/>
      <c r="K548" s="291"/>
      <c r="L548" s="291"/>
      <c r="M548" s="291"/>
      <c r="N548" s="291"/>
      <c r="O548" s="292"/>
      <c r="P548" s="291"/>
      <c r="Q548" s="291"/>
      <c r="R548" s="291"/>
      <c r="S548" s="291"/>
      <c r="T548" s="291"/>
      <c r="U548" s="291"/>
      <c r="V548" s="291"/>
      <c r="W548" s="291"/>
      <c r="X548" s="291"/>
      <c r="Y548" s="291"/>
      <c r="Z548" s="291"/>
      <c r="AA548" s="292"/>
      <c r="AB548" s="292"/>
      <c r="AC548" s="293"/>
      <c r="AD548" s="293"/>
      <c r="AE548" s="294"/>
      <c r="AF548" s="294"/>
      <c r="AG548" s="294"/>
      <c r="AH548" s="294"/>
    </row>
    <row r="549" spans="2:34" s="295" customFormat="1">
      <c r="B549" s="287"/>
      <c r="C549" s="288"/>
      <c r="D549" s="289"/>
      <c r="E549" s="290"/>
      <c r="F549" s="291"/>
      <c r="G549" s="291"/>
      <c r="H549" s="291"/>
      <c r="I549" s="291"/>
      <c r="J549" s="291"/>
      <c r="K549" s="291"/>
      <c r="L549" s="291"/>
      <c r="M549" s="291"/>
      <c r="N549" s="291"/>
      <c r="O549" s="292"/>
      <c r="P549" s="291"/>
      <c r="Q549" s="291"/>
      <c r="R549" s="291"/>
      <c r="S549" s="291"/>
      <c r="T549" s="291"/>
      <c r="U549" s="291"/>
      <c r="V549" s="291"/>
      <c r="W549" s="291"/>
      <c r="X549" s="291"/>
      <c r="Y549" s="291"/>
      <c r="Z549" s="291"/>
      <c r="AA549" s="292"/>
      <c r="AB549" s="292"/>
      <c r="AC549" s="293"/>
      <c r="AD549" s="293"/>
      <c r="AE549" s="294"/>
      <c r="AF549" s="294"/>
      <c r="AG549" s="294"/>
      <c r="AH549" s="294"/>
    </row>
    <row r="550" spans="2:34" s="295" customFormat="1">
      <c r="B550" s="287"/>
      <c r="C550" s="288"/>
      <c r="D550" s="289"/>
      <c r="E550" s="290"/>
      <c r="F550" s="291"/>
      <c r="G550" s="291"/>
      <c r="H550" s="291"/>
      <c r="I550" s="291"/>
      <c r="J550" s="291"/>
      <c r="K550" s="291"/>
      <c r="L550" s="291"/>
      <c r="M550" s="291"/>
      <c r="N550" s="291"/>
      <c r="O550" s="292"/>
      <c r="P550" s="291"/>
      <c r="Q550" s="291"/>
      <c r="R550" s="291"/>
      <c r="S550" s="291"/>
      <c r="T550" s="291"/>
      <c r="U550" s="291"/>
      <c r="V550" s="291"/>
      <c r="W550" s="291"/>
      <c r="X550" s="291"/>
      <c r="Y550" s="291"/>
      <c r="Z550" s="291"/>
      <c r="AA550" s="292"/>
      <c r="AB550" s="292"/>
      <c r="AC550" s="293"/>
      <c r="AD550" s="293"/>
      <c r="AE550" s="294"/>
      <c r="AF550" s="294"/>
      <c r="AG550" s="294"/>
      <c r="AH550" s="294"/>
    </row>
    <row r="551" spans="2:34" s="295" customFormat="1">
      <c r="B551" s="287"/>
      <c r="C551" s="288"/>
      <c r="D551" s="289"/>
      <c r="E551" s="290"/>
      <c r="F551" s="291"/>
      <c r="G551" s="291"/>
      <c r="H551" s="291"/>
      <c r="I551" s="291"/>
      <c r="J551" s="291"/>
      <c r="K551" s="291"/>
      <c r="L551" s="291"/>
      <c r="M551" s="291"/>
      <c r="N551" s="291"/>
      <c r="O551" s="292"/>
      <c r="P551" s="291"/>
      <c r="Q551" s="291"/>
      <c r="R551" s="291"/>
      <c r="S551" s="291"/>
      <c r="T551" s="291"/>
      <c r="U551" s="291"/>
      <c r="V551" s="291"/>
      <c r="W551" s="291"/>
      <c r="X551" s="291"/>
      <c r="Y551" s="291"/>
      <c r="Z551" s="291"/>
      <c r="AA551" s="292"/>
      <c r="AB551" s="292"/>
      <c r="AC551" s="293"/>
      <c r="AD551" s="293"/>
      <c r="AE551" s="294"/>
      <c r="AF551" s="294"/>
      <c r="AG551" s="294"/>
      <c r="AH551" s="294"/>
    </row>
    <row r="552" spans="2:34" s="295" customFormat="1">
      <c r="B552" s="287"/>
      <c r="C552" s="288"/>
      <c r="D552" s="289"/>
      <c r="E552" s="290"/>
      <c r="F552" s="291"/>
      <c r="G552" s="291"/>
      <c r="H552" s="291"/>
      <c r="I552" s="291"/>
      <c r="J552" s="291"/>
      <c r="K552" s="291"/>
      <c r="L552" s="291"/>
      <c r="M552" s="291"/>
      <c r="N552" s="291"/>
      <c r="O552" s="292"/>
      <c r="P552" s="291"/>
      <c r="Q552" s="291"/>
      <c r="R552" s="291"/>
      <c r="S552" s="291"/>
      <c r="T552" s="291"/>
      <c r="U552" s="291"/>
      <c r="V552" s="291"/>
      <c r="W552" s="291"/>
      <c r="X552" s="291"/>
      <c r="Y552" s="291"/>
      <c r="Z552" s="291"/>
      <c r="AA552" s="292"/>
      <c r="AB552" s="292"/>
      <c r="AC552" s="293"/>
      <c r="AD552" s="293"/>
      <c r="AE552" s="294"/>
      <c r="AF552" s="294"/>
      <c r="AG552" s="294"/>
      <c r="AH552" s="294"/>
    </row>
    <row r="553" spans="2:34" s="295" customFormat="1">
      <c r="B553" s="287"/>
      <c r="C553" s="288"/>
      <c r="D553" s="289"/>
      <c r="E553" s="290"/>
      <c r="F553" s="291"/>
      <c r="G553" s="291"/>
      <c r="H553" s="291"/>
      <c r="I553" s="291"/>
      <c r="J553" s="291"/>
      <c r="K553" s="291"/>
      <c r="L553" s="291"/>
      <c r="M553" s="291"/>
      <c r="N553" s="291"/>
      <c r="O553" s="292"/>
      <c r="P553" s="291"/>
      <c r="Q553" s="291"/>
      <c r="R553" s="291"/>
      <c r="S553" s="291"/>
      <c r="T553" s="291"/>
      <c r="U553" s="291"/>
      <c r="V553" s="291"/>
      <c r="W553" s="291"/>
      <c r="X553" s="291"/>
      <c r="Y553" s="291"/>
      <c r="Z553" s="291"/>
      <c r="AA553" s="292"/>
      <c r="AB553" s="292"/>
      <c r="AC553" s="293"/>
      <c r="AD553" s="293"/>
      <c r="AE553" s="294"/>
      <c r="AF553" s="294"/>
      <c r="AG553" s="294"/>
      <c r="AH553" s="294"/>
    </row>
    <row r="554" spans="2:34" s="295" customFormat="1">
      <c r="B554" s="287"/>
      <c r="C554" s="288"/>
      <c r="D554" s="289"/>
      <c r="E554" s="290"/>
      <c r="F554" s="291"/>
      <c r="G554" s="291"/>
      <c r="H554" s="291"/>
      <c r="I554" s="291"/>
      <c r="J554" s="291"/>
      <c r="K554" s="291"/>
      <c r="L554" s="291"/>
      <c r="M554" s="291"/>
      <c r="N554" s="291"/>
      <c r="O554" s="292"/>
      <c r="P554" s="291"/>
      <c r="Q554" s="291"/>
      <c r="R554" s="291"/>
      <c r="S554" s="291"/>
      <c r="T554" s="291"/>
      <c r="U554" s="291"/>
      <c r="V554" s="291"/>
      <c r="W554" s="291"/>
      <c r="X554" s="291"/>
      <c r="Y554" s="291"/>
      <c r="Z554" s="291"/>
      <c r="AA554" s="292"/>
      <c r="AB554" s="292"/>
      <c r="AC554" s="293"/>
      <c r="AD554" s="293"/>
      <c r="AE554" s="294"/>
      <c r="AF554" s="294"/>
      <c r="AG554" s="294"/>
      <c r="AH554" s="294"/>
    </row>
    <row r="555" spans="2:34" s="295" customFormat="1">
      <c r="B555" s="287"/>
      <c r="C555" s="288"/>
      <c r="D555" s="289"/>
      <c r="E555" s="290"/>
      <c r="F555" s="291"/>
      <c r="G555" s="291"/>
      <c r="H555" s="291"/>
      <c r="I555" s="291"/>
      <c r="J555" s="291"/>
      <c r="K555" s="291"/>
      <c r="L555" s="291"/>
      <c r="M555" s="291"/>
      <c r="N555" s="291"/>
      <c r="O555" s="292"/>
      <c r="P555" s="291"/>
      <c r="Q555" s="291"/>
      <c r="R555" s="291"/>
      <c r="S555" s="291"/>
      <c r="T555" s="291"/>
      <c r="U555" s="291"/>
      <c r="V555" s="291"/>
      <c r="W555" s="291"/>
      <c r="X555" s="291"/>
      <c r="Y555" s="291"/>
      <c r="Z555" s="291"/>
      <c r="AA555" s="292"/>
      <c r="AB555" s="292"/>
      <c r="AC555" s="293"/>
      <c r="AD555" s="293"/>
      <c r="AE555" s="294"/>
      <c r="AF555" s="294"/>
      <c r="AG555" s="294"/>
      <c r="AH555" s="294"/>
    </row>
    <row r="556" spans="2:34" s="295" customFormat="1">
      <c r="B556" s="287"/>
      <c r="C556" s="288"/>
      <c r="D556" s="289"/>
      <c r="E556" s="290"/>
      <c r="F556" s="291"/>
      <c r="G556" s="291"/>
      <c r="H556" s="291"/>
      <c r="I556" s="291"/>
      <c r="J556" s="291"/>
      <c r="K556" s="291"/>
      <c r="L556" s="291"/>
      <c r="M556" s="291"/>
      <c r="N556" s="291"/>
      <c r="O556" s="292"/>
      <c r="P556" s="291"/>
      <c r="Q556" s="291"/>
      <c r="R556" s="291"/>
      <c r="S556" s="291"/>
      <c r="T556" s="291"/>
      <c r="U556" s="291"/>
      <c r="V556" s="291"/>
      <c r="W556" s="291"/>
      <c r="X556" s="291"/>
      <c r="Y556" s="291"/>
      <c r="Z556" s="291"/>
      <c r="AA556" s="292"/>
      <c r="AB556" s="292"/>
      <c r="AC556" s="293"/>
      <c r="AD556" s="293"/>
      <c r="AE556" s="294"/>
      <c r="AF556" s="294"/>
      <c r="AG556" s="294"/>
      <c r="AH556" s="294"/>
    </row>
    <row r="557" spans="2:34" s="295" customFormat="1">
      <c r="B557" s="287"/>
      <c r="C557" s="288"/>
      <c r="D557" s="289"/>
      <c r="E557" s="290"/>
      <c r="F557" s="291"/>
      <c r="G557" s="291"/>
      <c r="H557" s="291"/>
      <c r="I557" s="291"/>
      <c r="J557" s="291"/>
      <c r="K557" s="291"/>
      <c r="L557" s="291"/>
      <c r="M557" s="291"/>
      <c r="N557" s="291"/>
      <c r="O557" s="292"/>
      <c r="P557" s="291"/>
      <c r="Q557" s="291"/>
      <c r="R557" s="291"/>
      <c r="S557" s="291"/>
      <c r="T557" s="291"/>
      <c r="U557" s="291"/>
      <c r="V557" s="291"/>
      <c r="W557" s="291"/>
      <c r="X557" s="291"/>
      <c r="Y557" s="291"/>
      <c r="Z557" s="291"/>
      <c r="AA557" s="292"/>
      <c r="AB557" s="292"/>
      <c r="AC557" s="293"/>
      <c r="AD557" s="293"/>
      <c r="AE557" s="294"/>
      <c r="AF557" s="294"/>
      <c r="AG557" s="294"/>
      <c r="AH557" s="294"/>
    </row>
    <row r="558" spans="2:34" s="295" customFormat="1">
      <c r="B558" s="287"/>
      <c r="C558" s="288"/>
      <c r="D558" s="289"/>
      <c r="E558" s="290"/>
      <c r="F558" s="291"/>
      <c r="G558" s="291"/>
      <c r="H558" s="291"/>
      <c r="I558" s="291"/>
      <c r="J558" s="291"/>
      <c r="K558" s="291"/>
      <c r="L558" s="291"/>
      <c r="M558" s="291"/>
      <c r="N558" s="291"/>
      <c r="O558" s="292"/>
      <c r="P558" s="291"/>
      <c r="Q558" s="291"/>
      <c r="R558" s="291"/>
      <c r="S558" s="291"/>
      <c r="T558" s="291"/>
      <c r="U558" s="291"/>
      <c r="V558" s="291"/>
      <c r="W558" s="291"/>
      <c r="X558" s="291"/>
      <c r="Y558" s="291"/>
      <c r="Z558" s="291"/>
      <c r="AA558" s="292"/>
      <c r="AB558" s="292"/>
      <c r="AC558" s="293"/>
      <c r="AD558" s="293"/>
      <c r="AE558" s="294"/>
      <c r="AF558" s="294"/>
      <c r="AG558" s="294"/>
      <c r="AH558" s="294"/>
    </row>
    <row r="559" spans="2:34" s="295" customFormat="1">
      <c r="B559" s="287"/>
      <c r="C559" s="288"/>
      <c r="D559" s="289"/>
      <c r="E559" s="290"/>
      <c r="F559" s="291"/>
      <c r="G559" s="291"/>
      <c r="H559" s="291"/>
      <c r="I559" s="291"/>
      <c r="J559" s="291"/>
      <c r="K559" s="291"/>
      <c r="L559" s="291"/>
      <c r="M559" s="291"/>
      <c r="N559" s="291"/>
      <c r="O559" s="292"/>
      <c r="P559" s="291"/>
      <c r="Q559" s="291"/>
      <c r="R559" s="291"/>
      <c r="S559" s="291"/>
      <c r="T559" s="291"/>
      <c r="U559" s="291"/>
      <c r="V559" s="291"/>
      <c r="W559" s="291"/>
      <c r="X559" s="291"/>
      <c r="Y559" s="291"/>
      <c r="Z559" s="291"/>
      <c r="AA559" s="292"/>
      <c r="AB559" s="292"/>
      <c r="AC559" s="293"/>
      <c r="AD559" s="293"/>
      <c r="AE559" s="294"/>
      <c r="AF559" s="294"/>
      <c r="AG559" s="294"/>
      <c r="AH559" s="294"/>
    </row>
    <row r="560" spans="2:34" s="295" customFormat="1">
      <c r="B560" s="287"/>
      <c r="C560" s="288"/>
      <c r="D560" s="289"/>
      <c r="E560" s="290"/>
      <c r="F560" s="291"/>
      <c r="G560" s="291"/>
      <c r="H560" s="291"/>
      <c r="I560" s="291"/>
      <c r="J560" s="291"/>
      <c r="K560" s="291"/>
      <c r="L560" s="291"/>
      <c r="M560" s="291"/>
      <c r="N560" s="291"/>
      <c r="O560" s="292"/>
      <c r="P560" s="291"/>
      <c r="Q560" s="291"/>
      <c r="R560" s="291"/>
      <c r="S560" s="291"/>
      <c r="T560" s="291"/>
      <c r="U560" s="291"/>
      <c r="V560" s="291"/>
      <c r="W560" s="291"/>
      <c r="X560" s="291"/>
      <c r="Y560" s="291"/>
      <c r="Z560" s="291"/>
      <c r="AA560" s="292"/>
      <c r="AB560" s="292"/>
      <c r="AC560" s="293"/>
      <c r="AD560" s="293"/>
      <c r="AE560" s="294"/>
      <c r="AF560" s="294"/>
      <c r="AG560" s="294"/>
      <c r="AH560" s="294"/>
    </row>
    <row r="561" spans="2:34" s="295" customFormat="1">
      <c r="B561" s="287"/>
      <c r="C561" s="288"/>
      <c r="D561" s="289"/>
      <c r="E561" s="290"/>
      <c r="F561" s="291"/>
      <c r="G561" s="291"/>
      <c r="H561" s="291"/>
      <c r="I561" s="291"/>
      <c r="J561" s="291"/>
      <c r="K561" s="291"/>
      <c r="L561" s="291"/>
      <c r="M561" s="291"/>
      <c r="N561" s="291"/>
      <c r="O561" s="292"/>
      <c r="P561" s="291"/>
      <c r="Q561" s="291"/>
      <c r="R561" s="291"/>
      <c r="S561" s="291"/>
      <c r="T561" s="291"/>
      <c r="U561" s="291"/>
      <c r="V561" s="291"/>
      <c r="W561" s="291"/>
      <c r="X561" s="291"/>
      <c r="Y561" s="291"/>
      <c r="Z561" s="291"/>
      <c r="AA561" s="292"/>
      <c r="AB561" s="292"/>
      <c r="AC561" s="293"/>
      <c r="AD561" s="293"/>
      <c r="AE561" s="294"/>
      <c r="AF561" s="294"/>
      <c r="AG561" s="294"/>
      <c r="AH561" s="294"/>
    </row>
    <row r="562" spans="2:34" s="295" customFormat="1">
      <c r="B562" s="287"/>
      <c r="C562" s="288"/>
      <c r="D562" s="289"/>
      <c r="E562" s="290"/>
      <c r="F562" s="291"/>
      <c r="G562" s="291"/>
      <c r="H562" s="291"/>
      <c r="I562" s="291"/>
      <c r="J562" s="291"/>
      <c r="K562" s="291"/>
      <c r="L562" s="291"/>
      <c r="M562" s="291"/>
      <c r="N562" s="291"/>
      <c r="O562" s="292"/>
      <c r="P562" s="291"/>
      <c r="Q562" s="291"/>
      <c r="R562" s="291"/>
      <c r="S562" s="291"/>
      <c r="T562" s="291"/>
      <c r="U562" s="291"/>
      <c r="V562" s="291"/>
      <c r="W562" s="291"/>
      <c r="X562" s="291"/>
      <c r="Y562" s="291"/>
      <c r="Z562" s="291"/>
      <c r="AA562" s="292"/>
      <c r="AB562" s="292"/>
      <c r="AC562" s="293"/>
      <c r="AD562" s="293"/>
      <c r="AE562" s="294"/>
      <c r="AF562" s="294"/>
      <c r="AG562" s="294"/>
      <c r="AH562" s="294"/>
    </row>
    <row r="563" spans="2:34" s="295" customFormat="1">
      <c r="B563" s="287"/>
      <c r="C563" s="288"/>
      <c r="D563" s="289"/>
      <c r="E563" s="290"/>
      <c r="F563" s="291"/>
      <c r="G563" s="291"/>
      <c r="H563" s="291"/>
      <c r="I563" s="291"/>
      <c r="J563" s="291"/>
      <c r="K563" s="291"/>
      <c r="L563" s="291"/>
      <c r="M563" s="291"/>
      <c r="N563" s="291"/>
      <c r="O563" s="292"/>
      <c r="P563" s="291"/>
      <c r="Q563" s="291"/>
      <c r="R563" s="291"/>
      <c r="S563" s="291"/>
      <c r="T563" s="291"/>
      <c r="U563" s="291"/>
      <c r="V563" s="291"/>
      <c r="W563" s="291"/>
      <c r="X563" s="291"/>
      <c r="Y563" s="291"/>
      <c r="Z563" s="291"/>
      <c r="AA563" s="292"/>
      <c r="AB563" s="292"/>
      <c r="AC563" s="293"/>
      <c r="AD563" s="293"/>
      <c r="AE563" s="294"/>
      <c r="AF563" s="294"/>
      <c r="AG563" s="294"/>
      <c r="AH563" s="294"/>
    </row>
    <row r="564" spans="2:34" s="295" customFormat="1">
      <c r="B564" s="287"/>
      <c r="C564" s="288"/>
      <c r="D564" s="289"/>
      <c r="E564" s="290"/>
      <c r="F564" s="291"/>
      <c r="G564" s="291"/>
      <c r="H564" s="291"/>
      <c r="I564" s="291"/>
      <c r="J564" s="291"/>
      <c r="K564" s="291"/>
      <c r="L564" s="291"/>
      <c r="M564" s="291"/>
      <c r="N564" s="291"/>
      <c r="O564" s="292"/>
      <c r="P564" s="291"/>
      <c r="Q564" s="291"/>
      <c r="R564" s="291"/>
      <c r="S564" s="291"/>
      <c r="T564" s="291"/>
      <c r="U564" s="291"/>
      <c r="V564" s="291"/>
      <c r="W564" s="291"/>
      <c r="X564" s="291"/>
      <c r="Y564" s="291"/>
      <c r="Z564" s="291"/>
      <c r="AA564" s="292"/>
      <c r="AB564" s="292"/>
      <c r="AC564" s="293"/>
      <c r="AD564" s="293"/>
      <c r="AE564" s="294"/>
      <c r="AF564" s="294"/>
      <c r="AG564" s="294"/>
      <c r="AH564" s="294"/>
    </row>
    <row r="565" spans="2:34" s="295" customFormat="1">
      <c r="B565" s="287"/>
      <c r="C565" s="288"/>
      <c r="D565" s="289"/>
      <c r="E565" s="290"/>
      <c r="F565" s="291"/>
      <c r="G565" s="291"/>
      <c r="H565" s="291"/>
      <c r="I565" s="291"/>
      <c r="J565" s="291"/>
      <c r="K565" s="291"/>
      <c r="L565" s="291"/>
      <c r="M565" s="291"/>
      <c r="N565" s="291"/>
      <c r="O565" s="292"/>
      <c r="P565" s="291"/>
      <c r="Q565" s="291"/>
      <c r="R565" s="291"/>
      <c r="S565" s="291"/>
      <c r="T565" s="291"/>
      <c r="U565" s="291"/>
      <c r="V565" s="291"/>
      <c r="W565" s="291"/>
      <c r="X565" s="291"/>
      <c r="Y565" s="291"/>
      <c r="Z565" s="291"/>
      <c r="AA565" s="292"/>
      <c r="AB565" s="292"/>
      <c r="AC565" s="293"/>
      <c r="AD565" s="293"/>
      <c r="AE565" s="294"/>
      <c r="AF565" s="294"/>
      <c r="AG565" s="294"/>
      <c r="AH565" s="294"/>
    </row>
    <row r="566" spans="2:34" s="295" customFormat="1">
      <c r="B566" s="287"/>
      <c r="C566" s="288"/>
      <c r="D566" s="289"/>
      <c r="E566" s="290"/>
      <c r="F566" s="291"/>
      <c r="G566" s="291"/>
      <c r="H566" s="291"/>
      <c r="I566" s="291"/>
      <c r="J566" s="291"/>
      <c r="K566" s="291"/>
      <c r="L566" s="291"/>
      <c r="M566" s="291"/>
      <c r="N566" s="291"/>
      <c r="O566" s="292"/>
      <c r="P566" s="291"/>
      <c r="Q566" s="291"/>
      <c r="R566" s="291"/>
      <c r="S566" s="291"/>
      <c r="T566" s="291"/>
      <c r="U566" s="291"/>
      <c r="V566" s="291"/>
      <c r="W566" s="291"/>
      <c r="X566" s="291"/>
      <c r="Y566" s="291"/>
      <c r="Z566" s="291"/>
      <c r="AA566" s="292"/>
      <c r="AB566" s="292"/>
      <c r="AC566" s="293"/>
      <c r="AD566" s="293"/>
      <c r="AE566" s="294"/>
      <c r="AF566" s="294"/>
      <c r="AG566" s="294"/>
      <c r="AH566" s="294"/>
    </row>
    <row r="567" spans="2:34" s="295" customFormat="1">
      <c r="B567" s="287"/>
      <c r="C567" s="288"/>
      <c r="D567" s="289"/>
      <c r="E567" s="290"/>
      <c r="F567" s="291"/>
      <c r="G567" s="291"/>
      <c r="H567" s="291"/>
      <c r="I567" s="291"/>
      <c r="J567" s="291"/>
      <c r="K567" s="291"/>
      <c r="L567" s="291"/>
      <c r="M567" s="291"/>
      <c r="N567" s="291"/>
      <c r="O567" s="292"/>
      <c r="P567" s="291"/>
      <c r="Q567" s="291"/>
      <c r="R567" s="291"/>
      <c r="S567" s="291"/>
      <c r="T567" s="291"/>
      <c r="U567" s="291"/>
      <c r="V567" s="291"/>
      <c r="W567" s="291"/>
      <c r="X567" s="291"/>
      <c r="Y567" s="291"/>
      <c r="Z567" s="291"/>
      <c r="AA567" s="292"/>
      <c r="AB567" s="292"/>
      <c r="AC567" s="293"/>
      <c r="AD567" s="293"/>
      <c r="AE567" s="294"/>
      <c r="AF567" s="294"/>
      <c r="AG567" s="294"/>
      <c r="AH567" s="294"/>
    </row>
    <row r="568" spans="2:34" s="295" customFormat="1">
      <c r="B568" s="287"/>
      <c r="C568" s="288"/>
      <c r="D568" s="289"/>
      <c r="E568" s="290"/>
      <c r="F568" s="291"/>
      <c r="G568" s="291"/>
      <c r="H568" s="291"/>
      <c r="I568" s="291"/>
      <c r="J568" s="291"/>
      <c r="K568" s="291"/>
      <c r="L568" s="291"/>
      <c r="M568" s="291"/>
      <c r="N568" s="291"/>
      <c r="O568" s="292"/>
      <c r="P568" s="291"/>
      <c r="Q568" s="291"/>
      <c r="R568" s="291"/>
      <c r="S568" s="291"/>
      <c r="T568" s="291"/>
      <c r="U568" s="291"/>
      <c r="V568" s="291"/>
      <c r="W568" s="291"/>
      <c r="X568" s="291"/>
      <c r="Y568" s="291"/>
      <c r="Z568" s="291"/>
      <c r="AA568" s="292"/>
      <c r="AB568" s="292"/>
      <c r="AC568" s="293"/>
      <c r="AD568" s="293"/>
      <c r="AE568" s="294"/>
      <c r="AF568" s="294"/>
      <c r="AG568" s="294"/>
      <c r="AH568" s="294"/>
    </row>
    <row r="569" spans="2:34" s="295" customFormat="1">
      <c r="B569" s="287"/>
      <c r="C569" s="288"/>
      <c r="D569" s="289"/>
      <c r="E569" s="290"/>
      <c r="F569" s="291"/>
      <c r="G569" s="291"/>
      <c r="H569" s="291"/>
      <c r="I569" s="291"/>
      <c r="J569" s="291"/>
      <c r="K569" s="291"/>
      <c r="L569" s="291"/>
      <c r="M569" s="291"/>
      <c r="N569" s="291"/>
      <c r="O569" s="292"/>
      <c r="P569" s="291"/>
      <c r="Q569" s="291"/>
      <c r="R569" s="291"/>
      <c r="S569" s="291"/>
      <c r="T569" s="291"/>
      <c r="U569" s="291"/>
      <c r="V569" s="291"/>
      <c r="W569" s="291"/>
      <c r="X569" s="291"/>
      <c r="Y569" s="291"/>
      <c r="Z569" s="291"/>
      <c r="AA569" s="292"/>
      <c r="AB569" s="292"/>
      <c r="AC569" s="293"/>
      <c r="AD569" s="293"/>
      <c r="AE569" s="294"/>
      <c r="AF569" s="294"/>
      <c r="AG569" s="294"/>
      <c r="AH569" s="294"/>
    </row>
    <row r="570" spans="2:34" s="295" customFormat="1">
      <c r="B570" s="287"/>
      <c r="C570" s="288"/>
      <c r="D570" s="289"/>
      <c r="E570" s="290"/>
      <c r="F570" s="291"/>
      <c r="G570" s="291"/>
      <c r="H570" s="291"/>
      <c r="I570" s="291"/>
      <c r="J570" s="291"/>
      <c r="K570" s="291"/>
      <c r="L570" s="291"/>
      <c r="M570" s="291"/>
      <c r="N570" s="291"/>
      <c r="O570" s="292"/>
      <c r="P570" s="291"/>
      <c r="Q570" s="291"/>
      <c r="R570" s="291"/>
      <c r="S570" s="291"/>
      <c r="T570" s="291"/>
      <c r="U570" s="291"/>
      <c r="V570" s="291"/>
      <c r="W570" s="291"/>
      <c r="X570" s="291"/>
      <c r="Y570" s="291"/>
      <c r="Z570" s="291"/>
      <c r="AA570" s="292"/>
      <c r="AB570" s="292"/>
      <c r="AC570" s="293"/>
      <c r="AD570" s="293"/>
      <c r="AE570" s="294"/>
      <c r="AF570" s="294"/>
      <c r="AG570" s="294"/>
      <c r="AH570" s="294"/>
    </row>
    <row r="571" spans="2:34" s="295" customFormat="1">
      <c r="B571" s="287"/>
      <c r="C571" s="288"/>
      <c r="D571" s="289"/>
      <c r="E571" s="290"/>
      <c r="F571" s="291"/>
      <c r="G571" s="291"/>
      <c r="H571" s="291"/>
      <c r="I571" s="291"/>
      <c r="J571" s="291"/>
      <c r="K571" s="291"/>
      <c r="L571" s="291"/>
      <c r="M571" s="291"/>
      <c r="N571" s="291"/>
      <c r="O571" s="292"/>
      <c r="P571" s="291"/>
      <c r="Q571" s="291"/>
      <c r="R571" s="291"/>
      <c r="S571" s="291"/>
      <c r="T571" s="291"/>
      <c r="U571" s="291"/>
      <c r="V571" s="291"/>
      <c r="W571" s="291"/>
      <c r="X571" s="291"/>
      <c r="Y571" s="291"/>
      <c r="Z571" s="291"/>
      <c r="AA571" s="292"/>
      <c r="AB571" s="292"/>
      <c r="AC571" s="293"/>
      <c r="AD571" s="293"/>
      <c r="AE571" s="294"/>
      <c r="AF571" s="294"/>
      <c r="AG571" s="294"/>
      <c r="AH571" s="294"/>
    </row>
    <row r="572" spans="2:34" s="295" customFormat="1">
      <c r="B572" s="287"/>
      <c r="C572" s="288"/>
      <c r="D572" s="289"/>
      <c r="E572" s="290"/>
      <c r="F572" s="291"/>
      <c r="G572" s="291"/>
      <c r="H572" s="291"/>
      <c r="I572" s="291"/>
      <c r="J572" s="291"/>
      <c r="K572" s="291"/>
      <c r="L572" s="291"/>
      <c r="M572" s="291"/>
      <c r="N572" s="291"/>
      <c r="O572" s="292"/>
      <c r="P572" s="291"/>
      <c r="Q572" s="291"/>
      <c r="R572" s="291"/>
      <c r="S572" s="291"/>
      <c r="T572" s="291"/>
      <c r="U572" s="291"/>
      <c r="V572" s="291"/>
      <c r="W572" s="291"/>
      <c r="X572" s="291"/>
      <c r="Y572" s="291"/>
      <c r="Z572" s="291"/>
      <c r="AA572" s="292"/>
      <c r="AB572" s="292"/>
      <c r="AC572" s="293"/>
      <c r="AD572" s="293"/>
      <c r="AE572" s="294"/>
      <c r="AF572" s="294"/>
      <c r="AG572" s="294"/>
      <c r="AH572" s="294"/>
    </row>
    <row r="573" spans="2:34" s="295" customFormat="1">
      <c r="B573" s="287"/>
      <c r="C573" s="288"/>
      <c r="D573" s="289"/>
      <c r="E573" s="290"/>
      <c r="F573" s="291"/>
      <c r="G573" s="291"/>
      <c r="H573" s="291"/>
      <c r="I573" s="291"/>
      <c r="J573" s="291"/>
      <c r="K573" s="291"/>
      <c r="L573" s="291"/>
      <c r="M573" s="291"/>
      <c r="N573" s="291"/>
      <c r="O573" s="292"/>
      <c r="P573" s="291"/>
      <c r="Q573" s="291"/>
      <c r="R573" s="291"/>
      <c r="S573" s="291"/>
      <c r="T573" s="291"/>
      <c r="U573" s="291"/>
      <c r="V573" s="291"/>
      <c r="W573" s="291"/>
      <c r="X573" s="291"/>
      <c r="Y573" s="291"/>
      <c r="Z573" s="291"/>
      <c r="AA573" s="292"/>
      <c r="AB573" s="292"/>
      <c r="AC573" s="293"/>
      <c r="AD573" s="293"/>
      <c r="AE573" s="294"/>
      <c r="AF573" s="294"/>
      <c r="AG573" s="294"/>
      <c r="AH573" s="294"/>
    </row>
    <row r="574" spans="2:34" s="295" customFormat="1">
      <c r="B574" s="287"/>
      <c r="C574" s="288"/>
      <c r="D574" s="289"/>
      <c r="E574" s="290"/>
      <c r="F574" s="291"/>
      <c r="G574" s="291"/>
      <c r="H574" s="291"/>
      <c r="I574" s="291"/>
      <c r="J574" s="291"/>
      <c r="K574" s="291"/>
      <c r="L574" s="291"/>
      <c r="M574" s="291"/>
      <c r="N574" s="291"/>
      <c r="O574" s="292"/>
      <c r="P574" s="291"/>
      <c r="Q574" s="291"/>
      <c r="R574" s="291"/>
      <c r="S574" s="291"/>
      <c r="T574" s="291"/>
      <c r="U574" s="291"/>
      <c r="V574" s="291"/>
      <c r="W574" s="291"/>
      <c r="X574" s="291"/>
      <c r="Y574" s="291"/>
      <c r="Z574" s="291"/>
      <c r="AA574" s="292"/>
      <c r="AB574" s="292"/>
      <c r="AC574" s="293"/>
      <c r="AD574" s="293"/>
      <c r="AE574" s="294"/>
      <c r="AF574" s="294"/>
      <c r="AG574" s="294"/>
      <c r="AH574" s="294"/>
    </row>
    <row r="575" spans="2:34" s="295" customFormat="1">
      <c r="B575" s="287"/>
      <c r="C575" s="288"/>
      <c r="D575" s="289"/>
      <c r="E575" s="290"/>
      <c r="F575" s="291"/>
      <c r="G575" s="291"/>
      <c r="H575" s="291"/>
      <c r="I575" s="291"/>
      <c r="J575" s="291"/>
      <c r="K575" s="291"/>
      <c r="L575" s="291"/>
      <c r="M575" s="291"/>
      <c r="N575" s="291"/>
      <c r="O575" s="292"/>
      <c r="P575" s="291"/>
      <c r="Q575" s="291"/>
      <c r="R575" s="291"/>
      <c r="S575" s="291"/>
      <c r="T575" s="291"/>
      <c r="U575" s="291"/>
      <c r="V575" s="291"/>
      <c r="W575" s="291"/>
      <c r="X575" s="291"/>
      <c r="Y575" s="291"/>
      <c r="Z575" s="291"/>
      <c r="AA575" s="292"/>
      <c r="AB575" s="292"/>
      <c r="AC575" s="293"/>
      <c r="AD575" s="293"/>
      <c r="AE575" s="294"/>
      <c r="AF575" s="294"/>
      <c r="AG575" s="294"/>
      <c r="AH575" s="294"/>
    </row>
    <row r="576" spans="2:34" s="295" customFormat="1">
      <c r="B576" s="287"/>
      <c r="C576" s="288"/>
      <c r="D576" s="289"/>
      <c r="E576" s="290"/>
      <c r="F576" s="291"/>
      <c r="G576" s="291"/>
      <c r="H576" s="291"/>
      <c r="I576" s="291"/>
      <c r="J576" s="291"/>
      <c r="K576" s="291"/>
      <c r="L576" s="291"/>
      <c r="M576" s="291"/>
      <c r="N576" s="291"/>
      <c r="O576" s="292"/>
      <c r="P576" s="291"/>
      <c r="Q576" s="291"/>
      <c r="R576" s="291"/>
      <c r="S576" s="291"/>
      <c r="T576" s="291"/>
      <c r="U576" s="291"/>
      <c r="V576" s="291"/>
      <c r="W576" s="291"/>
      <c r="X576" s="291"/>
      <c r="Y576" s="291"/>
      <c r="Z576" s="291"/>
      <c r="AA576" s="292"/>
      <c r="AB576" s="292"/>
      <c r="AC576" s="293"/>
      <c r="AD576" s="293"/>
      <c r="AE576" s="294"/>
      <c r="AF576" s="294"/>
      <c r="AG576" s="294"/>
      <c r="AH576" s="294"/>
    </row>
    <row r="577" spans="2:34" s="295" customFormat="1">
      <c r="B577" s="287"/>
      <c r="C577" s="288"/>
      <c r="D577" s="289"/>
      <c r="E577" s="290"/>
      <c r="F577" s="291"/>
      <c r="G577" s="291"/>
      <c r="H577" s="291"/>
      <c r="I577" s="291"/>
      <c r="J577" s="291"/>
      <c r="K577" s="291"/>
      <c r="L577" s="291"/>
      <c r="M577" s="291"/>
      <c r="N577" s="291"/>
      <c r="O577" s="292"/>
      <c r="P577" s="291"/>
      <c r="Q577" s="291"/>
      <c r="R577" s="291"/>
      <c r="S577" s="291"/>
      <c r="T577" s="291"/>
      <c r="U577" s="291"/>
      <c r="V577" s="291"/>
      <c r="W577" s="291"/>
      <c r="X577" s="291"/>
      <c r="Y577" s="291"/>
      <c r="Z577" s="291"/>
      <c r="AA577" s="292"/>
      <c r="AB577" s="292"/>
      <c r="AC577" s="293"/>
      <c r="AD577" s="293"/>
      <c r="AE577" s="294"/>
      <c r="AF577" s="294"/>
      <c r="AG577" s="294"/>
      <c r="AH577" s="294"/>
    </row>
    <row r="578" spans="2:34" s="295" customFormat="1">
      <c r="B578" s="287"/>
      <c r="C578" s="288"/>
      <c r="D578" s="289"/>
      <c r="E578" s="290"/>
      <c r="F578" s="291"/>
      <c r="G578" s="291"/>
      <c r="H578" s="291"/>
      <c r="I578" s="291"/>
      <c r="J578" s="291"/>
      <c r="K578" s="291"/>
      <c r="L578" s="291"/>
      <c r="M578" s="291"/>
      <c r="N578" s="291"/>
      <c r="O578" s="292"/>
      <c r="P578" s="291"/>
      <c r="Q578" s="291"/>
      <c r="R578" s="291"/>
      <c r="S578" s="291"/>
      <c r="T578" s="291"/>
      <c r="U578" s="291"/>
      <c r="V578" s="291"/>
      <c r="W578" s="291"/>
      <c r="X578" s="291"/>
      <c r="Y578" s="291"/>
      <c r="Z578" s="291"/>
      <c r="AA578" s="292"/>
      <c r="AB578" s="292"/>
      <c r="AC578" s="293"/>
      <c r="AD578" s="293"/>
      <c r="AE578" s="294"/>
      <c r="AF578" s="294"/>
      <c r="AG578" s="294"/>
      <c r="AH578" s="294"/>
    </row>
    <row r="579" spans="2:34" s="295" customFormat="1">
      <c r="B579" s="287"/>
      <c r="C579" s="288"/>
      <c r="D579" s="289"/>
      <c r="E579" s="290"/>
      <c r="F579" s="291"/>
      <c r="G579" s="291"/>
      <c r="H579" s="291"/>
      <c r="I579" s="291"/>
      <c r="J579" s="291"/>
      <c r="K579" s="291"/>
      <c r="L579" s="291"/>
      <c r="M579" s="291"/>
      <c r="N579" s="291"/>
      <c r="O579" s="292"/>
      <c r="P579" s="291"/>
      <c r="Q579" s="291"/>
      <c r="R579" s="291"/>
      <c r="S579" s="291"/>
      <c r="T579" s="291"/>
      <c r="U579" s="291"/>
      <c r="V579" s="291"/>
      <c r="W579" s="291"/>
      <c r="X579" s="291"/>
      <c r="Y579" s="291"/>
      <c r="Z579" s="291"/>
      <c r="AA579" s="292"/>
      <c r="AB579" s="292"/>
      <c r="AC579" s="293"/>
      <c r="AD579" s="293"/>
      <c r="AE579" s="294"/>
      <c r="AF579" s="294"/>
      <c r="AG579" s="294"/>
      <c r="AH579" s="294"/>
    </row>
    <row r="580" spans="2:34" s="295" customFormat="1">
      <c r="B580" s="287"/>
      <c r="C580" s="288"/>
      <c r="D580" s="289"/>
      <c r="E580" s="290"/>
      <c r="F580" s="291"/>
      <c r="G580" s="291"/>
      <c r="H580" s="291"/>
      <c r="I580" s="291"/>
      <c r="J580" s="291"/>
      <c r="K580" s="291"/>
      <c r="L580" s="291"/>
      <c r="M580" s="291"/>
      <c r="N580" s="291"/>
      <c r="O580" s="292"/>
      <c r="P580" s="291"/>
      <c r="Q580" s="291"/>
      <c r="R580" s="291"/>
      <c r="S580" s="291"/>
      <c r="T580" s="291"/>
      <c r="U580" s="291"/>
      <c r="V580" s="291"/>
      <c r="W580" s="291"/>
      <c r="X580" s="291"/>
      <c r="Y580" s="291"/>
      <c r="Z580" s="291"/>
      <c r="AA580" s="292"/>
      <c r="AB580" s="292"/>
      <c r="AC580" s="293"/>
      <c r="AD580" s="293"/>
      <c r="AE580" s="294"/>
      <c r="AF580" s="294"/>
      <c r="AG580" s="294"/>
      <c r="AH580" s="294"/>
    </row>
    <row r="581" spans="2:34" s="295" customFormat="1">
      <c r="B581" s="287"/>
      <c r="C581" s="288"/>
      <c r="D581" s="289"/>
      <c r="E581" s="290"/>
      <c r="F581" s="291"/>
      <c r="G581" s="291"/>
      <c r="H581" s="291"/>
      <c r="I581" s="291"/>
      <c r="J581" s="291"/>
      <c r="K581" s="291"/>
      <c r="L581" s="291"/>
      <c r="M581" s="291"/>
      <c r="N581" s="291"/>
      <c r="O581" s="292"/>
      <c r="P581" s="291"/>
      <c r="Q581" s="291"/>
      <c r="R581" s="291"/>
      <c r="S581" s="291"/>
      <c r="T581" s="291"/>
      <c r="U581" s="291"/>
      <c r="V581" s="291"/>
      <c r="W581" s="291"/>
      <c r="X581" s="291"/>
      <c r="Y581" s="291"/>
      <c r="Z581" s="291"/>
      <c r="AA581" s="292"/>
      <c r="AB581" s="292"/>
      <c r="AC581" s="293"/>
      <c r="AD581" s="293"/>
      <c r="AE581" s="294"/>
      <c r="AF581" s="294"/>
      <c r="AG581" s="294"/>
      <c r="AH581" s="294"/>
    </row>
    <row r="582" spans="2:34" s="295" customFormat="1">
      <c r="B582" s="287"/>
      <c r="C582" s="288"/>
      <c r="D582" s="289"/>
      <c r="E582" s="290"/>
      <c r="F582" s="291"/>
      <c r="G582" s="291"/>
      <c r="H582" s="291"/>
      <c r="I582" s="291"/>
      <c r="J582" s="291"/>
      <c r="K582" s="291"/>
      <c r="L582" s="291"/>
      <c r="M582" s="291"/>
      <c r="N582" s="291"/>
      <c r="O582" s="292"/>
      <c r="P582" s="291"/>
      <c r="Q582" s="291"/>
      <c r="R582" s="291"/>
      <c r="S582" s="291"/>
      <c r="T582" s="291"/>
      <c r="U582" s="291"/>
      <c r="V582" s="291"/>
      <c r="W582" s="291"/>
      <c r="X582" s="291"/>
      <c r="Y582" s="291"/>
      <c r="Z582" s="291"/>
      <c r="AA582" s="292"/>
      <c r="AB582" s="292"/>
      <c r="AC582" s="293"/>
      <c r="AD582" s="293"/>
      <c r="AE582" s="294"/>
      <c r="AF582" s="294"/>
      <c r="AG582" s="294"/>
      <c r="AH582" s="294"/>
    </row>
    <row r="583" spans="2:34" s="295" customFormat="1">
      <c r="B583" s="287"/>
      <c r="C583" s="288"/>
      <c r="D583" s="289"/>
      <c r="E583" s="290"/>
      <c r="F583" s="291"/>
      <c r="G583" s="291"/>
      <c r="H583" s="291"/>
      <c r="I583" s="291"/>
      <c r="J583" s="291"/>
      <c r="K583" s="291"/>
      <c r="L583" s="291"/>
      <c r="M583" s="291"/>
      <c r="N583" s="291"/>
      <c r="O583" s="292"/>
      <c r="P583" s="291"/>
      <c r="Q583" s="291"/>
      <c r="R583" s="291"/>
      <c r="S583" s="291"/>
      <c r="T583" s="291"/>
      <c r="U583" s="291"/>
      <c r="V583" s="291"/>
      <c r="W583" s="291"/>
      <c r="X583" s="291"/>
      <c r="Y583" s="291"/>
      <c r="Z583" s="291"/>
      <c r="AA583" s="292"/>
      <c r="AB583" s="292"/>
      <c r="AC583" s="293"/>
      <c r="AD583" s="293"/>
      <c r="AE583" s="294"/>
      <c r="AF583" s="294"/>
      <c r="AG583" s="294"/>
      <c r="AH583" s="294"/>
    </row>
    <row r="584" spans="2:34" s="295" customFormat="1">
      <c r="B584" s="287"/>
      <c r="C584" s="288"/>
      <c r="D584" s="289"/>
      <c r="E584" s="290"/>
      <c r="F584" s="291"/>
      <c r="G584" s="291"/>
      <c r="H584" s="291"/>
      <c r="I584" s="291"/>
      <c r="J584" s="291"/>
      <c r="K584" s="291"/>
      <c r="L584" s="291"/>
      <c r="M584" s="291"/>
      <c r="N584" s="291"/>
      <c r="O584" s="292"/>
      <c r="P584" s="291"/>
      <c r="Q584" s="291"/>
      <c r="R584" s="291"/>
      <c r="S584" s="291"/>
      <c r="T584" s="291"/>
      <c r="U584" s="291"/>
      <c r="V584" s="291"/>
      <c r="W584" s="291"/>
      <c r="X584" s="291"/>
      <c r="Y584" s="291"/>
      <c r="Z584" s="291"/>
      <c r="AA584" s="292"/>
      <c r="AB584" s="292"/>
      <c r="AC584" s="293"/>
      <c r="AD584" s="293"/>
      <c r="AE584" s="294"/>
      <c r="AF584" s="294"/>
      <c r="AG584" s="294"/>
      <c r="AH584" s="294"/>
    </row>
    <row r="585" spans="2:34" s="295" customFormat="1">
      <c r="B585" s="287"/>
      <c r="C585" s="288"/>
      <c r="D585" s="289"/>
      <c r="E585" s="290"/>
      <c r="F585" s="291"/>
      <c r="G585" s="291"/>
      <c r="H585" s="291"/>
      <c r="I585" s="291"/>
      <c r="J585" s="291"/>
      <c r="K585" s="291"/>
      <c r="L585" s="291"/>
      <c r="M585" s="291"/>
      <c r="N585" s="291"/>
      <c r="O585" s="292"/>
      <c r="P585" s="291"/>
      <c r="Q585" s="291"/>
      <c r="R585" s="291"/>
      <c r="S585" s="291"/>
      <c r="T585" s="291"/>
      <c r="U585" s="291"/>
      <c r="V585" s="291"/>
      <c r="W585" s="291"/>
      <c r="X585" s="291"/>
      <c r="Y585" s="291"/>
      <c r="Z585" s="291"/>
      <c r="AA585" s="292"/>
      <c r="AB585" s="292"/>
      <c r="AC585" s="293"/>
      <c r="AD585" s="293"/>
      <c r="AE585" s="294"/>
      <c r="AF585" s="294"/>
      <c r="AG585" s="294"/>
      <c r="AH585" s="294"/>
    </row>
    <row r="586" spans="2:34" s="295" customFormat="1">
      <c r="B586" s="287"/>
      <c r="C586" s="288"/>
      <c r="D586" s="289"/>
      <c r="E586" s="290"/>
      <c r="F586" s="291"/>
      <c r="G586" s="291"/>
      <c r="H586" s="291"/>
      <c r="I586" s="291"/>
      <c r="J586" s="291"/>
      <c r="K586" s="291"/>
      <c r="L586" s="291"/>
      <c r="M586" s="291"/>
      <c r="N586" s="291"/>
      <c r="O586" s="292"/>
      <c r="P586" s="291"/>
      <c r="Q586" s="291"/>
      <c r="R586" s="291"/>
      <c r="S586" s="291"/>
      <c r="T586" s="291"/>
      <c r="U586" s="291"/>
      <c r="V586" s="291"/>
      <c r="W586" s="291"/>
      <c r="X586" s="291"/>
      <c r="Y586" s="291"/>
      <c r="Z586" s="291"/>
      <c r="AA586" s="292"/>
      <c r="AB586" s="292"/>
      <c r="AC586" s="293"/>
      <c r="AD586" s="293"/>
      <c r="AE586" s="294"/>
      <c r="AF586" s="294"/>
      <c r="AG586" s="294"/>
      <c r="AH586" s="294"/>
    </row>
    <row r="587" spans="2:34" s="295" customFormat="1">
      <c r="B587" s="287"/>
      <c r="C587" s="288"/>
      <c r="D587" s="289"/>
      <c r="E587" s="290"/>
      <c r="F587" s="291"/>
      <c r="G587" s="291"/>
      <c r="H587" s="291"/>
      <c r="I587" s="291"/>
      <c r="J587" s="291"/>
      <c r="K587" s="291"/>
      <c r="L587" s="291"/>
      <c r="M587" s="291"/>
      <c r="N587" s="291"/>
      <c r="O587" s="292"/>
      <c r="P587" s="291"/>
      <c r="Q587" s="291"/>
      <c r="R587" s="291"/>
      <c r="S587" s="291"/>
      <c r="T587" s="291"/>
      <c r="U587" s="291"/>
      <c r="V587" s="291"/>
      <c r="W587" s="291"/>
      <c r="X587" s="291"/>
      <c r="Y587" s="291"/>
      <c r="Z587" s="291"/>
      <c r="AA587" s="292"/>
      <c r="AB587" s="292"/>
      <c r="AC587" s="293"/>
      <c r="AD587" s="293"/>
      <c r="AE587" s="294"/>
      <c r="AF587" s="294"/>
      <c r="AG587" s="294"/>
      <c r="AH587" s="294"/>
    </row>
    <row r="588" spans="2:34" s="295" customFormat="1">
      <c r="B588" s="287"/>
      <c r="C588" s="288"/>
      <c r="D588" s="289"/>
      <c r="E588" s="290"/>
      <c r="F588" s="291"/>
      <c r="G588" s="291"/>
      <c r="H588" s="291"/>
      <c r="I588" s="291"/>
      <c r="J588" s="291"/>
      <c r="K588" s="291"/>
      <c r="L588" s="291"/>
      <c r="M588" s="291"/>
      <c r="N588" s="291"/>
      <c r="O588" s="292"/>
      <c r="P588" s="291"/>
      <c r="Q588" s="291"/>
      <c r="R588" s="291"/>
      <c r="S588" s="291"/>
      <c r="T588" s="291"/>
      <c r="U588" s="291"/>
      <c r="V588" s="291"/>
      <c r="W588" s="291"/>
      <c r="X588" s="291"/>
      <c r="Y588" s="291"/>
      <c r="Z588" s="291"/>
      <c r="AA588" s="292"/>
      <c r="AB588" s="292"/>
      <c r="AC588" s="293"/>
      <c r="AD588" s="293"/>
      <c r="AE588" s="294"/>
      <c r="AF588" s="294"/>
      <c r="AG588" s="294"/>
      <c r="AH588" s="294"/>
    </row>
    <row r="589" spans="2:34" s="295" customFormat="1">
      <c r="B589" s="287"/>
      <c r="C589" s="288"/>
      <c r="D589" s="289"/>
      <c r="E589" s="290"/>
      <c r="F589" s="291"/>
      <c r="G589" s="291"/>
      <c r="H589" s="291"/>
      <c r="I589" s="291"/>
      <c r="J589" s="291"/>
      <c r="K589" s="291"/>
      <c r="L589" s="291"/>
      <c r="M589" s="291"/>
      <c r="N589" s="291"/>
      <c r="O589" s="292"/>
      <c r="P589" s="291"/>
      <c r="Q589" s="291"/>
      <c r="R589" s="291"/>
      <c r="S589" s="291"/>
      <c r="T589" s="291"/>
      <c r="U589" s="291"/>
      <c r="V589" s="291"/>
      <c r="W589" s="291"/>
      <c r="X589" s="291"/>
      <c r="Y589" s="291"/>
      <c r="Z589" s="291"/>
      <c r="AA589" s="292"/>
      <c r="AB589" s="292"/>
      <c r="AC589" s="293"/>
      <c r="AD589" s="293"/>
      <c r="AE589" s="294"/>
      <c r="AF589" s="294"/>
      <c r="AG589" s="294"/>
      <c r="AH589" s="294"/>
    </row>
    <row r="590" spans="2:34" s="295" customFormat="1">
      <c r="B590" s="287"/>
      <c r="C590" s="288"/>
      <c r="D590" s="289"/>
      <c r="E590" s="290"/>
      <c r="F590" s="291"/>
      <c r="G590" s="291"/>
      <c r="H590" s="291"/>
      <c r="I590" s="291"/>
      <c r="J590" s="291"/>
      <c r="K590" s="291"/>
      <c r="L590" s="291"/>
      <c r="M590" s="291"/>
      <c r="N590" s="291"/>
      <c r="O590" s="292"/>
      <c r="P590" s="291"/>
      <c r="Q590" s="291"/>
      <c r="R590" s="291"/>
      <c r="S590" s="291"/>
      <c r="T590" s="291"/>
      <c r="U590" s="291"/>
      <c r="V590" s="291"/>
      <c r="W590" s="291"/>
      <c r="X590" s="291"/>
      <c r="Y590" s="291"/>
      <c r="Z590" s="291"/>
      <c r="AA590" s="292"/>
      <c r="AB590" s="292"/>
      <c r="AC590" s="293"/>
      <c r="AD590" s="293"/>
      <c r="AE590" s="294"/>
      <c r="AF590" s="294"/>
      <c r="AG590" s="294"/>
      <c r="AH590" s="294"/>
    </row>
    <row r="591" spans="2:34" s="295" customFormat="1">
      <c r="B591" s="287"/>
      <c r="C591" s="288"/>
      <c r="D591" s="289"/>
      <c r="E591" s="290"/>
      <c r="F591" s="291"/>
      <c r="G591" s="291"/>
      <c r="H591" s="291"/>
      <c r="I591" s="291"/>
      <c r="J591" s="291"/>
      <c r="K591" s="291"/>
      <c r="L591" s="291"/>
      <c r="M591" s="291"/>
      <c r="N591" s="291"/>
      <c r="O591" s="292"/>
      <c r="P591" s="291"/>
      <c r="Q591" s="291"/>
      <c r="R591" s="291"/>
      <c r="S591" s="291"/>
      <c r="T591" s="291"/>
      <c r="U591" s="291"/>
      <c r="V591" s="291"/>
      <c r="W591" s="291"/>
      <c r="X591" s="291"/>
      <c r="Y591" s="291"/>
      <c r="Z591" s="291"/>
      <c r="AA591" s="292"/>
      <c r="AB591" s="292"/>
      <c r="AC591" s="293"/>
      <c r="AD591" s="293"/>
      <c r="AE591" s="294"/>
      <c r="AF591" s="294"/>
      <c r="AG591" s="294"/>
      <c r="AH591" s="294"/>
    </row>
    <row r="592" spans="2:34" s="295" customFormat="1">
      <c r="B592" s="287"/>
      <c r="C592" s="288"/>
      <c r="D592" s="289"/>
      <c r="E592" s="290"/>
      <c r="F592" s="291"/>
      <c r="G592" s="291"/>
      <c r="H592" s="291"/>
      <c r="I592" s="291"/>
      <c r="J592" s="291"/>
      <c r="K592" s="291"/>
      <c r="L592" s="291"/>
      <c r="M592" s="291"/>
      <c r="N592" s="291"/>
      <c r="O592" s="292"/>
      <c r="P592" s="291"/>
      <c r="Q592" s="291"/>
      <c r="R592" s="291"/>
      <c r="S592" s="291"/>
      <c r="T592" s="291"/>
      <c r="U592" s="291"/>
      <c r="V592" s="291"/>
      <c r="W592" s="291"/>
      <c r="X592" s="291"/>
      <c r="Y592" s="291"/>
      <c r="Z592" s="291"/>
      <c r="AA592" s="292"/>
      <c r="AB592" s="292"/>
      <c r="AC592" s="293"/>
      <c r="AD592" s="293"/>
      <c r="AE592" s="294"/>
      <c r="AF592" s="294"/>
      <c r="AG592" s="294"/>
      <c r="AH592" s="294"/>
    </row>
    <row r="593" spans="2:34" s="295" customFormat="1">
      <c r="B593" s="287"/>
      <c r="C593" s="288"/>
      <c r="D593" s="289"/>
      <c r="E593" s="290"/>
      <c r="F593" s="291"/>
      <c r="G593" s="291"/>
      <c r="H593" s="291"/>
      <c r="I593" s="291"/>
      <c r="J593" s="291"/>
      <c r="K593" s="291"/>
      <c r="L593" s="291"/>
      <c r="M593" s="291"/>
      <c r="N593" s="291"/>
      <c r="O593" s="292"/>
      <c r="P593" s="291"/>
      <c r="Q593" s="291"/>
      <c r="R593" s="291"/>
      <c r="S593" s="291"/>
      <c r="T593" s="291"/>
      <c r="U593" s="291"/>
      <c r="V593" s="291"/>
      <c r="W593" s="291"/>
      <c r="X593" s="291"/>
      <c r="Y593" s="291"/>
      <c r="Z593" s="291"/>
      <c r="AA593" s="292"/>
      <c r="AB593" s="292"/>
      <c r="AC593" s="293"/>
      <c r="AD593" s="293"/>
      <c r="AE593" s="294"/>
      <c r="AF593" s="294"/>
      <c r="AG593" s="294"/>
      <c r="AH593" s="294"/>
    </row>
    <row r="594" spans="2:34" s="295" customFormat="1">
      <c r="B594" s="287"/>
      <c r="C594" s="288"/>
      <c r="D594" s="289"/>
      <c r="E594" s="290"/>
      <c r="F594" s="291"/>
      <c r="G594" s="291"/>
      <c r="H594" s="291"/>
      <c r="I594" s="291"/>
      <c r="J594" s="291"/>
      <c r="K594" s="291"/>
      <c r="L594" s="291"/>
      <c r="M594" s="291"/>
      <c r="N594" s="291"/>
      <c r="O594" s="292"/>
      <c r="P594" s="291"/>
      <c r="Q594" s="291"/>
      <c r="R594" s="291"/>
      <c r="S594" s="291"/>
      <c r="T594" s="291"/>
      <c r="U594" s="291"/>
      <c r="V594" s="291"/>
      <c r="W594" s="291"/>
      <c r="X594" s="291"/>
      <c r="Y594" s="291"/>
      <c r="Z594" s="291"/>
      <c r="AA594" s="292"/>
      <c r="AB594" s="292"/>
      <c r="AC594" s="293"/>
      <c r="AD594" s="293"/>
      <c r="AE594" s="294"/>
      <c r="AF594" s="294"/>
      <c r="AG594" s="294"/>
      <c r="AH594" s="294"/>
    </row>
    <row r="595" spans="2:34" s="295" customFormat="1">
      <c r="B595" s="287"/>
      <c r="C595" s="288"/>
      <c r="D595" s="289"/>
      <c r="E595" s="290"/>
      <c r="F595" s="291"/>
      <c r="G595" s="291"/>
      <c r="H595" s="291"/>
      <c r="I595" s="291"/>
      <c r="J595" s="291"/>
      <c r="K595" s="291"/>
      <c r="L595" s="291"/>
      <c r="M595" s="291"/>
      <c r="N595" s="291"/>
      <c r="O595" s="292"/>
      <c r="P595" s="291"/>
      <c r="Q595" s="291"/>
      <c r="R595" s="291"/>
      <c r="S595" s="291"/>
      <c r="T595" s="291"/>
      <c r="U595" s="291"/>
      <c r="V595" s="291"/>
      <c r="W595" s="291"/>
      <c r="X595" s="291"/>
      <c r="Y595" s="291"/>
      <c r="Z595" s="291"/>
      <c r="AA595" s="292"/>
      <c r="AB595" s="292"/>
      <c r="AC595" s="293"/>
      <c r="AD595" s="293"/>
      <c r="AE595" s="294"/>
      <c r="AF595" s="294"/>
      <c r="AG595" s="294"/>
      <c r="AH595" s="294"/>
    </row>
    <row r="596" spans="2:34" s="295" customFormat="1">
      <c r="B596" s="287"/>
      <c r="C596" s="288"/>
      <c r="D596" s="289"/>
      <c r="E596" s="290"/>
      <c r="F596" s="291"/>
      <c r="G596" s="291"/>
      <c r="H596" s="291"/>
      <c r="I596" s="291"/>
      <c r="J596" s="291"/>
      <c r="K596" s="291"/>
      <c r="L596" s="291"/>
      <c r="M596" s="291"/>
      <c r="N596" s="291"/>
      <c r="O596" s="292"/>
      <c r="P596" s="291"/>
      <c r="Q596" s="291"/>
      <c r="R596" s="291"/>
      <c r="S596" s="291"/>
      <c r="T596" s="291"/>
      <c r="U596" s="291"/>
      <c r="V596" s="291"/>
      <c r="W596" s="291"/>
      <c r="X596" s="291"/>
      <c r="Y596" s="291"/>
      <c r="Z596" s="291"/>
      <c r="AA596" s="292"/>
      <c r="AB596" s="292"/>
      <c r="AC596" s="293"/>
      <c r="AD596" s="293"/>
      <c r="AE596" s="294"/>
      <c r="AF596" s="294"/>
      <c r="AG596" s="294"/>
      <c r="AH596" s="294"/>
    </row>
    <row r="597" spans="2:34" s="295" customFormat="1">
      <c r="B597" s="287"/>
      <c r="C597" s="288"/>
      <c r="D597" s="289"/>
      <c r="E597" s="290"/>
      <c r="F597" s="291"/>
      <c r="G597" s="291"/>
      <c r="H597" s="291"/>
      <c r="I597" s="291"/>
      <c r="J597" s="291"/>
      <c r="K597" s="291"/>
      <c r="L597" s="291"/>
      <c r="M597" s="291"/>
      <c r="N597" s="291"/>
      <c r="O597" s="292"/>
      <c r="P597" s="291"/>
      <c r="Q597" s="291"/>
      <c r="R597" s="291"/>
      <c r="S597" s="291"/>
      <c r="T597" s="291"/>
      <c r="U597" s="291"/>
      <c r="V597" s="291"/>
      <c r="W597" s="291"/>
      <c r="X597" s="291"/>
      <c r="Y597" s="291"/>
      <c r="Z597" s="291"/>
      <c r="AA597" s="292"/>
      <c r="AB597" s="292"/>
      <c r="AC597" s="293"/>
      <c r="AD597" s="293"/>
      <c r="AE597" s="294"/>
      <c r="AF597" s="294"/>
      <c r="AG597" s="294"/>
      <c r="AH597" s="294"/>
    </row>
    <row r="598" spans="2:34" s="295" customFormat="1">
      <c r="B598" s="287"/>
      <c r="C598" s="288"/>
      <c r="D598" s="289"/>
      <c r="E598" s="290"/>
      <c r="F598" s="291"/>
      <c r="G598" s="291"/>
      <c r="H598" s="291"/>
      <c r="I598" s="291"/>
      <c r="J598" s="291"/>
      <c r="K598" s="291"/>
      <c r="L598" s="291"/>
      <c r="M598" s="291"/>
      <c r="N598" s="291"/>
      <c r="O598" s="292"/>
      <c r="P598" s="291"/>
      <c r="Q598" s="291"/>
      <c r="R598" s="291"/>
      <c r="S598" s="291"/>
      <c r="T598" s="291"/>
      <c r="U598" s="291"/>
      <c r="V598" s="291"/>
      <c r="W598" s="291"/>
      <c r="X598" s="291"/>
      <c r="Y598" s="291"/>
      <c r="Z598" s="291"/>
      <c r="AA598" s="292"/>
      <c r="AB598" s="292"/>
      <c r="AC598" s="293"/>
      <c r="AD598" s="293"/>
      <c r="AE598" s="294"/>
      <c r="AF598" s="294"/>
      <c r="AG598" s="294"/>
      <c r="AH598" s="294"/>
    </row>
    <row r="599" spans="2:34" s="295" customFormat="1">
      <c r="B599" s="287"/>
      <c r="C599" s="288"/>
      <c r="D599" s="289"/>
      <c r="E599" s="290"/>
      <c r="F599" s="291"/>
      <c r="G599" s="291"/>
      <c r="H599" s="291"/>
      <c r="I599" s="291"/>
      <c r="J599" s="291"/>
      <c r="K599" s="291"/>
      <c r="L599" s="291"/>
      <c r="M599" s="291"/>
      <c r="N599" s="291"/>
      <c r="O599" s="292"/>
      <c r="P599" s="291"/>
      <c r="Q599" s="291"/>
      <c r="R599" s="291"/>
      <c r="S599" s="291"/>
      <c r="T599" s="291"/>
      <c r="U599" s="291"/>
      <c r="V599" s="291"/>
      <c r="W599" s="291"/>
      <c r="X599" s="291"/>
      <c r="Y599" s="291"/>
      <c r="Z599" s="291"/>
      <c r="AA599" s="292"/>
      <c r="AB599" s="292"/>
      <c r="AC599" s="293"/>
      <c r="AD599" s="293"/>
      <c r="AE599" s="294"/>
      <c r="AF599" s="294"/>
      <c r="AG599" s="294"/>
      <c r="AH599" s="294"/>
    </row>
    <row r="600" spans="2:34" s="295" customFormat="1">
      <c r="B600" s="287"/>
      <c r="C600" s="288"/>
      <c r="D600" s="289"/>
      <c r="E600" s="290"/>
      <c r="F600" s="291"/>
      <c r="G600" s="291"/>
      <c r="H600" s="291"/>
      <c r="I600" s="291"/>
      <c r="J600" s="291"/>
      <c r="K600" s="291"/>
      <c r="L600" s="291"/>
      <c r="M600" s="291"/>
      <c r="N600" s="291"/>
      <c r="O600" s="292"/>
      <c r="P600" s="291"/>
      <c r="Q600" s="291"/>
      <c r="R600" s="291"/>
      <c r="S600" s="291"/>
      <c r="T600" s="291"/>
      <c r="U600" s="291"/>
      <c r="V600" s="291"/>
      <c r="W600" s="291"/>
      <c r="X600" s="291"/>
      <c r="Y600" s="291"/>
      <c r="Z600" s="291"/>
      <c r="AA600" s="292"/>
      <c r="AB600" s="292"/>
      <c r="AC600" s="293"/>
      <c r="AD600" s="293"/>
      <c r="AE600" s="294"/>
      <c r="AF600" s="294"/>
      <c r="AG600" s="294"/>
      <c r="AH600" s="294"/>
    </row>
    <row r="601" spans="2:34" s="295" customFormat="1">
      <c r="B601" s="287"/>
      <c r="C601" s="288"/>
      <c r="D601" s="289"/>
      <c r="E601" s="290"/>
      <c r="F601" s="291"/>
      <c r="G601" s="291"/>
      <c r="H601" s="291"/>
      <c r="I601" s="291"/>
      <c r="J601" s="291"/>
      <c r="K601" s="291"/>
      <c r="L601" s="291"/>
      <c r="M601" s="291"/>
      <c r="N601" s="291"/>
      <c r="O601" s="292"/>
      <c r="P601" s="291"/>
      <c r="Q601" s="291"/>
      <c r="R601" s="291"/>
      <c r="S601" s="291"/>
      <c r="T601" s="291"/>
      <c r="U601" s="291"/>
      <c r="V601" s="291"/>
      <c r="W601" s="291"/>
      <c r="X601" s="291"/>
      <c r="Y601" s="291"/>
      <c r="Z601" s="291"/>
      <c r="AA601" s="292"/>
      <c r="AB601" s="292"/>
      <c r="AC601" s="293"/>
      <c r="AD601" s="293"/>
      <c r="AE601" s="294"/>
      <c r="AF601" s="294"/>
      <c r="AG601" s="294"/>
      <c r="AH601" s="294"/>
    </row>
    <row r="602" spans="2:34" s="295" customFormat="1">
      <c r="B602" s="287"/>
      <c r="C602" s="288"/>
      <c r="D602" s="289"/>
      <c r="E602" s="290"/>
      <c r="F602" s="291"/>
      <c r="G602" s="291"/>
      <c r="H602" s="291"/>
      <c r="I602" s="291"/>
      <c r="J602" s="291"/>
      <c r="K602" s="291"/>
      <c r="L602" s="291"/>
      <c r="M602" s="291"/>
      <c r="N602" s="291"/>
      <c r="O602" s="292"/>
      <c r="P602" s="291"/>
      <c r="Q602" s="291"/>
      <c r="R602" s="291"/>
      <c r="S602" s="291"/>
      <c r="T602" s="291"/>
      <c r="U602" s="291"/>
      <c r="V602" s="291"/>
      <c r="W602" s="291"/>
      <c r="X602" s="291"/>
      <c r="Y602" s="291"/>
      <c r="Z602" s="291"/>
      <c r="AA602" s="292"/>
      <c r="AB602" s="292"/>
      <c r="AC602" s="293"/>
      <c r="AD602" s="293"/>
      <c r="AE602" s="294"/>
      <c r="AF602" s="294"/>
      <c r="AG602" s="294"/>
      <c r="AH602" s="294"/>
    </row>
    <row r="603" spans="2:34" s="295" customFormat="1">
      <c r="B603" s="287"/>
      <c r="C603" s="288"/>
      <c r="D603" s="289"/>
      <c r="E603" s="290"/>
      <c r="F603" s="291"/>
      <c r="G603" s="291"/>
      <c r="H603" s="291"/>
      <c r="I603" s="291"/>
      <c r="J603" s="291"/>
      <c r="K603" s="291"/>
      <c r="L603" s="291"/>
      <c r="M603" s="291"/>
      <c r="N603" s="291"/>
      <c r="O603" s="292"/>
      <c r="P603" s="291"/>
      <c r="Q603" s="291"/>
      <c r="R603" s="291"/>
      <c r="S603" s="291"/>
      <c r="T603" s="291"/>
      <c r="U603" s="291"/>
      <c r="V603" s="291"/>
      <c r="W603" s="291"/>
      <c r="X603" s="291"/>
      <c r="Y603" s="291"/>
      <c r="Z603" s="291"/>
      <c r="AA603" s="292"/>
      <c r="AB603" s="292"/>
      <c r="AC603" s="293"/>
      <c r="AD603" s="293"/>
      <c r="AE603" s="294"/>
      <c r="AF603" s="294"/>
      <c r="AG603" s="294"/>
      <c r="AH603" s="294"/>
    </row>
    <row r="604" spans="2:34" s="295" customFormat="1">
      <c r="B604" s="287"/>
      <c r="C604" s="288"/>
      <c r="D604" s="289"/>
      <c r="E604" s="290"/>
      <c r="F604" s="291"/>
      <c r="G604" s="291"/>
      <c r="H604" s="291"/>
      <c r="I604" s="291"/>
      <c r="J604" s="291"/>
      <c r="K604" s="291"/>
      <c r="L604" s="291"/>
      <c r="M604" s="291"/>
      <c r="N604" s="291"/>
      <c r="O604" s="292"/>
      <c r="P604" s="291"/>
      <c r="Q604" s="291"/>
      <c r="R604" s="291"/>
      <c r="S604" s="291"/>
      <c r="T604" s="291"/>
      <c r="U604" s="291"/>
      <c r="V604" s="291"/>
      <c r="W604" s="291"/>
      <c r="X604" s="291"/>
      <c r="Y604" s="291"/>
      <c r="Z604" s="291"/>
      <c r="AA604" s="292"/>
      <c r="AB604" s="292"/>
      <c r="AC604" s="293"/>
      <c r="AD604" s="293"/>
      <c r="AE604" s="294"/>
      <c r="AF604" s="294"/>
      <c r="AG604" s="294"/>
      <c r="AH604" s="294"/>
    </row>
    <row r="605" spans="2:34" s="295" customFormat="1">
      <c r="B605" s="287"/>
      <c r="C605" s="288"/>
      <c r="D605" s="289"/>
      <c r="E605" s="290"/>
      <c r="F605" s="291"/>
      <c r="G605" s="291"/>
      <c r="H605" s="291"/>
      <c r="I605" s="291"/>
      <c r="J605" s="291"/>
      <c r="K605" s="291"/>
      <c r="L605" s="291"/>
      <c r="M605" s="291"/>
      <c r="N605" s="291"/>
      <c r="O605" s="292"/>
      <c r="P605" s="291"/>
      <c r="Q605" s="291"/>
      <c r="R605" s="291"/>
      <c r="S605" s="291"/>
      <c r="T605" s="291"/>
      <c r="U605" s="291"/>
      <c r="V605" s="291"/>
      <c r="W605" s="291"/>
      <c r="X605" s="291"/>
      <c r="Y605" s="291"/>
      <c r="Z605" s="291"/>
      <c r="AA605" s="292"/>
      <c r="AB605" s="292"/>
      <c r="AC605" s="293"/>
      <c r="AD605" s="293"/>
      <c r="AE605" s="294"/>
      <c r="AF605" s="294"/>
      <c r="AG605" s="294"/>
      <c r="AH605" s="294"/>
    </row>
    <row r="606" spans="2:34" s="295" customFormat="1">
      <c r="B606" s="287"/>
      <c r="C606" s="288"/>
      <c r="D606" s="289"/>
      <c r="E606" s="290"/>
      <c r="F606" s="291"/>
      <c r="G606" s="291"/>
      <c r="H606" s="291"/>
      <c r="I606" s="291"/>
      <c r="J606" s="291"/>
      <c r="K606" s="291"/>
      <c r="L606" s="291"/>
      <c r="M606" s="291"/>
      <c r="N606" s="291"/>
      <c r="O606" s="292"/>
      <c r="P606" s="291"/>
      <c r="Q606" s="291"/>
      <c r="R606" s="291"/>
      <c r="S606" s="291"/>
      <c r="T606" s="291"/>
      <c r="U606" s="291"/>
      <c r="V606" s="291"/>
      <c r="W606" s="291"/>
      <c r="X606" s="291"/>
      <c r="Y606" s="291"/>
      <c r="Z606" s="291"/>
      <c r="AA606" s="292"/>
      <c r="AB606" s="292"/>
      <c r="AC606" s="293"/>
      <c r="AD606" s="293"/>
      <c r="AE606" s="294"/>
      <c r="AF606" s="294"/>
      <c r="AG606" s="294"/>
      <c r="AH606" s="294"/>
    </row>
    <row r="607" spans="2:34" s="295" customFormat="1">
      <c r="B607" s="287"/>
      <c r="C607" s="288"/>
      <c r="D607" s="289"/>
      <c r="E607" s="290"/>
      <c r="F607" s="291"/>
      <c r="G607" s="291"/>
      <c r="H607" s="291"/>
      <c r="I607" s="291"/>
      <c r="J607" s="291"/>
      <c r="K607" s="291"/>
      <c r="L607" s="291"/>
      <c r="M607" s="291"/>
      <c r="N607" s="291"/>
      <c r="O607" s="292"/>
      <c r="P607" s="291"/>
      <c r="Q607" s="291"/>
      <c r="R607" s="291"/>
      <c r="S607" s="291"/>
      <c r="T607" s="291"/>
      <c r="U607" s="291"/>
      <c r="V607" s="291"/>
      <c r="W607" s="291"/>
      <c r="X607" s="291"/>
      <c r="Y607" s="291"/>
      <c r="Z607" s="291"/>
      <c r="AA607" s="292"/>
      <c r="AB607" s="292"/>
      <c r="AC607" s="293"/>
      <c r="AD607" s="293"/>
      <c r="AE607" s="294"/>
      <c r="AF607" s="294"/>
      <c r="AG607" s="294"/>
      <c r="AH607" s="294"/>
    </row>
    <row r="608" spans="2:34" s="295" customFormat="1">
      <c r="B608" s="287"/>
      <c r="C608" s="288"/>
      <c r="D608" s="289"/>
      <c r="E608" s="290"/>
      <c r="F608" s="291"/>
      <c r="G608" s="291"/>
      <c r="H608" s="291"/>
      <c r="I608" s="291"/>
      <c r="J608" s="291"/>
      <c r="K608" s="291"/>
      <c r="L608" s="291"/>
      <c r="M608" s="291"/>
      <c r="N608" s="291"/>
      <c r="O608" s="292"/>
      <c r="P608" s="291"/>
      <c r="Q608" s="291"/>
      <c r="R608" s="291"/>
      <c r="S608" s="291"/>
      <c r="T608" s="291"/>
      <c r="U608" s="291"/>
      <c r="V608" s="291"/>
      <c r="W608" s="291"/>
      <c r="X608" s="291"/>
      <c r="Y608" s="291"/>
      <c r="Z608" s="291"/>
      <c r="AA608" s="292"/>
      <c r="AB608" s="292"/>
      <c r="AC608" s="293"/>
      <c r="AD608" s="293"/>
      <c r="AE608" s="294"/>
      <c r="AF608" s="294"/>
      <c r="AG608" s="294"/>
      <c r="AH608" s="294"/>
    </row>
    <row r="609" spans="2:34" s="295" customFormat="1">
      <c r="B609" s="287"/>
      <c r="C609" s="288"/>
      <c r="D609" s="289"/>
      <c r="E609" s="290"/>
      <c r="F609" s="291"/>
      <c r="G609" s="291"/>
      <c r="H609" s="291"/>
      <c r="I609" s="291"/>
      <c r="J609" s="291"/>
      <c r="K609" s="291"/>
      <c r="L609" s="291"/>
      <c r="M609" s="291"/>
      <c r="N609" s="291"/>
      <c r="O609" s="292"/>
      <c r="P609" s="291"/>
      <c r="Q609" s="291"/>
      <c r="R609" s="291"/>
      <c r="S609" s="291"/>
      <c r="T609" s="291"/>
      <c r="U609" s="291"/>
      <c r="V609" s="291"/>
      <c r="W609" s="291"/>
      <c r="X609" s="291"/>
      <c r="Y609" s="291"/>
      <c r="Z609" s="291"/>
      <c r="AA609" s="292"/>
      <c r="AB609" s="292"/>
      <c r="AC609" s="293"/>
      <c r="AD609" s="293"/>
      <c r="AE609" s="294"/>
      <c r="AF609" s="294"/>
      <c r="AG609" s="294"/>
      <c r="AH609" s="294"/>
    </row>
    <row r="610" spans="2:34" s="295" customFormat="1">
      <c r="B610" s="287"/>
      <c r="C610" s="288"/>
      <c r="D610" s="289"/>
      <c r="E610" s="290"/>
      <c r="F610" s="291"/>
      <c r="G610" s="291"/>
      <c r="H610" s="291"/>
      <c r="I610" s="291"/>
      <c r="J610" s="291"/>
      <c r="K610" s="291"/>
      <c r="L610" s="291"/>
      <c r="M610" s="291"/>
      <c r="N610" s="291"/>
      <c r="O610" s="292"/>
      <c r="P610" s="291"/>
      <c r="Q610" s="291"/>
      <c r="R610" s="291"/>
      <c r="S610" s="291"/>
      <c r="T610" s="291"/>
      <c r="U610" s="291"/>
      <c r="V610" s="291"/>
      <c r="W610" s="291"/>
      <c r="X610" s="291"/>
      <c r="Y610" s="291"/>
      <c r="Z610" s="291"/>
      <c r="AA610" s="292"/>
      <c r="AB610" s="292"/>
      <c r="AC610" s="293"/>
      <c r="AD610" s="293"/>
      <c r="AE610" s="294"/>
      <c r="AF610" s="294"/>
      <c r="AG610" s="294"/>
      <c r="AH610" s="294"/>
    </row>
    <row r="611" spans="2:34" s="295" customFormat="1">
      <c r="B611" s="287"/>
      <c r="C611" s="288"/>
      <c r="D611" s="289"/>
      <c r="E611" s="290"/>
      <c r="F611" s="291"/>
      <c r="G611" s="291"/>
      <c r="H611" s="291"/>
      <c r="I611" s="291"/>
      <c r="J611" s="291"/>
      <c r="K611" s="291"/>
      <c r="L611" s="291"/>
      <c r="M611" s="291"/>
      <c r="N611" s="291"/>
      <c r="O611" s="292"/>
      <c r="P611" s="291"/>
      <c r="Q611" s="291"/>
      <c r="R611" s="291"/>
      <c r="S611" s="291"/>
      <c r="T611" s="291"/>
      <c r="U611" s="291"/>
      <c r="V611" s="291"/>
      <c r="W611" s="291"/>
      <c r="X611" s="291"/>
      <c r="Y611" s="291"/>
      <c r="Z611" s="291"/>
      <c r="AA611" s="292"/>
      <c r="AB611" s="292"/>
      <c r="AC611" s="293"/>
      <c r="AD611" s="293"/>
      <c r="AE611" s="294"/>
      <c r="AF611" s="294"/>
      <c r="AG611" s="294"/>
      <c r="AH611" s="294"/>
    </row>
    <row r="612" spans="2:34" s="295" customFormat="1">
      <c r="B612" s="287"/>
      <c r="C612" s="288"/>
      <c r="D612" s="289"/>
      <c r="E612" s="290"/>
      <c r="F612" s="291"/>
      <c r="G612" s="291"/>
      <c r="H612" s="291"/>
      <c r="I612" s="291"/>
      <c r="J612" s="291"/>
      <c r="K612" s="291"/>
      <c r="L612" s="291"/>
      <c r="M612" s="291"/>
      <c r="N612" s="291"/>
      <c r="O612" s="292"/>
      <c r="P612" s="291"/>
      <c r="Q612" s="291"/>
      <c r="R612" s="291"/>
      <c r="S612" s="291"/>
      <c r="T612" s="291"/>
      <c r="U612" s="291"/>
      <c r="V612" s="291"/>
      <c r="W612" s="291"/>
      <c r="X612" s="291"/>
      <c r="Y612" s="291"/>
      <c r="Z612" s="291"/>
      <c r="AA612" s="292"/>
      <c r="AB612" s="292"/>
      <c r="AC612" s="293"/>
      <c r="AD612" s="293"/>
      <c r="AE612" s="294"/>
      <c r="AF612" s="294"/>
      <c r="AG612" s="294"/>
      <c r="AH612" s="294"/>
    </row>
    <row r="613" spans="2:34" s="295" customFormat="1">
      <c r="B613" s="287"/>
      <c r="C613" s="288"/>
      <c r="D613" s="289"/>
      <c r="E613" s="290"/>
      <c r="F613" s="291"/>
      <c r="G613" s="291"/>
      <c r="H613" s="291"/>
      <c r="I613" s="291"/>
      <c r="J613" s="291"/>
      <c r="K613" s="291"/>
      <c r="L613" s="291"/>
      <c r="M613" s="291"/>
      <c r="N613" s="291"/>
      <c r="O613" s="292"/>
      <c r="P613" s="291"/>
      <c r="Q613" s="291"/>
      <c r="R613" s="291"/>
      <c r="S613" s="291"/>
      <c r="T613" s="291"/>
      <c r="U613" s="291"/>
      <c r="V613" s="291"/>
      <c r="W613" s="291"/>
      <c r="X613" s="291"/>
      <c r="Y613" s="291"/>
      <c r="Z613" s="291"/>
      <c r="AA613" s="292"/>
      <c r="AB613" s="292"/>
      <c r="AC613" s="293"/>
      <c r="AD613" s="293"/>
      <c r="AE613" s="294"/>
      <c r="AF613" s="294"/>
      <c r="AG613" s="294"/>
      <c r="AH613" s="294"/>
    </row>
    <row r="614" spans="2:34" s="295" customFormat="1">
      <c r="B614" s="287"/>
      <c r="C614" s="288"/>
      <c r="D614" s="289"/>
      <c r="E614" s="290"/>
      <c r="F614" s="291"/>
      <c r="G614" s="291"/>
      <c r="H614" s="291"/>
      <c r="I614" s="291"/>
      <c r="J614" s="291"/>
      <c r="K614" s="291"/>
      <c r="L614" s="291"/>
      <c r="M614" s="291"/>
      <c r="N614" s="291"/>
      <c r="O614" s="292"/>
      <c r="P614" s="291"/>
      <c r="Q614" s="291"/>
      <c r="R614" s="291"/>
      <c r="S614" s="291"/>
      <c r="T614" s="291"/>
      <c r="U614" s="291"/>
      <c r="V614" s="291"/>
      <c r="W614" s="291"/>
      <c r="X614" s="291"/>
      <c r="Y614" s="291"/>
      <c r="Z614" s="291"/>
      <c r="AA614" s="292"/>
      <c r="AB614" s="292"/>
      <c r="AC614" s="293"/>
      <c r="AD614" s="293"/>
      <c r="AE614" s="294"/>
      <c r="AF614" s="294"/>
      <c r="AG614" s="294"/>
      <c r="AH614" s="294"/>
    </row>
    <row r="615" spans="2:34" s="295" customFormat="1">
      <c r="B615" s="287"/>
      <c r="C615" s="288"/>
      <c r="D615" s="289"/>
      <c r="E615" s="290"/>
      <c r="F615" s="291"/>
      <c r="G615" s="291"/>
      <c r="H615" s="291"/>
      <c r="I615" s="291"/>
      <c r="J615" s="291"/>
      <c r="K615" s="291"/>
      <c r="L615" s="291"/>
      <c r="M615" s="291"/>
      <c r="N615" s="291"/>
      <c r="O615" s="292"/>
      <c r="P615" s="291"/>
      <c r="Q615" s="291"/>
      <c r="R615" s="291"/>
      <c r="S615" s="291"/>
      <c r="T615" s="291"/>
      <c r="U615" s="291"/>
      <c r="V615" s="291"/>
      <c r="W615" s="291"/>
      <c r="X615" s="291"/>
      <c r="Y615" s="291"/>
      <c r="Z615" s="291"/>
      <c r="AA615" s="292"/>
      <c r="AB615" s="292"/>
      <c r="AC615" s="293"/>
      <c r="AD615" s="293"/>
      <c r="AE615" s="294"/>
      <c r="AF615" s="294"/>
      <c r="AG615" s="294"/>
      <c r="AH615" s="294"/>
    </row>
    <row r="616" spans="2:34" s="295" customFormat="1">
      <c r="B616" s="287"/>
      <c r="C616" s="288"/>
      <c r="D616" s="289"/>
      <c r="E616" s="290"/>
      <c r="F616" s="291"/>
      <c r="G616" s="291"/>
      <c r="H616" s="291"/>
      <c r="I616" s="291"/>
      <c r="J616" s="291"/>
      <c r="K616" s="291"/>
      <c r="L616" s="291"/>
      <c r="M616" s="291"/>
      <c r="N616" s="291"/>
      <c r="O616" s="292"/>
      <c r="P616" s="291"/>
      <c r="Q616" s="291"/>
      <c r="R616" s="291"/>
      <c r="S616" s="291"/>
      <c r="T616" s="291"/>
      <c r="U616" s="291"/>
      <c r="V616" s="291"/>
      <c r="W616" s="291"/>
      <c r="X616" s="291"/>
      <c r="Y616" s="291"/>
      <c r="Z616" s="291"/>
      <c r="AA616" s="292"/>
      <c r="AB616" s="292"/>
      <c r="AC616" s="293"/>
      <c r="AD616" s="293"/>
      <c r="AE616" s="294"/>
      <c r="AF616" s="294"/>
      <c r="AG616" s="294"/>
      <c r="AH616" s="294"/>
    </row>
    <row r="617" spans="2:34" s="295" customFormat="1">
      <c r="B617" s="287"/>
      <c r="C617" s="288"/>
      <c r="D617" s="289"/>
      <c r="E617" s="290"/>
      <c r="F617" s="291"/>
      <c r="G617" s="291"/>
      <c r="H617" s="291"/>
      <c r="I617" s="291"/>
      <c r="J617" s="291"/>
      <c r="K617" s="291"/>
      <c r="L617" s="291"/>
      <c r="M617" s="291"/>
      <c r="N617" s="291"/>
      <c r="O617" s="292"/>
      <c r="P617" s="291"/>
      <c r="Q617" s="291"/>
      <c r="R617" s="291"/>
      <c r="S617" s="291"/>
      <c r="T617" s="291"/>
      <c r="U617" s="291"/>
      <c r="V617" s="291"/>
      <c r="W617" s="291"/>
      <c r="X617" s="291"/>
      <c r="Y617" s="291"/>
      <c r="Z617" s="291"/>
      <c r="AA617" s="292"/>
      <c r="AB617" s="292"/>
      <c r="AC617" s="293"/>
      <c r="AD617" s="293"/>
      <c r="AE617" s="294"/>
      <c r="AF617" s="294"/>
      <c r="AG617" s="294"/>
      <c r="AH617" s="294"/>
    </row>
    <row r="618" spans="2:34" s="295" customFormat="1">
      <c r="B618" s="287"/>
      <c r="C618" s="288"/>
      <c r="D618" s="289"/>
      <c r="E618" s="290"/>
      <c r="F618" s="291"/>
      <c r="G618" s="291"/>
      <c r="H618" s="291"/>
      <c r="I618" s="291"/>
      <c r="J618" s="291"/>
      <c r="K618" s="291"/>
      <c r="L618" s="291"/>
      <c r="M618" s="291"/>
      <c r="N618" s="291"/>
      <c r="O618" s="292"/>
      <c r="P618" s="291"/>
      <c r="Q618" s="291"/>
      <c r="R618" s="291"/>
      <c r="S618" s="291"/>
      <c r="T618" s="291"/>
      <c r="U618" s="291"/>
      <c r="V618" s="291"/>
      <c r="W618" s="291"/>
      <c r="X618" s="291"/>
      <c r="Y618" s="291"/>
      <c r="Z618" s="291"/>
      <c r="AA618" s="292"/>
      <c r="AB618" s="292"/>
      <c r="AC618" s="293"/>
      <c r="AD618" s="293"/>
      <c r="AE618" s="294"/>
      <c r="AF618" s="294"/>
      <c r="AG618" s="294"/>
      <c r="AH618" s="294"/>
    </row>
    <row r="619" spans="2:34" s="295" customFormat="1">
      <c r="B619" s="287"/>
      <c r="C619" s="288"/>
      <c r="D619" s="289"/>
      <c r="E619" s="290"/>
      <c r="F619" s="291"/>
      <c r="G619" s="291"/>
      <c r="H619" s="291"/>
      <c r="I619" s="291"/>
      <c r="J619" s="291"/>
      <c r="K619" s="291"/>
      <c r="L619" s="291"/>
      <c r="M619" s="291"/>
      <c r="N619" s="291"/>
      <c r="O619" s="292"/>
      <c r="P619" s="291"/>
      <c r="Q619" s="291"/>
      <c r="R619" s="291"/>
      <c r="S619" s="291"/>
      <c r="T619" s="291"/>
      <c r="U619" s="291"/>
      <c r="V619" s="291"/>
      <c r="W619" s="291"/>
      <c r="X619" s="291"/>
      <c r="Y619" s="291"/>
      <c r="Z619" s="291"/>
      <c r="AA619" s="292"/>
      <c r="AB619" s="292"/>
      <c r="AC619" s="293"/>
      <c r="AD619" s="293"/>
      <c r="AE619" s="294"/>
      <c r="AF619" s="294"/>
      <c r="AG619" s="294"/>
      <c r="AH619" s="294"/>
    </row>
    <row r="620" spans="2:34" s="295" customFormat="1">
      <c r="B620" s="287"/>
      <c r="C620" s="288"/>
      <c r="D620" s="289"/>
      <c r="E620" s="290"/>
      <c r="F620" s="291"/>
      <c r="G620" s="291"/>
      <c r="H620" s="291"/>
      <c r="I620" s="291"/>
      <c r="J620" s="291"/>
      <c r="K620" s="291"/>
      <c r="L620" s="291"/>
      <c r="M620" s="291"/>
      <c r="N620" s="291"/>
      <c r="O620" s="292"/>
      <c r="P620" s="291"/>
      <c r="Q620" s="291"/>
      <c r="R620" s="291"/>
      <c r="S620" s="291"/>
      <c r="T620" s="291"/>
      <c r="U620" s="291"/>
      <c r="V620" s="291"/>
      <c r="W620" s="291"/>
      <c r="X620" s="291"/>
      <c r="Y620" s="291"/>
      <c r="Z620" s="291"/>
      <c r="AA620" s="292"/>
      <c r="AB620" s="292"/>
      <c r="AC620" s="293"/>
      <c r="AD620" s="293"/>
      <c r="AE620" s="294"/>
      <c r="AF620" s="294"/>
      <c r="AG620" s="294"/>
      <c r="AH620" s="294"/>
    </row>
    <row r="621" spans="2:34" s="295" customFormat="1">
      <c r="B621" s="287"/>
      <c r="C621" s="288"/>
      <c r="D621" s="289"/>
      <c r="E621" s="290"/>
      <c r="F621" s="291"/>
      <c r="G621" s="291"/>
      <c r="H621" s="291"/>
      <c r="I621" s="291"/>
      <c r="J621" s="291"/>
      <c r="K621" s="291"/>
      <c r="L621" s="291"/>
      <c r="M621" s="291"/>
      <c r="N621" s="291"/>
      <c r="O621" s="292"/>
      <c r="P621" s="291"/>
      <c r="Q621" s="291"/>
      <c r="R621" s="291"/>
      <c r="S621" s="291"/>
      <c r="T621" s="291"/>
      <c r="U621" s="291"/>
      <c r="V621" s="291"/>
      <c r="W621" s="291"/>
      <c r="X621" s="291"/>
      <c r="Y621" s="291"/>
      <c r="Z621" s="291"/>
      <c r="AA621" s="292"/>
      <c r="AB621" s="292"/>
      <c r="AC621" s="293"/>
      <c r="AD621" s="293"/>
      <c r="AE621" s="294"/>
      <c r="AF621" s="294"/>
      <c r="AG621" s="294"/>
      <c r="AH621" s="294"/>
    </row>
    <row r="622" spans="2:34" s="295" customFormat="1">
      <c r="B622" s="287"/>
      <c r="C622" s="288"/>
      <c r="D622" s="289"/>
      <c r="E622" s="290"/>
      <c r="F622" s="291"/>
      <c r="G622" s="291"/>
      <c r="H622" s="291"/>
      <c r="I622" s="291"/>
      <c r="J622" s="291"/>
      <c r="K622" s="291"/>
      <c r="L622" s="291"/>
      <c r="M622" s="291"/>
      <c r="N622" s="291"/>
      <c r="O622" s="292"/>
      <c r="P622" s="291"/>
      <c r="Q622" s="291"/>
      <c r="R622" s="291"/>
      <c r="S622" s="291"/>
      <c r="T622" s="291"/>
      <c r="U622" s="291"/>
      <c r="V622" s="291"/>
      <c r="W622" s="291"/>
      <c r="X622" s="291"/>
      <c r="Y622" s="291"/>
      <c r="Z622" s="291"/>
      <c r="AA622" s="292"/>
      <c r="AB622" s="292"/>
      <c r="AC622" s="293"/>
      <c r="AD622" s="293"/>
      <c r="AE622" s="294"/>
      <c r="AF622" s="294"/>
      <c r="AG622" s="294"/>
      <c r="AH622" s="294"/>
    </row>
    <row r="623" spans="2:34" s="295" customFormat="1">
      <c r="B623" s="287"/>
      <c r="C623" s="288"/>
      <c r="D623" s="289"/>
      <c r="E623" s="290"/>
      <c r="F623" s="291"/>
      <c r="G623" s="291"/>
      <c r="H623" s="291"/>
      <c r="I623" s="291"/>
      <c r="J623" s="291"/>
      <c r="K623" s="291"/>
      <c r="L623" s="291"/>
      <c r="M623" s="291"/>
      <c r="N623" s="291"/>
      <c r="O623" s="292"/>
      <c r="P623" s="291"/>
      <c r="Q623" s="291"/>
      <c r="R623" s="291"/>
      <c r="S623" s="291"/>
      <c r="T623" s="291"/>
      <c r="U623" s="291"/>
      <c r="V623" s="291"/>
      <c r="W623" s="291"/>
      <c r="X623" s="291"/>
      <c r="Y623" s="291"/>
      <c r="Z623" s="291"/>
      <c r="AA623" s="292"/>
      <c r="AB623" s="292"/>
      <c r="AC623" s="293"/>
      <c r="AD623" s="293"/>
      <c r="AE623" s="294"/>
      <c r="AF623" s="294"/>
      <c r="AG623" s="294"/>
      <c r="AH623" s="294"/>
    </row>
    <row r="624" spans="2:34" s="295" customFormat="1">
      <c r="B624" s="287"/>
      <c r="C624" s="288"/>
      <c r="D624" s="289"/>
      <c r="E624" s="290"/>
      <c r="F624" s="291"/>
      <c r="G624" s="291"/>
      <c r="H624" s="291"/>
      <c r="I624" s="291"/>
      <c r="J624" s="291"/>
      <c r="K624" s="291"/>
      <c r="L624" s="291"/>
      <c r="M624" s="291"/>
      <c r="N624" s="291"/>
      <c r="O624" s="292"/>
      <c r="P624" s="291"/>
      <c r="Q624" s="291"/>
      <c r="R624" s="291"/>
      <c r="S624" s="291"/>
      <c r="T624" s="291"/>
      <c r="U624" s="291"/>
      <c r="V624" s="291"/>
      <c r="W624" s="291"/>
      <c r="X624" s="291"/>
      <c r="Y624" s="291"/>
      <c r="Z624" s="291"/>
      <c r="AA624" s="292"/>
      <c r="AB624" s="292"/>
      <c r="AC624" s="293"/>
      <c r="AD624" s="293"/>
      <c r="AE624" s="294"/>
      <c r="AF624" s="294"/>
      <c r="AG624" s="294"/>
      <c r="AH624" s="294"/>
    </row>
    <row r="625" spans="2:34" s="295" customFormat="1">
      <c r="B625" s="287"/>
      <c r="C625" s="288"/>
      <c r="D625" s="289"/>
      <c r="E625" s="290"/>
      <c r="F625" s="291"/>
      <c r="G625" s="291"/>
      <c r="H625" s="291"/>
      <c r="I625" s="291"/>
      <c r="J625" s="291"/>
      <c r="K625" s="291"/>
      <c r="L625" s="291"/>
      <c r="M625" s="291"/>
      <c r="N625" s="291"/>
      <c r="O625" s="292"/>
      <c r="P625" s="291"/>
      <c r="Q625" s="291"/>
      <c r="R625" s="291"/>
      <c r="S625" s="291"/>
      <c r="T625" s="291"/>
      <c r="U625" s="291"/>
      <c r="V625" s="291"/>
      <c r="W625" s="291"/>
      <c r="X625" s="291"/>
      <c r="Y625" s="291"/>
      <c r="Z625" s="291"/>
      <c r="AA625" s="292"/>
      <c r="AB625" s="292"/>
      <c r="AC625" s="293"/>
      <c r="AD625" s="293"/>
      <c r="AE625" s="294"/>
      <c r="AF625" s="294"/>
      <c r="AG625" s="294"/>
      <c r="AH625" s="294"/>
    </row>
    <row r="626" spans="2:34" s="295" customFormat="1">
      <c r="B626" s="287"/>
      <c r="C626" s="288"/>
      <c r="D626" s="289"/>
      <c r="E626" s="290"/>
      <c r="F626" s="291"/>
      <c r="G626" s="291"/>
      <c r="H626" s="291"/>
      <c r="I626" s="291"/>
      <c r="J626" s="291"/>
      <c r="K626" s="291"/>
      <c r="L626" s="291"/>
      <c r="M626" s="291"/>
      <c r="N626" s="291"/>
      <c r="O626" s="292"/>
      <c r="P626" s="291"/>
      <c r="Q626" s="291"/>
      <c r="R626" s="291"/>
      <c r="S626" s="291"/>
      <c r="T626" s="291"/>
      <c r="U626" s="291"/>
      <c r="V626" s="291"/>
      <c r="W626" s="291"/>
      <c r="X626" s="291"/>
      <c r="Y626" s="291"/>
      <c r="Z626" s="291"/>
      <c r="AA626" s="292"/>
      <c r="AB626" s="292"/>
      <c r="AC626" s="293"/>
      <c r="AD626" s="293"/>
      <c r="AE626" s="294"/>
      <c r="AF626" s="294"/>
      <c r="AG626" s="294"/>
      <c r="AH626" s="294"/>
    </row>
    <row r="627" spans="2:34" s="295" customFormat="1">
      <c r="B627" s="287"/>
      <c r="C627" s="288"/>
      <c r="D627" s="289"/>
      <c r="E627" s="290"/>
      <c r="F627" s="291"/>
      <c r="G627" s="291"/>
      <c r="H627" s="291"/>
      <c r="I627" s="291"/>
      <c r="J627" s="291"/>
      <c r="K627" s="291"/>
      <c r="L627" s="291"/>
      <c r="M627" s="291"/>
      <c r="N627" s="291"/>
      <c r="O627" s="292"/>
      <c r="P627" s="291"/>
      <c r="Q627" s="291"/>
      <c r="R627" s="291"/>
      <c r="S627" s="291"/>
      <c r="T627" s="291"/>
      <c r="U627" s="291"/>
      <c r="V627" s="291"/>
      <c r="W627" s="291"/>
      <c r="X627" s="291"/>
      <c r="Y627" s="291"/>
      <c r="Z627" s="291"/>
      <c r="AA627" s="292"/>
      <c r="AB627" s="292"/>
      <c r="AC627" s="293"/>
      <c r="AD627" s="293"/>
      <c r="AE627" s="294"/>
      <c r="AF627" s="294"/>
      <c r="AG627" s="294"/>
      <c r="AH627" s="294"/>
    </row>
    <row r="628" spans="2:34" s="295" customFormat="1">
      <c r="B628" s="287"/>
      <c r="C628" s="288"/>
      <c r="D628" s="289"/>
      <c r="E628" s="290"/>
      <c r="F628" s="291"/>
      <c r="G628" s="291"/>
      <c r="H628" s="291"/>
      <c r="I628" s="291"/>
      <c r="J628" s="291"/>
      <c r="K628" s="291"/>
      <c r="L628" s="291"/>
      <c r="M628" s="291"/>
      <c r="N628" s="291"/>
      <c r="O628" s="292"/>
      <c r="P628" s="291"/>
      <c r="Q628" s="291"/>
      <c r="R628" s="291"/>
      <c r="S628" s="291"/>
      <c r="T628" s="291"/>
      <c r="U628" s="291"/>
      <c r="V628" s="291"/>
      <c r="W628" s="291"/>
      <c r="X628" s="291"/>
      <c r="Y628" s="291"/>
      <c r="Z628" s="291"/>
      <c r="AA628" s="292"/>
      <c r="AB628" s="292"/>
      <c r="AC628" s="293"/>
      <c r="AD628" s="293"/>
      <c r="AE628" s="294"/>
      <c r="AF628" s="294"/>
      <c r="AG628" s="294"/>
      <c r="AH628" s="294"/>
    </row>
    <row r="629" spans="2:34" s="295" customFormat="1">
      <c r="B629" s="287"/>
      <c r="C629" s="288"/>
      <c r="D629" s="289"/>
      <c r="E629" s="290"/>
      <c r="F629" s="291"/>
      <c r="G629" s="291"/>
      <c r="H629" s="291"/>
      <c r="I629" s="291"/>
      <c r="J629" s="291"/>
      <c r="K629" s="291"/>
      <c r="L629" s="291"/>
      <c r="M629" s="291"/>
      <c r="N629" s="291"/>
      <c r="O629" s="292"/>
      <c r="P629" s="291"/>
      <c r="Q629" s="291"/>
      <c r="R629" s="291"/>
      <c r="S629" s="291"/>
      <c r="T629" s="291"/>
      <c r="U629" s="291"/>
      <c r="V629" s="291"/>
      <c r="W629" s="291"/>
      <c r="X629" s="291"/>
      <c r="Y629" s="291"/>
      <c r="Z629" s="291"/>
      <c r="AA629" s="292"/>
      <c r="AB629" s="292"/>
      <c r="AC629" s="293"/>
      <c r="AD629" s="293"/>
      <c r="AE629" s="294"/>
      <c r="AF629" s="294"/>
      <c r="AG629" s="294"/>
      <c r="AH629" s="294"/>
    </row>
    <row r="630" spans="2:34" s="295" customFormat="1">
      <c r="B630" s="287"/>
      <c r="C630" s="288"/>
      <c r="D630" s="289"/>
      <c r="E630" s="290"/>
      <c r="F630" s="291"/>
      <c r="G630" s="291"/>
      <c r="H630" s="291"/>
      <c r="I630" s="291"/>
      <c r="J630" s="291"/>
      <c r="K630" s="291"/>
      <c r="L630" s="291"/>
      <c r="M630" s="291"/>
      <c r="N630" s="291"/>
      <c r="O630" s="292"/>
      <c r="P630" s="291"/>
      <c r="Q630" s="291"/>
      <c r="R630" s="291"/>
      <c r="S630" s="291"/>
      <c r="T630" s="291"/>
      <c r="U630" s="291"/>
      <c r="V630" s="291"/>
      <c r="W630" s="291"/>
      <c r="X630" s="291"/>
      <c r="Y630" s="291"/>
      <c r="Z630" s="291"/>
      <c r="AA630" s="292"/>
      <c r="AB630" s="292"/>
      <c r="AC630" s="293"/>
      <c r="AD630" s="293"/>
      <c r="AE630" s="294"/>
      <c r="AF630" s="294"/>
      <c r="AG630" s="294"/>
      <c r="AH630" s="294"/>
    </row>
    <row r="631" spans="2:34" s="295" customFormat="1">
      <c r="B631" s="287"/>
      <c r="C631" s="288"/>
      <c r="D631" s="289"/>
      <c r="E631" s="290"/>
      <c r="F631" s="291"/>
      <c r="G631" s="291"/>
      <c r="H631" s="291"/>
      <c r="I631" s="291"/>
      <c r="J631" s="291"/>
      <c r="K631" s="291"/>
      <c r="L631" s="291"/>
      <c r="M631" s="291"/>
      <c r="N631" s="291"/>
      <c r="O631" s="292"/>
      <c r="P631" s="291"/>
      <c r="Q631" s="291"/>
      <c r="R631" s="291"/>
      <c r="S631" s="291"/>
      <c r="T631" s="291"/>
      <c r="U631" s="291"/>
      <c r="V631" s="291"/>
      <c r="W631" s="291"/>
      <c r="X631" s="291"/>
      <c r="Y631" s="291"/>
      <c r="Z631" s="291"/>
      <c r="AA631" s="292"/>
      <c r="AB631" s="292"/>
      <c r="AC631" s="293"/>
      <c r="AD631" s="293"/>
      <c r="AE631" s="294"/>
      <c r="AF631" s="294"/>
      <c r="AG631" s="294"/>
      <c r="AH631" s="294"/>
    </row>
    <row r="632" spans="2:34" s="295" customFormat="1">
      <c r="B632" s="287"/>
      <c r="C632" s="288"/>
      <c r="D632" s="289"/>
      <c r="E632" s="290"/>
      <c r="F632" s="291"/>
      <c r="G632" s="291"/>
      <c r="H632" s="291"/>
      <c r="I632" s="291"/>
      <c r="J632" s="291"/>
      <c r="K632" s="291"/>
      <c r="L632" s="291"/>
      <c r="M632" s="291"/>
      <c r="N632" s="291"/>
      <c r="O632" s="292"/>
      <c r="P632" s="291"/>
      <c r="Q632" s="291"/>
      <c r="R632" s="291"/>
      <c r="S632" s="291"/>
      <c r="T632" s="291"/>
      <c r="U632" s="291"/>
      <c r="V632" s="291"/>
      <c r="W632" s="291"/>
      <c r="X632" s="291"/>
      <c r="Y632" s="291"/>
      <c r="Z632" s="291"/>
      <c r="AA632" s="292"/>
      <c r="AB632" s="292"/>
      <c r="AC632" s="293"/>
      <c r="AD632" s="293"/>
      <c r="AE632" s="294"/>
      <c r="AF632" s="294"/>
      <c r="AG632" s="294"/>
      <c r="AH632" s="294"/>
    </row>
    <row r="633" spans="2:34" s="295" customFormat="1">
      <c r="B633" s="287"/>
      <c r="C633" s="288"/>
      <c r="D633" s="289"/>
      <c r="E633" s="290"/>
      <c r="F633" s="291"/>
      <c r="G633" s="291"/>
      <c r="H633" s="291"/>
      <c r="I633" s="291"/>
      <c r="J633" s="291"/>
      <c r="K633" s="291"/>
      <c r="L633" s="291"/>
      <c r="M633" s="291"/>
      <c r="N633" s="291"/>
      <c r="O633" s="292"/>
      <c r="P633" s="291"/>
      <c r="Q633" s="291"/>
      <c r="R633" s="291"/>
      <c r="S633" s="291"/>
      <c r="T633" s="291"/>
      <c r="U633" s="291"/>
      <c r="V633" s="291"/>
      <c r="W633" s="291"/>
      <c r="X633" s="291"/>
      <c r="Y633" s="291"/>
      <c r="Z633" s="291"/>
      <c r="AA633" s="292"/>
      <c r="AB633" s="292"/>
      <c r="AC633" s="293"/>
      <c r="AD633" s="293"/>
      <c r="AE633" s="294"/>
      <c r="AF633" s="294"/>
      <c r="AG633" s="294"/>
      <c r="AH633" s="294"/>
    </row>
    <row r="634" spans="2:34" s="295" customFormat="1">
      <c r="B634" s="287"/>
      <c r="C634" s="288"/>
      <c r="D634" s="289"/>
      <c r="E634" s="290"/>
      <c r="F634" s="291"/>
      <c r="G634" s="291"/>
      <c r="H634" s="291"/>
      <c r="I634" s="291"/>
      <c r="J634" s="291"/>
      <c r="K634" s="291"/>
      <c r="L634" s="291"/>
      <c r="M634" s="291"/>
      <c r="N634" s="291"/>
      <c r="O634" s="292"/>
      <c r="P634" s="291"/>
      <c r="Q634" s="291"/>
      <c r="R634" s="291"/>
      <c r="S634" s="291"/>
      <c r="T634" s="291"/>
      <c r="U634" s="291"/>
      <c r="V634" s="291"/>
      <c r="W634" s="291"/>
      <c r="X634" s="291"/>
      <c r="Y634" s="291"/>
      <c r="Z634" s="291"/>
      <c r="AA634" s="292"/>
      <c r="AB634" s="292"/>
      <c r="AC634" s="293"/>
      <c r="AD634" s="293"/>
      <c r="AE634" s="294"/>
      <c r="AF634" s="294"/>
      <c r="AG634" s="294"/>
      <c r="AH634" s="294"/>
    </row>
    <row r="635" spans="2:34" s="295" customFormat="1">
      <c r="B635" s="287"/>
      <c r="C635" s="288"/>
      <c r="D635" s="289"/>
      <c r="E635" s="290"/>
      <c r="F635" s="291"/>
      <c r="G635" s="291"/>
      <c r="H635" s="291"/>
      <c r="I635" s="291"/>
      <c r="J635" s="291"/>
      <c r="K635" s="291"/>
      <c r="L635" s="291"/>
      <c r="M635" s="291"/>
      <c r="N635" s="291"/>
      <c r="O635" s="292"/>
      <c r="P635" s="291"/>
      <c r="Q635" s="291"/>
      <c r="R635" s="291"/>
      <c r="S635" s="291"/>
      <c r="T635" s="291"/>
      <c r="U635" s="291"/>
      <c r="V635" s="291"/>
      <c r="W635" s="291"/>
      <c r="X635" s="291"/>
      <c r="Y635" s="291"/>
      <c r="Z635" s="291"/>
      <c r="AA635" s="292"/>
      <c r="AB635" s="292"/>
      <c r="AC635" s="293"/>
      <c r="AD635" s="293"/>
      <c r="AE635" s="294"/>
      <c r="AF635" s="294"/>
      <c r="AG635" s="294"/>
      <c r="AH635" s="294"/>
    </row>
    <row r="636" spans="2:34" s="295" customFormat="1">
      <c r="B636" s="287"/>
      <c r="C636" s="288"/>
      <c r="D636" s="289"/>
      <c r="E636" s="290"/>
      <c r="F636" s="291"/>
      <c r="G636" s="291"/>
      <c r="H636" s="291"/>
      <c r="I636" s="291"/>
      <c r="J636" s="291"/>
      <c r="K636" s="291"/>
      <c r="L636" s="291"/>
      <c r="M636" s="291"/>
      <c r="N636" s="291"/>
      <c r="O636" s="292"/>
      <c r="P636" s="291"/>
      <c r="Q636" s="291"/>
      <c r="R636" s="291"/>
      <c r="S636" s="291"/>
      <c r="T636" s="291"/>
      <c r="U636" s="291"/>
      <c r="V636" s="291"/>
      <c r="W636" s="291"/>
      <c r="X636" s="291"/>
      <c r="Y636" s="291"/>
      <c r="Z636" s="291"/>
      <c r="AA636" s="292"/>
      <c r="AB636" s="292"/>
      <c r="AC636" s="293"/>
      <c r="AD636" s="293"/>
      <c r="AE636" s="294"/>
      <c r="AF636" s="294"/>
      <c r="AG636" s="294"/>
      <c r="AH636" s="294"/>
    </row>
    <row r="637" spans="2:34" s="295" customFormat="1">
      <c r="B637" s="287"/>
      <c r="C637" s="288"/>
      <c r="D637" s="289"/>
      <c r="E637" s="290"/>
      <c r="F637" s="291"/>
      <c r="G637" s="291"/>
      <c r="H637" s="291"/>
      <c r="I637" s="291"/>
      <c r="J637" s="291"/>
      <c r="K637" s="291"/>
      <c r="L637" s="291"/>
      <c r="M637" s="291"/>
      <c r="N637" s="291"/>
      <c r="O637" s="292"/>
      <c r="P637" s="291"/>
      <c r="Q637" s="291"/>
      <c r="R637" s="291"/>
      <c r="S637" s="291"/>
      <c r="T637" s="291"/>
      <c r="U637" s="291"/>
      <c r="V637" s="291"/>
      <c r="W637" s="291"/>
      <c r="X637" s="291"/>
      <c r="Y637" s="291"/>
      <c r="Z637" s="291"/>
      <c r="AA637" s="292"/>
      <c r="AB637" s="292"/>
      <c r="AC637" s="293"/>
      <c r="AD637" s="293"/>
      <c r="AE637" s="294"/>
      <c r="AF637" s="294"/>
      <c r="AG637" s="294"/>
      <c r="AH637" s="294"/>
    </row>
    <row r="638" spans="2:34" s="295" customFormat="1">
      <c r="B638" s="287"/>
      <c r="C638" s="288"/>
      <c r="D638" s="289"/>
      <c r="E638" s="290"/>
      <c r="F638" s="291"/>
      <c r="G638" s="291"/>
      <c r="H638" s="291"/>
      <c r="I638" s="291"/>
      <c r="J638" s="291"/>
      <c r="K638" s="291"/>
      <c r="L638" s="291"/>
      <c r="M638" s="291"/>
      <c r="N638" s="291"/>
      <c r="O638" s="292"/>
      <c r="P638" s="291"/>
      <c r="Q638" s="291"/>
      <c r="R638" s="291"/>
      <c r="S638" s="291"/>
      <c r="T638" s="291"/>
      <c r="U638" s="291"/>
      <c r="V638" s="291"/>
      <c r="W638" s="291"/>
      <c r="X638" s="291"/>
      <c r="Y638" s="291"/>
      <c r="Z638" s="291"/>
      <c r="AA638" s="292"/>
      <c r="AB638" s="292"/>
      <c r="AC638" s="293"/>
      <c r="AD638" s="293"/>
      <c r="AE638" s="294"/>
      <c r="AF638" s="294"/>
      <c r="AG638" s="294"/>
      <c r="AH638" s="294"/>
    </row>
    <row r="639" spans="2:34" s="295" customFormat="1">
      <c r="B639" s="287"/>
      <c r="C639" s="288"/>
      <c r="D639" s="289"/>
      <c r="E639" s="290"/>
      <c r="F639" s="291"/>
      <c r="G639" s="291"/>
      <c r="H639" s="291"/>
      <c r="I639" s="291"/>
      <c r="J639" s="291"/>
      <c r="K639" s="291"/>
      <c r="L639" s="291"/>
      <c r="M639" s="291"/>
      <c r="N639" s="291"/>
      <c r="O639" s="292"/>
      <c r="P639" s="291"/>
      <c r="Q639" s="291"/>
      <c r="R639" s="291"/>
      <c r="S639" s="291"/>
      <c r="T639" s="291"/>
      <c r="U639" s="291"/>
      <c r="V639" s="291"/>
      <c r="W639" s="291"/>
      <c r="X639" s="291"/>
      <c r="Y639" s="291"/>
      <c r="Z639" s="291"/>
      <c r="AA639" s="292"/>
      <c r="AB639" s="292"/>
      <c r="AC639" s="293"/>
      <c r="AD639" s="293"/>
      <c r="AE639" s="294"/>
      <c r="AF639" s="294"/>
      <c r="AG639" s="294"/>
      <c r="AH639" s="294"/>
    </row>
    <row r="640" spans="2:34" s="295" customFormat="1">
      <c r="B640" s="287"/>
      <c r="C640" s="288"/>
      <c r="D640" s="289"/>
      <c r="E640" s="290"/>
      <c r="F640" s="291"/>
      <c r="G640" s="291"/>
      <c r="H640" s="291"/>
      <c r="I640" s="291"/>
      <c r="J640" s="291"/>
      <c r="K640" s="291"/>
      <c r="L640" s="291"/>
      <c r="M640" s="291"/>
      <c r="N640" s="291"/>
      <c r="O640" s="292"/>
      <c r="P640" s="291"/>
      <c r="Q640" s="291"/>
      <c r="R640" s="291"/>
      <c r="S640" s="291"/>
      <c r="T640" s="291"/>
      <c r="U640" s="291"/>
      <c r="V640" s="291"/>
      <c r="W640" s="291"/>
      <c r="X640" s="291"/>
      <c r="Y640" s="291"/>
      <c r="Z640" s="291"/>
      <c r="AA640" s="292"/>
      <c r="AB640" s="292"/>
      <c r="AC640" s="293"/>
      <c r="AD640" s="293"/>
      <c r="AE640" s="294"/>
      <c r="AF640" s="294"/>
      <c r="AG640" s="294"/>
      <c r="AH640" s="294"/>
    </row>
    <row r="641" spans="2:34" s="295" customFormat="1">
      <c r="B641" s="287"/>
      <c r="C641" s="288"/>
      <c r="D641" s="289"/>
      <c r="E641" s="290"/>
      <c r="F641" s="291"/>
      <c r="G641" s="291"/>
      <c r="H641" s="291"/>
      <c r="I641" s="291"/>
      <c r="J641" s="291"/>
      <c r="K641" s="291"/>
      <c r="L641" s="291"/>
      <c r="M641" s="291"/>
      <c r="N641" s="291"/>
      <c r="O641" s="292"/>
      <c r="P641" s="291"/>
      <c r="Q641" s="291"/>
      <c r="R641" s="291"/>
      <c r="S641" s="291"/>
      <c r="T641" s="291"/>
      <c r="U641" s="291"/>
      <c r="V641" s="291"/>
      <c r="W641" s="291"/>
      <c r="X641" s="291"/>
      <c r="Y641" s="291"/>
      <c r="Z641" s="291"/>
      <c r="AA641" s="292"/>
      <c r="AB641" s="292"/>
      <c r="AC641" s="293"/>
      <c r="AD641" s="293"/>
      <c r="AE641" s="294"/>
      <c r="AF641" s="294"/>
      <c r="AG641" s="294"/>
      <c r="AH641" s="294"/>
    </row>
    <row r="642" spans="2:34" s="295" customFormat="1">
      <c r="B642" s="287"/>
      <c r="C642" s="288"/>
      <c r="D642" s="289"/>
      <c r="E642" s="290"/>
      <c r="F642" s="291"/>
      <c r="G642" s="291"/>
      <c r="H642" s="291"/>
      <c r="I642" s="291"/>
      <c r="J642" s="291"/>
      <c r="K642" s="291"/>
      <c r="L642" s="291"/>
      <c r="M642" s="291"/>
      <c r="N642" s="291"/>
      <c r="O642" s="292"/>
      <c r="P642" s="291"/>
      <c r="Q642" s="291"/>
      <c r="R642" s="291"/>
      <c r="S642" s="291"/>
      <c r="T642" s="291"/>
      <c r="U642" s="291"/>
      <c r="V642" s="291"/>
      <c r="W642" s="291"/>
      <c r="X642" s="291"/>
      <c r="Y642" s="291"/>
      <c r="Z642" s="291"/>
      <c r="AA642" s="292"/>
      <c r="AB642" s="292"/>
      <c r="AC642" s="293"/>
      <c r="AD642" s="293"/>
      <c r="AE642" s="294"/>
      <c r="AF642" s="294"/>
      <c r="AG642" s="294"/>
      <c r="AH642" s="294"/>
    </row>
    <row r="643" spans="2:34" s="295" customFormat="1">
      <c r="B643" s="287"/>
      <c r="C643" s="288"/>
      <c r="D643" s="289"/>
      <c r="E643" s="290"/>
      <c r="F643" s="291"/>
      <c r="G643" s="291"/>
      <c r="H643" s="291"/>
      <c r="I643" s="291"/>
      <c r="J643" s="291"/>
      <c r="K643" s="291"/>
      <c r="L643" s="291"/>
      <c r="M643" s="291"/>
      <c r="N643" s="291"/>
      <c r="O643" s="292"/>
      <c r="P643" s="291"/>
      <c r="Q643" s="291"/>
      <c r="R643" s="291"/>
      <c r="S643" s="291"/>
      <c r="T643" s="291"/>
      <c r="U643" s="291"/>
      <c r="V643" s="291"/>
      <c r="W643" s="291"/>
      <c r="X643" s="291"/>
      <c r="Y643" s="291"/>
      <c r="Z643" s="291"/>
      <c r="AA643" s="292"/>
      <c r="AB643" s="292"/>
      <c r="AC643" s="293"/>
      <c r="AD643" s="293"/>
      <c r="AE643" s="294"/>
      <c r="AF643" s="294"/>
      <c r="AG643" s="294"/>
      <c r="AH643" s="294"/>
    </row>
    <row r="644" spans="2:34" s="295" customFormat="1">
      <c r="B644" s="287"/>
      <c r="C644" s="288"/>
      <c r="D644" s="289"/>
      <c r="E644" s="290"/>
      <c r="F644" s="291"/>
      <c r="G644" s="291"/>
      <c r="H644" s="291"/>
      <c r="I644" s="291"/>
      <c r="J644" s="291"/>
      <c r="K644" s="291"/>
      <c r="L644" s="291"/>
      <c r="M644" s="291"/>
      <c r="N644" s="291"/>
      <c r="O644" s="292"/>
      <c r="P644" s="291"/>
      <c r="Q644" s="291"/>
      <c r="R644" s="291"/>
      <c r="S644" s="291"/>
      <c r="T644" s="291"/>
      <c r="U644" s="291"/>
      <c r="V644" s="291"/>
      <c r="W644" s="291"/>
      <c r="X644" s="291"/>
      <c r="Y644" s="291"/>
      <c r="Z644" s="291"/>
      <c r="AA644" s="292"/>
      <c r="AB644" s="292"/>
      <c r="AC644" s="293"/>
      <c r="AD644" s="293"/>
      <c r="AE644" s="294"/>
      <c r="AF644" s="294"/>
      <c r="AG644" s="294"/>
      <c r="AH644" s="294"/>
    </row>
    <row r="645" spans="2:34" s="295" customFormat="1">
      <c r="B645" s="287"/>
      <c r="C645" s="288"/>
      <c r="D645" s="289"/>
      <c r="E645" s="290"/>
      <c r="F645" s="291"/>
      <c r="G645" s="291"/>
      <c r="H645" s="291"/>
      <c r="I645" s="291"/>
      <c r="J645" s="291"/>
      <c r="K645" s="291"/>
      <c r="L645" s="291"/>
      <c r="M645" s="291"/>
      <c r="N645" s="291"/>
      <c r="O645" s="292"/>
      <c r="P645" s="291"/>
      <c r="Q645" s="291"/>
      <c r="R645" s="291"/>
      <c r="S645" s="291"/>
      <c r="T645" s="291"/>
      <c r="U645" s="291"/>
      <c r="V645" s="291"/>
      <c r="W645" s="291"/>
      <c r="X645" s="291"/>
      <c r="Y645" s="291"/>
      <c r="Z645" s="291"/>
      <c r="AA645" s="292"/>
      <c r="AB645" s="292"/>
      <c r="AC645" s="293"/>
      <c r="AD645" s="293"/>
      <c r="AE645" s="294"/>
      <c r="AF645" s="294"/>
      <c r="AG645" s="294"/>
      <c r="AH645" s="294"/>
    </row>
    <row r="646" spans="2:34" s="295" customFormat="1">
      <c r="B646" s="287"/>
      <c r="C646" s="288"/>
      <c r="D646" s="289"/>
      <c r="E646" s="290"/>
      <c r="F646" s="291"/>
      <c r="G646" s="291"/>
      <c r="H646" s="291"/>
      <c r="I646" s="291"/>
      <c r="J646" s="291"/>
      <c r="K646" s="291"/>
      <c r="L646" s="291"/>
      <c r="M646" s="291"/>
      <c r="N646" s="291"/>
      <c r="O646" s="292"/>
      <c r="P646" s="291"/>
      <c r="Q646" s="291"/>
      <c r="R646" s="291"/>
      <c r="S646" s="291"/>
      <c r="T646" s="291"/>
      <c r="U646" s="291"/>
      <c r="V646" s="291"/>
      <c r="W646" s="291"/>
      <c r="X646" s="291"/>
      <c r="Y646" s="291"/>
      <c r="Z646" s="291"/>
      <c r="AA646" s="292"/>
      <c r="AB646" s="292"/>
      <c r="AC646" s="293"/>
      <c r="AD646" s="293"/>
      <c r="AE646" s="294"/>
      <c r="AF646" s="294"/>
      <c r="AG646" s="294"/>
      <c r="AH646" s="294"/>
    </row>
    <row r="647" spans="2:34" s="295" customFormat="1">
      <c r="B647" s="287"/>
      <c r="C647" s="288"/>
      <c r="D647" s="289"/>
      <c r="E647" s="290"/>
      <c r="F647" s="291"/>
      <c r="G647" s="291"/>
      <c r="H647" s="291"/>
      <c r="I647" s="291"/>
      <c r="J647" s="291"/>
      <c r="K647" s="291"/>
      <c r="L647" s="291"/>
      <c r="M647" s="291"/>
      <c r="N647" s="291"/>
      <c r="O647" s="292"/>
      <c r="P647" s="291"/>
      <c r="Q647" s="291"/>
      <c r="R647" s="291"/>
      <c r="S647" s="291"/>
      <c r="T647" s="291"/>
      <c r="U647" s="291"/>
      <c r="V647" s="291"/>
      <c r="W647" s="291"/>
      <c r="X647" s="291"/>
      <c r="Y647" s="291"/>
      <c r="Z647" s="291"/>
      <c r="AA647" s="292"/>
      <c r="AB647" s="292"/>
      <c r="AC647" s="293"/>
      <c r="AD647" s="293"/>
      <c r="AE647" s="294"/>
      <c r="AF647" s="294"/>
      <c r="AG647" s="294"/>
      <c r="AH647" s="294"/>
    </row>
    <row r="648" spans="2:34" s="295" customFormat="1">
      <c r="B648" s="287"/>
      <c r="C648" s="288"/>
      <c r="D648" s="289"/>
      <c r="E648" s="290"/>
      <c r="F648" s="291"/>
      <c r="G648" s="291"/>
      <c r="H648" s="291"/>
      <c r="I648" s="291"/>
      <c r="J648" s="291"/>
      <c r="K648" s="291"/>
      <c r="L648" s="291"/>
      <c r="M648" s="291"/>
      <c r="N648" s="291"/>
      <c r="O648" s="292"/>
      <c r="P648" s="291"/>
      <c r="Q648" s="291"/>
      <c r="R648" s="291"/>
      <c r="S648" s="291"/>
      <c r="T648" s="291"/>
      <c r="U648" s="291"/>
      <c r="V648" s="291"/>
      <c r="W648" s="291"/>
      <c r="X648" s="291"/>
      <c r="Y648" s="291"/>
      <c r="Z648" s="291"/>
      <c r="AA648" s="292"/>
      <c r="AB648" s="292"/>
      <c r="AC648" s="293"/>
      <c r="AD648" s="293"/>
      <c r="AE648" s="294"/>
      <c r="AF648" s="294"/>
      <c r="AG648" s="294"/>
      <c r="AH648" s="294"/>
    </row>
    <row r="649" spans="2:34" s="295" customFormat="1">
      <c r="B649" s="287"/>
      <c r="C649" s="288"/>
      <c r="D649" s="289"/>
      <c r="E649" s="290"/>
      <c r="F649" s="291"/>
      <c r="G649" s="291"/>
      <c r="H649" s="291"/>
      <c r="I649" s="291"/>
      <c r="J649" s="291"/>
      <c r="K649" s="291"/>
      <c r="L649" s="291"/>
      <c r="M649" s="291"/>
      <c r="N649" s="291"/>
      <c r="O649" s="292"/>
      <c r="P649" s="291"/>
      <c r="Q649" s="291"/>
      <c r="R649" s="291"/>
      <c r="S649" s="291"/>
      <c r="T649" s="291"/>
      <c r="U649" s="291"/>
      <c r="V649" s="291"/>
      <c r="W649" s="291"/>
      <c r="X649" s="291"/>
      <c r="Y649" s="291"/>
      <c r="Z649" s="291"/>
      <c r="AA649" s="292"/>
      <c r="AB649" s="292"/>
      <c r="AC649" s="293"/>
      <c r="AD649" s="293"/>
      <c r="AE649" s="294"/>
      <c r="AF649" s="294"/>
      <c r="AG649" s="294"/>
      <c r="AH649" s="294"/>
    </row>
    <row r="650" spans="2:34" s="295" customFormat="1">
      <c r="B650" s="287"/>
      <c r="C650" s="288"/>
      <c r="D650" s="289"/>
      <c r="E650" s="290"/>
      <c r="F650" s="291"/>
      <c r="G650" s="291"/>
      <c r="H650" s="291"/>
      <c r="I650" s="291"/>
      <c r="J650" s="291"/>
      <c r="K650" s="291"/>
      <c r="L650" s="291"/>
      <c r="M650" s="291"/>
      <c r="N650" s="291"/>
      <c r="O650" s="292"/>
      <c r="P650" s="291"/>
      <c r="Q650" s="291"/>
      <c r="R650" s="291"/>
      <c r="S650" s="291"/>
      <c r="T650" s="291"/>
      <c r="U650" s="291"/>
      <c r="V650" s="291"/>
      <c r="W650" s="291"/>
      <c r="X650" s="291"/>
      <c r="Y650" s="291"/>
      <c r="Z650" s="291"/>
      <c r="AA650" s="292"/>
      <c r="AB650" s="292"/>
      <c r="AC650" s="293"/>
      <c r="AD650" s="293"/>
      <c r="AE650" s="294"/>
      <c r="AF650" s="294"/>
      <c r="AG650" s="294"/>
      <c r="AH650" s="294"/>
    </row>
    <row r="651" spans="2:34" s="295" customFormat="1">
      <c r="B651" s="287"/>
      <c r="C651" s="288"/>
      <c r="D651" s="289"/>
      <c r="E651" s="290"/>
      <c r="F651" s="291"/>
      <c r="G651" s="291"/>
      <c r="H651" s="291"/>
      <c r="I651" s="291"/>
      <c r="J651" s="291"/>
      <c r="K651" s="291"/>
      <c r="L651" s="291"/>
      <c r="M651" s="291"/>
      <c r="N651" s="291"/>
      <c r="O651" s="292"/>
      <c r="P651" s="291"/>
      <c r="Q651" s="291"/>
      <c r="R651" s="291"/>
      <c r="S651" s="291"/>
      <c r="T651" s="291"/>
      <c r="U651" s="291"/>
      <c r="V651" s="291"/>
      <c r="W651" s="291"/>
      <c r="X651" s="291"/>
      <c r="Y651" s="291"/>
      <c r="Z651" s="291"/>
      <c r="AA651" s="292"/>
      <c r="AB651" s="292"/>
      <c r="AC651" s="293"/>
      <c r="AD651" s="293"/>
      <c r="AE651" s="294"/>
      <c r="AF651" s="294"/>
      <c r="AG651" s="294"/>
      <c r="AH651" s="294"/>
    </row>
    <row r="652" spans="2:34" s="295" customFormat="1">
      <c r="B652" s="287"/>
      <c r="C652" s="288"/>
      <c r="D652" s="289"/>
      <c r="E652" s="290"/>
      <c r="F652" s="291"/>
      <c r="G652" s="291"/>
      <c r="H652" s="291"/>
      <c r="I652" s="291"/>
      <c r="J652" s="291"/>
      <c r="K652" s="291"/>
      <c r="L652" s="291"/>
      <c r="M652" s="291"/>
      <c r="N652" s="291"/>
      <c r="O652" s="292"/>
      <c r="P652" s="291"/>
      <c r="Q652" s="291"/>
      <c r="R652" s="291"/>
      <c r="S652" s="291"/>
      <c r="T652" s="291"/>
      <c r="U652" s="291"/>
      <c r="V652" s="291"/>
      <c r="W652" s="291"/>
      <c r="X652" s="291"/>
      <c r="Y652" s="291"/>
      <c r="Z652" s="291"/>
      <c r="AA652" s="292"/>
      <c r="AB652" s="292"/>
      <c r="AC652" s="293"/>
      <c r="AD652" s="293"/>
      <c r="AE652" s="294"/>
      <c r="AF652" s="294"/>
      <c r="AG652" s="294"/>
      <c r="AH652" s="294"/>
    </row>
    <row r="653" spans="2:34" s="295" customFormat="1">
      <c r="B653" s="287"/>
      <c r="C653" s="288"/>
      <c r="D653" s="289"/>
      <c r="E653" s="290"/>
      <c r="F653" s="291"/>
      <c r="G653" s="291"/>
      <c r="H653" s="291"/>
      <c r="I653" s="291"/>
      <c r="J653" s="291"/>
      <c r="K653" s="291"/>
      <c r="L653" s="291"/>
      <c r="M653" s="291"/>
      <c r="N653" s="291"/>
      <c r="O653" s="292"/>
      <c r="P653" s="291"/>
      <c r="Q653" s="291"/>
      <c r="R653" s="291"/>
      <c r="S653" s="291"/>
      <c r="T653" s="291"/>
      <c r="U653" s="291"/>
      <c r="V653" s="291"/>
      <c r="W653" s="291"/>
      <c r="X653" s="291"/>
      <c r="Y653" s="291"/>
      <c r="Z653" s="291"/>
      <c r="AA653" s="292"/>
      <c r="AB653" s="292"/>
      <c r="AC653" s="293"/>
      <c r="AD653" s="293"/>
      <c r="AE653" s="294"/>
      <c r="AF653" s="294"/>
      <c r="AG653" s="294"/>
      <c r="AH653" s="294"/>
    </row>
    <row r="654" spans="2:34" s="295" customFormat="1">
      <c r="B654" s="287"/>
      <c r="C654" s="288"/>
      <c r="D654" s="289"/>
      <c r="E654" s="290"/>
      <c r="F654" s="291"/>
      <c r="G654" s="291"/>
      <c r="H654" s="291"/>
      <c r="I654" s="291"/>
      <c r="J654" s="291"/>
      <c r="K654" s="291"/>
      <c r="L654" s="291"/>
      <c r="M654" s="291"/>
      <c r="N654" s="291"/>
      <c r="O654" s="292"/>
      <c r="P654" s="291"/>
      <c r="Q654" s="291"/>
      <c r="R654" s="291"/>
      <c r="S654" s="291"/>
      <c r="T654" s="291"/>
      <c r="U654" s="291"/>
      <c r="V654" s="291"/>
      <c r="W654" s="291"/>
      <c r="X654" s="291"/>
      <c r="Y654" s="291"/>
      <c r="Z654" s="291"/>
      <c r="AA654" s="292"/>
      <c r="AB654" s="292"/>
      <c r="AC654" s="293"/>
      <c r="AD654" s="293"/>
      <c r="AE654" s="294"/>
      <c r="AF654" s="294"/>
      <c r="AG654" s="294"/>
      <c r="AH654" s="294"/>
    </row>
    <row r="655" spans="2:34" s="295" customFormat="1">
      <c r="B655" s="287"/>
      <c r="C655" s="288"/>
      <c r="D655" s="289"/>
      <c r="E655" s="290"/>
      <c r="F655" s="291"/>
      <c r="G655" s="291"/>
      <c r="H655" s="291"/>
      <c r="I655" s="291"/>
      <c r="J655" s="291"/>
      <c r="K655" s="291"/>
      <c r="L655" s="291"/>
      <c r="M655" s="291"/>
      <c r="N655" s="291"/>
      <c r="O655" s="292"/>
      <c r="P655" s="291"/>
      <c r="Q655" s="291"/>
      <c r="R655" s="291"/>
      <c r="S655" s="291"/>
      <c r="T655" s="291"/>
      <c r="U655" s="291"/>
      <c r="V655" s="291"/>
      <c r="W655" s="291"/>
      <c r="X655" s="291"/>
      <c r="Y655" s="291"/>
      <c r="Z655" s="291"/>
      <c r="AA655" s="292"/>
      <c r="AB655" s="292"/>
      <c r="AC655" s="293"/>
      <c r="AD655" s="293"/>
      <c r="AE655" s="294"/>
      <c r="AF655" s="294"/>
      <c r="AG655" s="294"/>
      <c r="AH655" s="294"/>
    </row>
    <row r="656" spans="2:34" s="295" customFormat="1">
      <c r="B656" s="287"/>
      <c r="C656" s="288"/>
      <c r="D656" s="289"/>
      <c r="E656" s="290"/>
      <c r="F656" s="291"/>
      <c r="G656" s="291"/>
      <c r="H656" s="291"/>
      <c r="I656" s="291"/>
      <c r="J656" s="291"/>
      <c r="K656" s="291"/>
      <c r="L656" s="291"/>
      <c r="M656" s="291"/>
      <c r="N656" s="291"/>
      <c r="O656" s="292"/>
      <c r="P656" s="291"/>
      <c r="Q656" s="291"/>
      <c r="R656" s="291"/>
      <c r="S656" s="291"/>
      <c r="T656" s="291"/>
      <c r="U656" s="291"/>
      <c r="V656" s="291"/>
      <c r="W656" s="291"/>
      <c r="X656" s="291"/>
      <c r="Y656" s="291"/>
      <c r="Z656" s="291"/>
      <c r="AA656" s="292"/>
      <c r="AB656" s="292"/>
      <c r="AC656" s="293"/>
      <c r="AD656" s="293"/>
      <c r="AE656" s="294"/>
      <c r="AF656" s="294"/>
      <c r="AG656" s="294"/>
      <c r="AH656" s="294"/>
    </row>
    <row r="657" spans="2:34" s="295" customFormat="1">
      <c r="B657" s="287"/>
      <c r="C657" s="288"/>
      <c r="D657" s="289"/>
      <c r="E657" s="290"/>
      <c r="F657" s="291"/>
      <c r="G657" s="291"/>
      <c r="H657" s="291"/>
      <c r="I657" s="291"/>
      <c r="J657" s="291"/>
      <c r="K657" s="291"/>
      <c r="L657" s="291"/>
      <c r="M657" s="291"/>
      <c r="N657" s="291"/>
      <c r="O657" s="292"/>
      <c r="P657" s="291"/>
      <c r="Q657" s="291"/>
      <c r="R657" s="291"/>
      <c r="S657" s="291"/>
      <c r="T657" s="291"/>
      <c r="U657" s="291"/>
      <c r="V657" s="291"/>
      <c r="W657" s="291"/>
      <c r="X657" s="291"/>
      <c r="Y657" s="291"/>
      <c r="Z657" s="291"/>
      <c r="AA657" s="292"/>
      <c r="AB657" s="292"/>
      <c r="AC657" s="293"/>
      <c r="AD657" s="293"/>
      <c r="AE657" s="294"/>
      <c r="AF657" s="294"/>
      <c r="AG657" s="294"/>
      <c r="AH657" s="294"/>
    </row>
    <row r="658" spans="2:34" s="295" customFormat="1">
      <c r="B658" s="287"/>
      <c r="C658" s="288"/>
      <c r="D658" s="289"/>
      <c r="E658" s="290"/>
      <c r="F658" s="291"/>
      <c r="G658" s="291"/>
      <c r="H658" s="291"/>
      <c r="I658" s="291"/>
      <c r="J658" s="291"/>
      <c r="K658" s="291"/>
      <c r="L658" s="291"/>
      <c r="M658" s="291"/>
      <c r="N658" s="291"/>
      <c r="O658" s="292"/>
      <c r="P658" s="291"/>
      <c r="Q658" s="291"/>
      <c r="R658" s="291"/>
      <c r="S658" s="291"/>
      <c r="T658" s="291"/>
      <c r="U658" s="291"/>
      <c r="V658" s="291"/>
      <c r="W658" s="291"/>
      <c r="X658" s="291"/>
      <c r="Y658" s="291"/>
      <c r="Z658" s="291"/>
      <c r="AA658" s="292"/>
      <c r="AB658" s="292"/>
      <c r="AC658" s="293"/>
      <c r="AD658" s="293"/>
      <c r="AE658" s="294"/>
      <c r="AF658" s="294"/>
      <c r="AG658" s="294"/>
      <c r="AH658" s="294"/>
    </row>
    <row r="659" spans="2:34" s="295" customFormat="1">
      <c r="B659" s="287"/>
      <c r="C659" s="288"/>
      <c r="D659" s="289"/>
      <c r="E659" s="290"/>
      <c r="F659" s="291"/>
      <c r="G659" s="291"/>
      <c r="H659" s="291"/>
      <c r="I659" s="291"/>
      <c r="J659" s="291"/>
      <c r="K659" s="291"/>
      <c r="L659" s="291"/>
      <c r="M659" s="291"/>
      <c r="N659" s="291"/>
      <c r="O659" s="292"/>
      <c r="P659" s="291"/>
      <c r="Q659" s="291"/>
      <c r="R659" s="291"/>
      <c r="S659" s="291"/>
      <c r="T659" s="291"/>
      <c r="U659" s="291"/>
      <c r="V659" s="291"/>
      <c r="W659" s="291"/>
      <c r="X659" s="291"/>
      <c r="Y659" s="291"/>
      <c r="Z659" s="291"/>
      <c r="AA659" s="292"/>
      <c r="AB659" s="292"/>
      <c r="AC659" s="293"/>
      <c r="AD659" s="293"/>
      <c r="AE659" s="294"/>
      <c r="AF659" s="294"/>
      <c r="AG659" s="294"/>
      <c r="AH659" s="294"/>
    </row>
    <row r="660" spans="2:34" s="295" customFormat="1">
      <c r="B660" s="287"/>
      <c r="C660" s="288"/>
      <c r="D660" s="289"/>
      <c r="E660" s="290"/>
      <c r="F660" s="291"/>
      <c r="G660" s="291"/>
      <c r="H660" s="291"/>
      <c r="I660" s="291"/>
      <c r="J660" s="291"/>
      <c r="K660" s="291"/>
      <c r="L660" s="291"/>
      <c r="M660" s="291"/>
      <c r="N660" s="291"/>
      <c r="O660" s="292"/>
      <c r="P660" s="291"/>
      <c r="Q660" s="291"/>
      <c r="R660" s="291"/>
      <c r="S660" s="291"/>
      <c r="T660" s="291"/>
      <c r="U660" s="291"/>
      <c r="V660" s="291"/>
      <c r="W660" s="291"/>
      <c r="X660" s="291"/>
      <c r="Y660" s="291"/>
      <c r="Z660" s="291"/>
      <c r="AA660" s="292"/>
      <c r="AB660" s="292"/>
      <c r="AC660" s="293"/>
      <c r="AD660" s="293"/>
      <c r="AE660" s="294"/>
      <c r="AF660" s="294"/>
      <c r="AG660" s="294"/>
      <c r="AH660" s="294"/>
    </row>
    <row r="661" spans="2:34" s="295" customFormat="1">
      <c r="B661" s="287"/>
      <c r="C661" s="288"/>
      <c r="D661" s="289"/>
      <c r="E661" s="290"/>
      <c r="F661" s="291"/>
      <c r="G661" s="291"/>
      <c r="H661" s="291"/>
      <c r="I661" s="291"/>
      <c r="J661" s="291"/>
      <c r="K661" s="291"/>
      <c r="L661" s="291"/>
      <c r="M661" s="291"/>
      <c r="N661" s="291"/>
      <c r="O661" s="292"/>
      <c r="P661" s="291"/>
      <c r="Q661" s="291"/>
      <c r="R661" s="291"/>
      <c r="S661" s="291"/>
      <c r="T661" s="291"/>
      <c r="U661" s="291"/>
      <c r="V661" s="291"/>
      <c r="W661" s="291"/>
      <c r="X661" s="291"/>
      <c r="Y661" s="291"/>
      <c r="Z661" s="291"/>
      <c r="AA661" s="292"/>
      <c r="AB661" s="292"/>
      <c r="AC661" s="293"/>
      <c r="AD661" s="293"/>
      <c r="AE661" s="294"/>
      <c r="AF661" s="294"/>
      <c r="AG661" s="294"/>
      <c r="AH661" s="294"/>
    </row>
    <row r="662" spans="2:34" s="295" customFormat="1">
      <c r="B662" s="287"/>
      <c r="C662" s="288"/>
      <c r="D662" s="289"/>
      <c r="E662" s="290"/>
      <c r="F662" s="291"/>
      <c r="G662" s="291"/>
      <c r="H662" s="291"/>
      <c r="I662" s="291"/>
      <c r="J662" s="291"/>
      <c r="K662" s="291"/>
      <c r="L662" s="291"/>
      <c r="M662" s="291"/>
      <c r="N662" s="291"/>
      <c r="O662" s="292"/>
      <c r="P662" s="291"/>
      <c r="Q662" s="291"/>
      <c r="R662" s="291"/>
      <c r="S662" s="291"/>
      <c r="T662" s="291"/>
      <c r="U662" s="291"/>
      <c r="V662" s="291"/>
      <c r="W662" s="291"/>
      <c r="X662" s="291"/>
      <c r="Y662" s="291"/>
      <c r="Z662" s="291"/>
      <c r="AA662" s="292"/>
      <c r="AB662" s="292"/>
      <c r="AC662" s="293"/>
      <c r="AD662" s="293"/>
      <c r="AE662" s="294"/>
      <c r="AF662" s="294"/>
      <c r="AG662" s="294"/>
      <c r="AH662" s="294"/>
    </row>
    <row r="663" spans="2:34" s="295" customFormat="1">
      <c r="B663" s="287"/>
      <c r="C663" s="288"/>
      <c r="D663" s="289"/>
      <c r="E663" s="290"/>
      <c r="F663" s="291"/>
      <c r="G663" s="291"/>
      <c r="H663" s="291"/>
      <c r="I663" s="291"/>
      <c r="J663" s="291"/>
      <c r="K663" s="291"/>
      <c r="L663" s="291"/>
      <c r="M663" s="291"/>
      <c r="N663" s="291"/>
      <c r="O663" s="292"/>
      <c r="P663" s="291"/>
      <c r="Q663" s="291"/>
      <c r="R663" s="291"/>
      <c r="S663" s="291"/>
      <c r="T663" s="291"/>
      <c r="U663" s="291"/>
      <c r="V663" s="291"/>
      <c r="W663" s="291"/>
      <c r="X663" s="291"/>
      <c r="Y663" s="291"/>
      <c r="Z663" s="291"/>
      <c r="AA663" s="292"/>
      <c r="AB663" s="292"/>
      <c r="AC663" s="293"/>
      <c r="AD663" s="293"/>
      <c r="AE663" s="294"/>
      <c r="AF663" s="294"/>
      <c r="AG663" s="294"/>
      <c r="AH663" s="294"/>
    </row>
    <row r="664" spans="2:34" s="295" customFormat="1">
      <c r="B664" s="287"/>
      <c r="C664" s="288"/>
      <c r="D664" s="289"/>
      <c r="E664" s="290"/>
      <c r="F664" s="291"/>
      <c r="G664" s="291"/>
      <c r="H664" s="291"/>
      <c r="I664" s="291"/>
      <c r="J664" s="291"/>
      <c r="K664" s="291"/>
      <c r="L664" s="291"/>
      <c r="M664" s="291"/>
      <c r="N664" s="291"/>
      <c r="O664" s="292"/>
      <c r="P664" s="291"/>
      <c r="Q664" s="291"/>
      <c r="R664" s="291"/>
      <c r="S664" s="291"/>
      <c r="T664" s="291"/>
      <c r="U664" s="291"/>
      <c r="V664" s="291"/>
      <c r="W664" s="291"/>
      <c r="X664" s="291"/>
      <c r="Y664" s="291"/>
      <c r="Z664" s="291"/>
      <c r="AA664" s="292"/>
      <c r="AB664" s="292"/>
      <c r="AC664" s="293"/>
      <c r="AD664" s="293"/>
      <c r="AE664" s="294"/>
      <c r="AF664" s="294"/>
      <c r="AG664" s="294"/>
      <c r="AH664" s="294"/>
    </row>
    <row r="665" spans="2:34" s="295" customFormat="1">
      <c r="B665" s="287"/>
      <c r="C665" s="288"/>
      <c r="D665" s="289"/>
      <c r="E665" s="290"/>
      <c r="F665" s="291"/>
      <c r="G665" s="291"/>
      <c r="H665" s="291"/>
      <c r="I665" s="291"/>
      <c r="J665" s="291"/>
      <c r="K665" s="291"/>
      <c r="L665" s="291"/>
      <c r="M665" s="291"/>
      <c r="N665" s="291"/>
      <c r="O665" s="292"/>
      <c r="P665" s="291"/>
      <c r="Q665" s="291"/>
      <c r="R665" s="291"/>
      <c r="S665" s="291"/>
      <c r="T665" s="291"/>
      <c r="U665" s="291"/>
      <c r="V665" s="291"/>
      <c r="W665" s="291"/>
      <c r="X665" s="291"/>
      <c r="Y665" s="291"/>
      <c r="Z665" s="291"/>
      <c r="AA665" s="292"/>
      <c r="AB665" s="292"/>
      <c r="AC665" s="293"/>
      <c r="AD665" s="293"/>
      <c r="AE665" s="294"/>
      <c r="AF665" s="294"/>
      <c r="AG665" s="294"/>
      <c r="AH665" s="294"/>
    </row>
    <row r="666" spans="2:34" s="295" customFormat="1">
      <c r="B666" s="287"/>
      <c r="C666" s="288"/>
      <c r="D666" s="289"/>
      <c r="E666" s="290"/>
      <c r="F666" s="291"/>
      <c r="G666" s="291"/>
      <c r="H666" s="291"/>
      <c r="I666" s="291"/>
      <c r="J666" s="291"/>
      <c r="K666" s="291"/>
      <c r="L666" s="291"/>
      <c r="M666" s="291"/>
      <c r="N666" s="291"/>
      <c r="O666" s="292"/>
      <c r="P666" s="291"/>
      <c r="Q666" s="291"/>
      <c r="R666" s="291"/>
      <c r="S666" s="291"/>
      <c r="T666" s="291"/>
      <c r="U666" s="291"/>
      <c r="V666" s="291"/>
      <c r="W666" s="291"/>
      <c r="X666" s="291"/>
      <c r="Y666" s="291"/>
      <c r="Z666" s="291"/>
      <c r="AA666" s="292"/>
      <c r="AB666" s="292"/>
      <c r="AC666" s="293"/>
      <c r="AD666" s="293"/>
      <c r="AE666" s="294"/>
      <c r="AF666" s="294"/>
      <c r="AG666" s="294"/>
      <c r="AH666" s="294"/>
    </row>
    <row r="667" spans="2:34" s="295" customFormat="1">
      <c r="B667" s="287"/>
      <c r="C667" s="288"/>
      <c r="D667" s="289"/>
      <c r="E667" s="290"/>
      <c r="F667" s="291"/>
      <c r="G667" s="291"/>
      <c r="H667" s="291"/>
      <c r="I667" s="291"/>
      <c r="J667" s="291"/>
      <c r="K667" s="291"/>
      <c r="L667" s="291"/>
      <c r="M667" s="291"/>
      <c r="N667" s="291"/>
      <c r="O667" s="292"/>
      <c r="P667" s="291"/>
      <c r="Q667" s="291"/>
      <c r="R667" s="291"/>
      <c r="S667" s="291"/>
      <c r="T667" s="291"/>
      <c r="U667" s="291"/>
      <c r="V667" s="291"/>
      <c r="W667" s="291"/>
      <c r="X667" s="291"/>
      <c r="Y667" s="291"/>
      <c r="Z667" s="291"/>
      <c r="AA667" s="292"/>
      <c r="AB667" s="292"/>
      <c r="AC667" s="293"/>
      <c r="AD667" s="293"/>
      <c r="AE667" s="294"/>
      <c r="AF667" s="294"/>
      <c r="AG667" s="294"/>
      <c r="AH667" s="294"/>
    </row>
    <row r="668" spans="2:34" s="295" customFormat="1">
      <c r="B668" s="287"/>
      <c r="C668" s="288"/>
      <c r="D668" s="289"/>
      <c r="E668" s="290"/>
      <c r="F668" s="291"/>
      <c r="G668" s="291"/>
      <c r="H668" s="291"/>
      <c r="I668" s="291"/>
      <c r="J668" s="291"/>
      <c r="K668" s="291"/>
      <c r="L668" s="291"/>
      <c r="M668" s="291"/>
      <c r="N668" s="291"/>
      <c r="O668" s="292"/>
      <c r="P668" s="291"/>
      <c r="Q668" s="291"/>
      <c r="R668" s="291"/>
      <c r="S668" s="291"/>
      <c r="T668" s="291"/>
      <c r="U668" s="291"/>
      <c r="V668" s="291"/>
      <c r="W668" s="291"/>
      <c r="X668" s="291"/>
      <c r="Y668" s="291"/>
      <c r="Z668" s="291"/>
      <c r="AA668" s="292"/>
      <c r="AB668" s="292"/>
      <c r="AC668" s="293"/>
      <c r="AD668" s="293"/>
      <c r="AE668" s="294"/>
      <c r="AF668" s="294"/>
      <c r="AG668" s="294"/>
      <c r="AH668" s="294"/>
    </row>
    <row r="669" spans="2:34" s="295" customFormat="1">
      <c r="B669" s="287"/>
      <c r="C669" s="288"/>
      <c r="D669" s="289"/>
      <c r="E669" s="290"/>
      <c r="F669" s="291"/>
      <c r="G669" s="291"/>
      <c r="H669" s="291"/>
      <c r="I669" s="291"/>
      <c r="J669" s="291"/>
      <c r="K669" s="291"/>
      <c r="L669" s="291"/>
      <c r="M669" s="291"/>
      <c r="N669" s="291"/>
      <c r="O669" s="292"/>
      <c r="P669" s="291"/>
      <c r="Q669" s="291"/>
      <c r="R669" s="291"/>
      <c r="S669" s="291"/>
      <c r="T669" s="291"/>
      <c r="U669" s="291"/>
      <c r="V669" s="291"/>
      <c r="W669" s="291"/>
      <c r="X669" s="291"/>
      <c r="Y669" s="291"/>
      <c r="Z669" s="291"/>
      <c r="AA669" s="292"/>
      <c r="AB669" s="292"/>
      <c r="AC669" s="293"/>
      <c r="AD669" s="293"/>
      <c r="AE669" s="294"/>
      <c r="AF669" s="294"/>
      <c r="AG669" s="294"/>
      <c r="AH669" s="294"/>
    </row>
    <row r="670" spans="2:34" s="295" customFormat="1">
      <c r="B670" s="287"/>
      <c r="C670" s="288"/>
      <c r="D670" s="289"/>
      <c r="E670" s="290"/>
      <c r="F670" s="291"/>
      <c r="G670" s="291"/>
      <c r="H670" s="291"/>
      <c r="I670" s="291"/>
      <c r="J670" s="291"/>
      <c r="K670" s="291"/>
      <c r="L670" s="291"/>
      <c r="M670" s="291"/>
      <c r="N670" s="291"/>
      <c r="O670" s="292"/>
      <c r="P670" s="291"/>
      <c r="Q670" s="291"/>
      <c r="R670" s="291"/>
      <c r="S670" s="291"/>
      <c r="T670" s="291"/>
      <c r="U670" s="291"/>
      <c r="V670" s="291"/>
      <c r="W670" s="291"/>
      <c r="X670" s="291"/>
      <c r="Y670" s="291"/>
      <c r="Z670" s="291"/>
      <c r="AA670" s="292"/>
      <c r="AB670" s="292"/>
      <c r="AC670" s="293"/>
      <c r="AD670" s="293"/>
      <c r="AE670" s="294"/>
      <c r="AF670" s="294"/>
      <c r="AG670" s="294"/>
      <c r="AH670" s="294"/>
    </row>
    <row r="671" spans="2:34" s="295" customFormat="1">
      <c r="B671" s="287"/>
      <c r="C671" s="288"/>
      <c r="D671" s="289"/>
      <c r="E671" s="290"/>
      <c r="F671" s="291"/>
      <c r="G671" s="291"/>
      <c r="H671" s="291"/>
      <c r="I671" s="291"/>
      <c r="J671" s="291"/>
      <c r="K671" s="291"/>
      <c r="L671" s="291"/>
      <c r="M671" s="291"/>
      <c r="N671" s="291"/>
      <c r="O671" s="292"/>
      <c r="P671" s="291"/>
      <c r="Q671" s="291"/>
      <c r="R671" s="291"/>
      <c r="S671" s="291"/>
      <c r="T671" s="291"/>
      <c r="U671" s="291"/>
      <c r="V671" s="291"/>
      <c r="W671" s="291"/>
      <c r="X671" s="291"/>
      <c r="Y671" s="291"/>
      <c r="Z671" s="291"/>
      <c r="AA671" s="292"/>
      <c r="AB671" s="292"/>
      <c r="AC671" s="293"/>
      <c r="AD671" s="293"/>
      <c r="AE671" s="294"/>
      <c r="AF671" s="294"/>
      <c r="AG671" s="294"/>
      <c r="AH671" s="294"/>
    </row>
    <row r="672" spans="2:34" s="295" customFormat="1">
      <c r="B672" s="287"/>
      <c r="C672" s="288"/>
      <c r="D672" s="289"/>
      <c r="E672" s="290"/>
      <c r="F672" s="291"/>
      <c r="G672" s="291"/>
      <c r="H672" s="291"/>
      <c r="I672" s="291"/>
      <c r="J672" s="291"/>
      <c r="K672" s="291"/>
      <c r="L672" s="291"/>
      <c r="M672" s="291"/>
      <c r="N672" s="291"/>
      <c r="O672" s="292"/>
      <c r="P672" s="291"/>
      <c r="Q672" s="291"/>
      <c r="R672" s="291"/>
      <c r="S672" s="291"/>
      <c r="T672" s="291"/>
      <c r="U672" s="291"/>
      <c r="V672" s="291"/>
      <c r="W672" s="291"/>
      <c r="X672" s="291"/>
      <c r="Y672" s="291"/>
      <c r="Z672" s="291"/>
      <c r="AA672" s="292"/>
      <c r="AB672" s="292"/>
      <c r="AC672" s="293"/>
      <c r="AD672" s="293"/>
      <c r="AE672" s="294"/>
      <c r="AF672" s="294"/>
      <c r="AG672" s="294"/>
      <c r="AH672" s="294"/>
    </row>
    <row r="673" spans="2:34" s="295" customFormat="1">
      <c r="B673" s="287"/>
      <c r="C673" s="288"/>
      <c r="D673" s="289"/>
      <c r="E673" s="290"/>
      <c r="F673" s="291"/>
      <c r="G673" s="291"/>
      <c r="H673" s="291"/>
      <c r="I673" s="291"/>
      <c r="J673" s="291"/>
      <c r="K673" s="291"/>
      <c r="L673" s="291"/>
      <c r="M673" s="291"/>
      <c r="N673" s="291"/>
      <c r="O673" s="292"/>
      <c r="P673" s="291"/>
      <c r="Q673" s="291"/>
      <c r="R673" s="291"/>
      <c r="S673" s="291"/>
      <c r="T673" s="291"/>
      <c r="U673" s="291"/>
      <c r="V673" s="291"/>
      <c r="W673" s="291"/>
      <c r="X673" s="291"/>
      <c r="Y673" s="291"/>
      <c r="Z673" s="291"/>
      <c r="AA673" s="292"/>
      <c r="AB673" s="292"/>
      <c r="AC673" s="293"/>
      <c r="AD673" s="293"/>
      <c r="AE673" s="294"/>
      <c r="AF673" s="294"/>
      <c r="AG673" s="294"/>
      <c r="AH673" s="294"/>
    </row>
    <row r="674" spans="2:34" s="295" customFormat="1">
      <c r="B674" s="287"/>
      <c r="C674" s="288"/>
      <c r="D674" s="289"/>
      <c r="E674" s="290"/>
      <c r="F674" s="291"/>
      <c r="G674" s="291"/>
      <c r="H674" s="291"/>
      <c r="I674" s="291"/>
      <c r="J674" s="291"/>
      <c r="K674" s="291"/>
      <c r="L674" s="291"/>
      <c r="M674" s="291"/>
      <c r="N674" s="291"/>
      <c r="O674" s="292"/>
      <c r="P674" s="291"/>
      <c r="Q674" s="291"/>
      <c r="R674" s="291"/>
      <c r="S674" s="291"/>
      <c r="T674" s="291"/>
      <c r="U674" s="291"/>
      <c r="V674" s="291"/>
      <c r="W674" s="291"/>
      <c r="X674" s="291"/>
      <c r="Y674" s="291"/>
      <c r="Z674" s="291"/>
      <c r="AA674" s="292"/>
      <c r="AB674" s="292"/>
      <c r="AC674" s="293"/>
      <c r="AD674" s="293"/>
      <c r="AE674" s="294"/>
      <c r="AF674" s="294"/>
      <c r="AG674" s="294"/>
      <c r="AH674" s="294"/>
    </row>
    <row r="675" spans="2:34" s="295" customFormat="1">
      <c r="B675" s="287"/>
      <c r="C675" s="288"/>
      <c r="D675" s="289"/>
      <c r="E675" s="290"/>
      <c r="F675" s="291"/>
      <c r="G675" s="291"/>
      <c r="H675" s="291"/>
      <c r="I675" s="291"/>
      <c r="J675" s="291"/>
      <c r="K675" s="291"/>
      <c r="L675" s="291"/>
      <c r="M675" s="291"/>
      <c r="N675" s="291"/>
      <c r="O675" s="292"/>
      <c r="P675" s="291"/>
      <c r="Q675" s="291"/>
      <c r="R675" s="291"/>
      <c r="S675" s="291"/>
      <c r="T675" s="291"/>
      <c r="U675" s="291"/>
      <c r="V675" s="291"/>
      <c r="W675" s="291"/>
      <c r="X675" s="291"/>
      <c r="Y675" s="291"/>
      <c r="Z675" s="291"/>
      <c r="AA675" s="292"/>
      <c r="AB675" s="292"/>
      <c r="AC675" s="293"/>
      <c r="AD675" s="293"/>
      <c r="AE675" s="294"/>
      <c r="AF675" s="294"/>
      <c r="AG675" s="294"/>
      <c r="AH675" s="294"/>
    </row>
    <row r="676" spans="2:34" s="295" customFormat="1">
      <c r="B676" s="287"/>
      <c r="C676" s="288"/>
      <c r="D676" s="289"/>
      <c r="E676" s="290"/>
      <c r="F676" s="291"/>
      <c r="G676" s="291"/>
      <c r="H676" s="291"/>
      <c r="I676" s="291"/>
      <c r="J676" s="291"/>
      <c r="K676" s="291"/>
      <c r="L676" s="291"/>
      <c r="M676" s="291"/>
      <c r="N676" s="291"/>
      <c r="O676" s="292"/>
      <c r="P676" s="291"/>
      <c r="Q676" s="291"/>
      <c r="R676" s="291"/>
      <c r="S676" s="291"/>
      <c r="T676" s="291"/>
      <c r="U676" s="291"/>
      <c r="V676" s="291"/>
      <c r="W676" s="291"/>
      <c r="X676" s="291"/>
      <c r="Y676" s="291"/>
      <c r="Z676" s="291"/>
      <c r="AA676" s="292"/>
      <c r="AB676" s="292"/>
      <c r="AC676" s="293"/>
      <c r="AD676" s="293"/>
      <c r="AE676" s="294"/>
      <c r="AF676" s="294"/>
      <c r="AG676" s="294"/>
      <c r="AH676" s="294"/>
    </row>
    <row r="677" spans="2:34" s="295" customFormat="1">
      <c r="B677" s="287"/>
      <c r="C677" s="288"/>
      <c r="D677" s="289"/>
      <c r="E677" s="290"/>
      <c r="F677" s="291"/>
      <c r="G677" s="291"/>
      <c r="H677" s="291"/>
      <c r="I677" s="291"/>
      <c r="J677" s="291"/>
      <c r="K677" s="291"/>
      <c r="L677" s="291"/>
      <c r="M677" s="291"/>
      <c r="N677" s="291"/>
      <c r="O677" s="292"/>
      <c r="P677" s="291"/>
      <c r="Q677" s="291"/>
      <c r="R677" s="291"/>
      <c r="S677" s="291"/>
      <c r="T677" s="291"/>
      <c r="U677" s="291"/>
      <c r="V677" s="291"/>
      <c r="W677" s="291"/>
      <c r="X677" s="291"/>
      <c r="Y677" s="291"/>
      <c r="Z677" s="291"/>
      <c r="AA677" s="292"/>
      <c r="AB677" s="292"/>
      <c r="AC677" s="293"/>
      <c r="AD677" s="293"/>
      <c r="AE677" s="294"/>
      <c r="AF677" s="294"/>
      <c r="AG677" s="294"/>
      <c r="AH677" s="294"/>
    </row>
    <row r="678" spans="2:34" s="295" customFormat="1">
      <c r="B678" s="287"/>
      <c r="C678" s="288"/>
      <c r="D678" s="289"/>
      <c r="E678" s="290"/>
      <c r="F678" s="291"/>
      <c r="G678" s="291"/>
      <c r="H678" s="291"/>
      <c r="I678" s="291"/>
      <c r="J678" s="291"/>
      <c r="K678" s="291"/>
      <c r="L678" s="291"/>
      <c r="M678" s="291"/>
      <c r="N678" s="291"/>
      <c r="O678" s="292"/>
      <c r="P678" s="291"/>
      <c r="Q678" s="291"/>
      <c r="R678" s="291"/>
      <c r="S678" s="291"/>
      <c r="T678" s="291"/>
      <c r="U678" s="291"/>
      <c r="V678" s="291"/>
      <c r="W678" s="291"/>
      <c r="X678" s="291"/>
      <c r="Y678" s="291"/>
      <c r="Z678" s="291"/>
      <c r="AA678" s="292"/>
      <c r="AB678" s="292"/>
      <c r="AC678" s="293"/>
      <c r="AD678" s="293"/>
      <c r="AE678" s="294"/>
      <c r="AF678" s="294"/>
      <c r="AG678" s="294"/>
      <c r="AH678" s="294"/>
    </row>
    <row r="679" spans="2:34" s="295" customFormat="1">
      <c r="B679" s="287"/>
      <c r="C679" s="288"/>
      <c r="D679" s="289"/>
      <c r="E679" s="290"/>
      <c r="F679" s="291"/>
      <c r="G679" s="291"/>
      <c r="H679" s="291"/>
      <c r="I679" s="291"/>
      <c r="J679" s="291"/>
      <c r="K679" s="291"/>
      <c r="L679" s="291"/>
      <c r="M679" s="291"/>
      <c r="N679" s="291"/>
      <c r="O679" s="292"/>
      <c r="P679" s="291"/>
      <c r="Q679" s="291"/>
      <c r="R679" s="291"/>
      <c r="S679" s="291"/>
      <c r="T679" s="291"/>
      <c r="U679" s="291"/>
      <c r="V679" s="291"/>
      <c r="W679" s="291"/>
      <c r="X679" s="291"/>
      <c r="Y679" s="291"/>
      <c r="Z679" s="291"/>
      <c r="AA679" s="292"/>
      <c r="AB679" s="292"/>
      <c r="AC679" s="293"/>
      <c r="AD679" s="293"/>
      <c r="AE679" s="294"/>
      <c r="AF679" s="294"/>
      <c r="AG679" s="294"/>
      <c r="AH679" s="294"/>
    </row>
    <row r="680" spans="2:34" s="295" customFormat="1">
      <c r="B680" s="287"/>
      <c r="C680" s="288"/>
      <c r="D680" s="289"/>
      <c r="E680" s="290"/>
      <c r="F680" s="291"/>
      <c r="G680" s="291"/>
      <c r="H680" s="291"/>
      <c r="I680" s="291"/>
      <c r="J680" s="291"/>
      <c r="K680" s="291"/>
      <c r="L680" s="291"/>
      <c r="M680" s="291"/>
      <c r="N680" s="291"/>
      <c r="O680" s="292"/>
      <c r="P680" s="291"/>
      <c r="Q680" s="291"/>
      <c r="R680" s="291"/>
      <c r="S680" s="291"/>
      <c r="T680" s="291"/>
      <c r="U680" s="291"/>
      <c r="V680" s="291"/>
      <c r="W680" s="291"/>
      <c r="X680" s="291"/>
      <c r="Y680" s="291"/>
      <c r="Z680" s="291"/>
      <c r="AA680" s="292"/>
      <c r="AB680" s="292"/>
      <c r="AC680" s="293"/>
      <c r="AD680" s="293"/>
      <c r="AE680" s="294"/>
      <c r="AF680" s="294"/>
      <c r="AG680" s="294"/>
      <c r="AH680" s="294"/>
    </row>
    <row r="681" spans="2:34" s="295" customFormat="1">
      <c r="B681" s="287"/>
      <c r="C681" s="288"/>
      <c r="D681" s="289"/>
      <c r="E681" s="290"/>
      <c r="F681" s="291"/>
      <c r="G681" s="291"/>
      <c r="H681" s="291"/>
      <c r="I681" s="291"/>
      <c r="J681" s="291"/>
      <c r="K681" s="291"/>
      <c r="L681" s="291"/>
      <c r="M681" s="291"/>
      <c r="N681" s="291"/>
      <c r="O681" s="292"/>
      <c r="P681" s="291"/>
      <c r="Q681" s="291"/>
      <c r="R681" s="291"/>
      <c r="S681" s="291"/>
      <c r="T681" s="291"/>
      <c r="U681" s="291"/>
      <c r="V681" s="291"/>
      <c r="W681" s="291"/>
      <c r="X681" s="291"/>
      <c r="Y681" s="291"/>
      <c r="Z681" s="291"/>
      <c r="AA681" s="292"/>
      <c r="AB681" s="292"/>
      <c r="AC681" s="293"/>
      <c r="AD681" s="293"/>
      <c r="AE681" s="294"/>
      <c r="AF681" s="294"/>
      <c r="AG681" s="294"/>
      <c r="AH681" s="294"/>
    </row>
    <row r="682" spans="2:34" s="295" customFormat="1">
      <c r="B682" s="287"/>
      <c r="C682" s="288"/>
      <c r="D682" s="289"/>
      <c r="E682" s="290"/>
      <c r="F682" s="291"/>
      <c r="G682" s="291"/>
      <c r="H682" s="291"/>
      <c r="I682" s="291"/>
      <c r="J682" s="291"/>
      <c r="K682" s="291"/>
      <c r="L682" s="291"/>
      <c r="M682" s="291"/>
      <c r="N682" s="291"/>
      <c r="O682" s="292"/>
      <c r="P682" s="291"/>
      <c r="Q682" s="291"/>
      <c r="R682" s="291"/>
      <c r="S682" s="291"/>
      <c r="T682" s="291"/>
      <c r="U682" s="291"/>
      <c r="V682" s="291"/>
      <c r="W682" s="291"/>
      <c r="X682" s="291"/>
      <c r="Y682" s="291"/>
      <c r="Z682" s="291"/>
      <c r="AA682" s="292"/>
      <c r="AB682" s="292"/>
      <c r="AC682" s="293"/>
      <c r="AD682" s="293"/>
      <c r="AE682" s="294"/>
      <c r="AF682" s="294"/>
      <c r="AG682" s="294"/>
      <c r="AH682" s="294"/>
    </row>
    <row r="683" spans="2:34" s="295" customFormat="1">
      <c r="B683" s="287"/>
      <c r="C683" s="288"/>
      <c r="D683" s="289"/>
      <c r="E683" s="290"/>
      <c r="F683" s="291"/>
      <c r="G683" s="291"/>
      <c r="H683" s="291"/>
      <c r="I683" s="291"/>
      <c r="J683" s="291"/>
      <c r="K683" s="291"/>
      <c r="L683" s="291"/>
      <c r="M683" s="291"/>
      <c r="N683" s="291"/>
      <c r="O683" s="292"/>
      <c r="P683" s="291"/>
      <c r="Q683" s="291"/>
      <c r="R683" s="291"/>
      <c r="S683" s="291"/>
      <c r="T683" s="291"/>
      <c r="U683" s="291"/>
      <c r="V683" s="291"/>
      <c r="W683" s="291"/>
      <c r="X683" s="291"/>
      <c r="Y683" s="291"/>
      <c r="Z683" s="291"/>
      <c r="AA683" s="292"/>
      <c r="AB683" s="292"/>
      <c r="AC683" s="293"/>
      <c r="AD683" s="293"/>
      <c r="AE683" s="294"/>
      <c r="AF683" s="294"/>
      <c r="AG683" s="294"/>
      <c r="AH683" s="294"/>
    </row>
    <row r="684" spans="2:34" s="295" customFormat="1">
      <c r="B684" s="287"/>
      <c r="C684" s="288"/>
      <c r="D684" s="289"/>
      <c r="E684" s="290"/>
      <c r="F684" s="291"/>
      <c r="G684" s="291"/>
      <c r="H684" s="291"/>
      <c r="I684" s="291"/>
      <c r="J684" s="291"/>
      <c r="K684" s="291"/>
      <c r="L684" s="291"/>
      <c r="M684" s="291"/>
      <c r="N684" s="291"/>
      <c r="O684" s="292"/>
      <c r="P684" s="291"/>
      <c r="Q684" s="291"/>
      <c r="R684" s="291"/>
      <c r="S684" s="291"/>
      <c r="T684" s="291"/>
      <c r="U684" s="291"/>
      <c r="V684" s="291"/>
      <c r="W684" s="291"/>
      <c r="X684" s="291"/>
      <c r="Y684" s="291"/>
      <c r="Z684" s="291"/>
      <c r="AA684" s="292"/>
      <c r="AB684" s="292"/>
      <c r="AC684" s="293"/>
      <c r="AD684" s="293"/>
      <c r="AE684" s="294"/>
      <c r="AF684" s="294"/>
      <c r="AG684" s="294"/>
      <c r="AH684" s="294"/>
    </row>
    <row r="685" spans="2:34" s="295" customFormat="1">
      <c r="B685" s="287"/>
      <c r="C685" s="288"/>
      <c r="D685" s="289"/>
      <c r="E685" s="290"/>
      <c r="F685" s="291"/>
      <c r="G685" s="291"/>
      <c r="H685" s="291"/>
      <c r="I685" s="291"/>
      <c r="J685" s="291"/>
      <c r="K685" s="291"/>
      <c r="L685" s="291"/>
      <c r="M685" s="291"/>
      <c r="N685" s="291"/>
      <c r="O685" s="292"/>
      <c r="P685" s="291"/>
      <c r="Q685" s="291"/>
      <c r="R685" s="291"/>
      <c r="S685" s="291"/>
      <c r="T685" s="291"/>
      <c r="U685" s="291"/>
      <c r="V685" s="291"/>
      <c r="W685" s="291"/>
      <c r="X685" s="291"/>
      <c r="Y685" s="291"/>
      <c r="Z685" s="291"/>
      <c r="AA685" s="292"/>
      <c r="AB685" s="292"/>
      <c r="AC685" s="293"/>
      <c r="AD685" s="293"/>
      <c r="AE685" s="294"/>
      <c r="AF685" s="294"/>
      <c r="AG685" s="294"/>
      <c r="AH685" s="294"/>
    </row>
    <row r="686" spans="2:34" s="295" customFormat="1">
      <c r="B686" s="287"/>
      <c r="C686" s="288"/>
      <c r="D686" s="289"/>
      <c r="E686" s="290"/>
      <c r="F686" s="291"/>
      <c r="G686" s="291"/>
      <c r="H686" s="291"/>
      <c r="I686" s="291"/>
      <c r="J686" s="291"/>
      <c r="K686" s="291"/>
      <c r="L686" s="291"/>
      <c r="M686" s="291"/>
      <c r="N686" s="291"/>
      <c r="O686" s="292"/>
      <c r="P686" s="291"/>
      <c r="Q686" s="291"/>
      <c r="R686" s="291"/>
      <c r="S686" s="291"/>
      <c r="T686" s="291"/>
      <c r="U686" s="291"/>
      <c r="V686" s="291"/>
      <c r="W686" s="291"/>
      <c r="X686" s="291"/>
      <c r="Y686" s="291"/>
      <c r="Z686" s="291"/>
      <c r="AA686" s="292"/>
      <c r="AB686" s="292"/>
      <c r="AC686" s="293"/>
      <c r="AD686" s="293"/>
      <c r="AE686" s="294"/>
      <c r="AF686" s="294"/>
      <c r="AG686" s="294"/>
      <c r="AH686" s="294"/>
    </row>
    <row r="687" spans="2:34" s="295" customFormat="1">
      <c r="B687" s="287"/>
      <c r="C687" s="288"/>
      <c r="D687" s="289"/>
      <c r="E687" s="290"/>
      <c r="F687" s="291"/>
      <c r="G687" s="291"/>
      <c r="H687" s="291"/>
      <c r="I687" s="291"/>
      <c r="J687" s="291"/>
      <c r="K687" s="291"/>
      <c r="L687" s="291"/>
      <c r="M687" s="291"/>
      <c r="N687" s="291"/>
      <c r="O687" s="292"/>
      <c r="P687" s="291"/>
      <c r="Q687" s="291"/>
      <c r="R687" s="291"/>
      <c r="S687" s="291"/>
      <c r="T687" s="291"/>
      <c r="U687" s="291"/>
      <c r="V687" s="291"/>
      <c r="W687" s="291"/>
      <c r="X687" s="291"/>
      <c r="Y687" s="291"/>
      <c r="Z687" s="291"/>
      <c r="AA687" s="292"/>
      <c r="AB687" s="292"/>
      <c r="AC687" s="293"/>
      <c r="AD687" s="293"/>
      <c r="AE687" s="294"/>
      <c r="AF687" s="294"/>
      <c r="AG687" s="294"/>
      <c r="AH687" s="294"/>
    </row>
    <row r="688" spans="2:34" s="295" customFormat="1">
      <c r="B688" s="287"/>
      <c r="C688" s="288"/>
      <c r="D688" s="289"/>
      <c r="E688" s="290"/>
      <c r="F688" s="291"/>
      <c r="G688" s="291"/>
      <c r="H688" s="291"/>
      <c r="I688" s="291"/>
      <c r="J688" s="291"/>
      <c r="K688" s="291"/>
      <c r="L688" s="291"/>
      <c r="M688" s="291"/>
      <c r="N688" s="291"/>
      <c r="O688" s="292"/>
      <c r="P688" s="291"/>
      <c r="Q688" s="291"/>
      <c r="R688" s="291"/>
      <c r="S688" s="291"/>
      <c r="T688" s="291"/>
      <c r="U688" s="291"/>
      <c r="V688" s="291"/>
      <c r="W688" s="291"/>
      <c r="X688" s="291"/>
      <c r="Y688" s="291"/>
      <c r="Z688" s="291"/>
      <c r="AA688" s="292"/>
      <c r="AB688" s="292"/>
      <c r="AC688" s="293"/>
      <c r="AD688" s="293"/>
      <c r="AE688" s="294"/>
      <c r="AF688" s="294"/>
      <c r="AG688" s="294"/>
      <c r="AH688" s="294"/>
    </row>
    <row r="689" spans="2:34" s="295" customFormat="1">
      <c r="B689" s="287"/>
      <c r="C689" s="288"/>
      <c r="D689" s="289"/>
      <c r="E689" s="290"/>
      <c r="F689" s="291"/>
      <c r="G689" s="291"/>
      <c r="H689" s="291"/>
      <c r="I689" s="291"/>
      <c r="J689" s="291"/>
      <c r="K689" s="291"/>
      <c r="L689" s="291"/>
      <c r="M689" s="291"/>
      <c r="N689" s="291"/>
      <c r="O689" s="292"/>
      <c r="P689" s="291"/>
      <c r="Q689" s="291"/>
      <c r="R689" s="291"/>
      <c r="S689" s="291"/>
      <c r="T689" s="291"/>
      <c r="U689" s="291"/>
      <c r="V689" s="291"/>
      <c r="W689" s="291"/>
      <c r="X689" s="291"/>
      <c r="Y689" s="291"/>
      <c r="Z689" s="291"/>
      <c r="AA689" s="292"/>
      <c r="AB689" s="292"/>
      <c r="AC689" s="293"/>
      <c r="AD689" s="293"/>
      <c r="AE689" s="294"/>
      <c r="AF689" s="294"/>
      <c r="AG689" s="294"/>
      <c r="AH689" s="294"/>
    </row>
    <row r="690" spans="2:34" s="295" customFormat="1">
      <c r="B690" s="287"/>
      <c r="C690" s="288"/>
      <c r="D690" s="289"/>
      <c r="E690" s="290"/>
      <c r="F690" s="291"/>
      <c r="G690" s="291"/>
      <c r="H690" s="291"/>
      <c r="I690" s="291"/>
      <c r="J690" s="291"/>
      <c r="K690" s="291"/>
      <c r="L690" s="291"/>
      <c r="M690" s="291"/>
      <c r="N690" s="291"/>
      <c r="O690" s="292"/>
      <c r="P690" s="291"/>
      <c r="Q690" s="291"/>
      <c r="R690" s="291"/>
      <c r="S690" s="291"/>
      <c r="T690" s="291"/>
      <c r="U690" s="291"/>
      <c r="V690" s="291"/>
      <c r="W690" s="291"/>
      <c r="X690" s="291"/>
      <c r="Y690" s="291"/>
      <c r="Z690" s="291"/>
      <c r="AA690" s="292"/>
      <c r="AB690" s="292"/>
      <c r="AC690" s="293"/>
      <c r="AD690" s="293"/>
      <c r="AE690" s="294"/>
      <c r="AF690" s="294"/>
      <c r="AG690" s="294"/>
      <c r="AH690" s="294"/>
    </row>
    <row r="691" spans="2:34" s="295" customFormat="1">
      <c r="B691" s="287"/>
      <c r="C691" s="288"/>
      <c r="D691" s="289"/>
      <c r="E691" s="290"/>
      <c r="F691" s="291"/>
      <c r="G691" s="291"/>
      <c r="H691" s="291"/>
      <c r="I691" s="291"/>
      <c r="J691" s="291"/>
      <c r="K691" s="291"/>
      <c r="L691" s="291"/>
      <c r="M691" s="291"/>
      <c r="N691" s="291"/>
      <c r="O691" s="292"/>
      <c r="P691" s="291"/>
      <c r="Q691" s="291"/>
      <c r="R691" s="291"/>
      <c r="S691" s="291"/>
      <c r="T691" s="291"/>
      <c r="U691" s="291"/>
      <c r="V691" s="291"/>
      <c r="W691" s="291"/>
      <c r="X691" s="291"/>
      <c r="Y691" s="291"/>
      <c r="Z691" s="291"/>
      <c r="AA691" s="292"/>
      <c r="AB691" s="292"/>
      <c r="AC691" s="293"/>
      <c r="AD691" s="293"/>
      <c r="AE691" s="294"/>
      <c r="AF691" s="294"/>
      <c r="AG691" s="294"/>
      <c r="AH691" s="294"/>
    </row>
    <row r="692" spans="2:34" s="295" customFormat="1">
      <c r="B692" s="287"/>
      <c r="C692" s="288"/>
      <c r="D692" s="289"/>
      <c r="E692" s="290"/>
      <c r="F692" s="291"/>
      <c r="G692" s="291"/>
      <c r="H692" s="291"/>
      <c r="I692" s="291"/>
      <c r="J692" s="291"/>
      <c r="K692" s="291"/>
      <c r="L692" s="291"/>
      <c r="M692" s="291"/>
      <c r="N692" s="291"/>
      <c r="O692" s="292"/>
      <c r="P692" s="291"/>
      <c r="Q692" s="291"/>
      <c r="R692" s="291"/>
      <c r="S692" s="291"/>
      <c r="T692" s="291"/>
      <c r="U692" s="291"/>
      <c r="V692" s="291"/>
      <c r="W692" s="291"/>
      <c r="X692" s="291"/>
      <c r="Y692" s="291"/>
      <c r="Z692" s="291"/>
      <c r="AA692" s="292"/>
      <c r="AB692" s="292"/>
      <c r="AC692" s="293"/>
      <c r="AD692" s="293"/>
      <c r="AE692" s="294"/>
      <c r="AF692" s="294"/>
      <c r="AG692" s="294"/>
      <c r="AH692" s="294"/>
    </row>
    <row r="693" spans="2:34" s="295" customFormat="1">
      <c r="B693" s="287"/>
      <c r="C693" s="288"/>
      <c r="D693" s="289"/>
      <c r="E693" s="290"/>
      <c r="F693" s="291"/>
      <c r="G693" s="291"/>
      <c r="H693" s="291"/>
      <c r="I693" s="291"/>
      <c r="J693" s="291"/>
      <c r="K693" s="291"/>
      <c r="L693" s="291"/>
      <c r="M693" s="291"/>
      <c r="N693" s="291"/>
      <c r="O693" s="292"/>
      <c r="P693" s="291"/>
      <c r="Q693" s="291"/>
      <c r="R693" s="291"/>
      <c r="S693" s="291"/>
      <c r="T693" s="291"/>
      <c r="U693" s="291"/>
      <c r="V693" s="291"/>
      <c r="W693" s="291"/>
      <c r="X693" s="291"/>
      <c r="Y693" s="291"/>
      <c r="Z693" s="291"/>
      <c r="AA693" s="292"/>
      <c r="AB693" s="292"/>
      <c r="AC693" s="293"/>
      <c r="AD693" s="293"/>
      <c r="AE693" s="294"/>
      <c r="AF693" s="294"/>
      <c r="AG693" s="294"/>
      <c r="AH693" s="294"/>
    </row>
    <row r="694" spans="2:34" s="295" customFormat="1">
      <c r="B694" s="287"/>
      <c r="C694" s="288"/>
      <c r="D694" s="289"/>
      <c r="E694" s="290"/>
      <c r="F694" s="291"/>
      <c r="G694" s="291"/>
      <c r="H694" s="291"/>
      <c r="I694" s="291"/>
      <c r="J694" s="291"/>
      <c r="K694" s="291"/>
      <c r="L694" s="291"/>
      <c r="M694" s="291"/>
      <c r="N694" s="291"/>
      <c r="O694" s="292"/>
      <c r="P694" s="291"/>
      <c r="Q694" s="291"/>
      <c r="R694" s="291"/>
      <c r="S694" s="291"/>
      <c r="T694" s="291"/>
      <c r="U694" s="291"/>
      <c r="V694" s="291"/>
      <c r="W694" s="291"/>
      <c r="X694" s="291"/>
      <c r="Y694" s="291"/>
      <c r="Z694" s="291"/>
      <c r="AA694" s="292"/>
      <c r="AB694" s="292"/>
      <c r="AC694" s="293"/>
      <c r="AD694" s="293"/>
      <c r="AE694" s="294"/>
      <c r="AF694" s="294"/>
      <c r="AG694" s="294"/>
      <c r="AH694" s="294"/>
    </row>
    <row r="695" spans="2:34" s="295" customFormat="1">
      <c r="B695" s="287"/>
      <c r="C695" s="288"/>
      <c r="D695" s="289"/>
      <c r="E695" s="290"/>
      <c r="F695" s="291"/>
      <c r="G695" s="291"/>
      <c r="H695" s="291"/>
      <c r="I695" s="291"/>
      <c r="J695" s="291"/>
      <c r="K695" s="291"/>
      <c r="L695" s="291"/>
      <c r="M695" s="291"/>
      <c r="N695" s="291"/>
      <c r="O695" s="292"/>
      <c r="P695" s="291"/>
      <c r="Q695" s="291"/>
      <c r="R695" s="291"/>
      <c r="S695" s="291"/>
      <c r="T695" s="291"/>
      <c r="U695" s="291"/>
      <c r="V695" s="291"/>
      <c r="W695" s="291"/>
      <c r="X695" s="291"/>
      <c r="Y695" s="291"/>
      <c r="Z695" s="291"/>
      <c r="AA695" s="292"/>
      <c r="AB695" s="292"/>
      <c r="AC695" s="293"/>
      <c r="AD695" s="293"/>
      <c r="AE695" s="294"/>
      <c r="AF695" s="294"/>
      <c r="AG695" s="294"/>
      <c r="AH695" s="294"/>
    </row>
    <row r="696" spans="2:34" s="295" customFormat="1">
      <c r="B696" s="287"/>
      <c r="C696" s="288"/>
      <c r="D696" s="289"/>
      <c r="E696" s="290"/>
      <c r="F696" s="291"/>
      <c r="G696" s="291"/>
      <c r="H696" s="291"/>
      <c r="I696" s="291"/>
      <c r="J696" s="291"/>
      <c r="K696" s="291"/>
      <c r="L696" s="291"/>
      <c r="M696" s="291"/>
      <c r="N696" s="291"/>
      <c r="O696" s="292"/>
      <c r="P696" s="291"/>
      <c r="Q696" s="291"/>
      <c r="R696" s="291"/>
      <c r="S696" s="291"/>
      <c r="T696" s="291"/>
      <c r="U696" s="291"/>
      <c r="V696" s="291"/>
      <c r="W696" s="291"/>
      <c r="X696" s="291"/>
      <c r="Y696" s="291"/>
      <c r="Z696" s="291"/>
      <c r="AA696" s="292"/>
      <c r="AB696" s="292"/>
      <c r="AC696" s="293"/>
      <c r="AD696" s="293"/>
      <c r="AE696" s="294"/>
      <c r="AF696" s="294"/>
      <c r="AG696" s="294"/>
      <c r="AH696" s="294"/>
    </row>
    <row r="697" spans="2:34" s="295" customFormat="1">
      <c r="B697" s="287"/>
      <c r="C697" s="288"/>
      <c r="D697" s="289"/>
      <c r="E697" s="290"/>
      <c r="F697" s="291"/>
      <c r="G697" s="291"/>
      <c r="H697" s="291"/>
      <c r="I697" s="291"/>
      <c r="J697" s="291"/>
      <c r="K697" s="291"/>
      <c r="L697" s="291"/>
      <c r="M697" s="291"/>
      <c r="N697" s="291"/>
      <c r="O697" s="292"/>
      <c r="P697" s="291"/>
      <c r="Q697" s="291"/>
      <c r="R697" s="291"/>
      <c r="S697" s="291"/>
      <c r="T697" s="291"/>
      <c r="U697" s="291"/>
      <c r="V697" s="291"/>
      <c r="W697" s="291"/>
      <c r="X697" s="291"/>
      <c r="Y697" s="291"/>
      <c r="Z697" s="291"/>
      <c r="AA697" s="292"/>
      <c r="AB697" s="292"/>
      <c r="AC697" s="293"/>
      <c r="AD697" s="293"/>
      <c r="AE697" s="294"/>
      <c r="AF697" s="294"/>
      <c r="AG697" s="294"/>
      <c r="AH697" s="294"/>
    </row>
    <row r="698" spans="2:34" s="295" customFormat="1">
      <c r="B698" s="287"/>
      <c r="C698" s="288"/>
      <c r="D698" s="289"/>
      <c r="E698" s="290"/>
      <c r="F698" s="291"/>
      <c r="G698" s="291"/>
      <c r="H698" s="291"/>
      <c r="I698" s="291"/>
      <c r="J698" s="291"/>
      <c r="K698" s="291"/>
      <c r="L698" s="291"/>
      <c r="M698" s="291"/>
      <c r="N698" s="291"/>
      <c r="O698" s="292"/>
      <c r="P698" s="291"/>
      <c r="Q698" s="291"/>
      <c r="R698" s="291"/>
      <c r="S698" s="291"/>
      <c r="T698" s="291"/>
      <c r="U698" s="291"/>
      <c r="V698" s="291"/>
      <c r="W698" s="291"/>
      <c r="X698" s="291"/>
      <c r="Y698" s="291"/>
      <c r="Z698" s="291"/>
      <c r="AA698" s="292"/>
      <c r="AB698" s="292"/>
      <c r="AC698" s="293"/>
      <c r="AD698" s="293"/>
      <c r="AE698" s="294"/>
      <c r="AF698" s="294"/>
      <c r="AG698" s="294"/>
      <c r="AH698" s="294"/>
    </row>
    <row r="699" spans="2:34" s="295" customFormat="1">
      <c r="B699" s="287"/>
      <c r="C699" s="288"/>
      <c r="D699" s="289"/>
      <c r="E699" s="290"/>
      <c r="F699" s="291"/>
      <c r="G699" s="291"/>
      <c r="H699" s="291"/>
      <c r="I699" s="291"/>
      <c r="J699" s="291"/>
      <c r="K699" s="291"/>
      <c r="L699" s="291"/>
      <c r="M699" s="291"/>
      <c r="N699" s="291"/>
      <c r="O699" s="292"/>
      <c r="P699" s="291"/>
      <c r="Q699" s="291"/>
      <c r="R699" s="291"/>
      <c r="S699" s="291"/>
      <c r="T699" s="291"/>
      <c r="U699" s="291"/>
      <c r="V699" s="291"/>
      <c r="W699" s="291"/>
      <c r="X699" s="291"/>
      <c r="Y699" s="291"/>
      <c r="Z699" s="291"/>
      <c r="AA699" s="292"/>
      <c r="AB699" s="292"/>
      <c r="AC699" s="293"/>
      <c r="AD699" s="293"/>
      <c r="AE699" s="294"/>
      <c r="AF699" s="294"/>
      <c r="AG699" s="294"/>
      <c r="AH699" s="294"/>
    </row>
    <row r="700" spans="2:34" s="295" customFormat="1">
      <c r="B700" s="287"/>
      <c r="C700" s="288"/>
      <c r="D700" s="289"/>
      <c r="E700" s="290"/>
      <c r="F700" s="291"/>
      <c r="G700" s="291"/>
      <c r="H700" s="291"/>
      <c r="I700" s="291"/>
      <c r="J700" s="291"/>
      <c r="K700" s="291"/>
      <c r="L700" s="291"/>
      <c r="M700" s="291"/>
      <c r="N700" s="291"/>
      <c r="O700" s="292"/>
      <c r="P700" s="291"/>
      <c r="Q700" s="291"/>
      <c r="R700" s="291"/>
      <c r="S700" s="291"/>
      <c r="T700" s="291"/>
      <c r="U700" s="291"/>
      <c r="V700" s="291"/>
      <c r="W700" s="291"/>
      <c r="X700" s="291"/>
      <c r="Y700" s="291"/>
      <c r="Z700" s="291"/>
      <c r="AA700" s="292"/>
      <c r="AB700" s="292"/>
      <c r="AC700" s="293"/>
      <c r="AD700" s="293"/>
      <c r="AE700" s="294"/>
      <c r="AF700" s="294"/>
      <c r="AG700" s="294"/>
      <c r="AH700" s="294"/>
    </row>
    <row r="701" spans="2:34" s="295" customFormat="1">
      <c r="B701" s="287"/>
      <c r="C701" s="288"/>
      <c r="D701" s="289"/>
      <c r="E701" s="290"/>
      <c r="F701" s="291"/>
      <c r="G701" s="291"/>
      <c r="H701" s="291"/>
      <c r="I701" s="291"/>
      <c r="J701" s="291"/>
      <c r="K701" s="291"/>
      <c r="L701" s="291"/>
      <c r="M701" s="291"/>
      <c r="N701" s="291"/>
      <c r="O701" s="292"/>
      <c r="P701" s="291"/>
      <c r="Q701" s="291"/>
      <c r="R701" s="291"/>
      <c r="S701" s="291"/>
      <c r="T701" s="291"/>
      <c r="U701" s="291"/>
      <c r="V701" s="291"/>
      <c r="W701" s="291"/>
      <c r="X701" s="291"/>
      <c r="Y701" s="291"/>
      <c r="Z701" s="291"/>
      <c r="AA701" s="292"/>
      <c r="AB701" s="292"/>
      <c r="AC701" s="293"/>
      <c r="AD701" s="293"/>
      <c r="AE701" s="294"/>
      <c r="AF701" s="294"/>
      <c r="AG701" s="294"/>
      <c r="AH701" s="294"/>
    </row>
    <row r="702" spans="2:34" s="295" customFormat="1">
      <c r="B702" s="287"/>
      <c r="C702" s="288"/>
      <c r="D702" s="289"/>
      <c r="E702" s="290"/>
      <c r="F702" s="291"/>
      <c r="G702" s="291"/>
      <c r="H702" s="291"/>
      <c r="I702" s="291"/>
      <c r="J702" s="291"/>
      <c r="K702" s="291"/>
      <c r="L702" s="291"/>
      <c r="M702" s="291"/>
      <c r="N702" s="291"/>
      <c r="O702" s="292"/>
      <c r="P702" s="291"/>
      <c r="Q702" s="291"/>
      <c r="R702" s="291"/>
      <c r="S702" s="291"/>
      <c r="T702" s="291"/>
      <c r="U702" s="291"/>
      <c r="V702" s="291"/>
      <c r="W702" s="291"/>
      <c r="X702" s="291"/>
      <c r="Y702" s="291"/>
      <c r="Z702" s="291"/>
      <c r="AA702" s="292"/>
      <c r="AB702" s="292"/>
      <c r="AC702" s="293"/>
      <c r="AD702" s="293"/>
      <c r="AE702" s="294"/>
      <c r="AF702" s="294"/>
      <c r="AG702" s="294"/>
      <c r="AH702" s="294"/>
    </row>
    <row r="703" spans="2:34" s="295" customFormat="1">
      <c r="B703" s="287"/>
      <c r="C703" s="288"/>
      <c r="D703" s="289"/>
      <c r="E703" s="290"/>
      <c r="F703" s="291"/>
      <c r="G703" s="291"/>
      <c r="H703" s="291"/>
      <c r="I703" s="291"/>
      <c r="J703" s="291"/>
      <c r="K703" s="291"/>
      <c r="L703" s="291"/>
      <c r="M703" s="291"/>
      <c r="N703" s="291"/>
      <c r="O703" s="292"/>
      <c r="P703" s="291"/>
      <c r="Q703" s="291"/>
      <c r="R703" s="291"/>
      <c r="S703" s="291"/>
      <c r="T703" s="291"/>
      <c r="U703" s="291"/>
      <c r="V703" s="291"/>
      <c r="W703" s="291"/>
      <c r="X703" s="291"/>
      <c r="Y703" s="291"/>
      <c r="Z703" s="291"/>
      <c r="AA703" s="292"/>
      <c r="AB703" s="292"/>
      <c r="AC703" s="293"/>
      <c r="AD703" s="293"/>
      <c r="AE703" s="294"/>
      <c r="AF703" s="294"/>
      <c r="AG703" s="294"/>
      <c r="AH703" s="294"/>
    </row>
    <row r="704" spans="2:34" s="295" customFormat="1">
      <c r="B704" s="287"/>
      <c r="C704" s="288"/>
      <c r="D704" s="289"/>
      <c r="E704" s="290"/>
      <c r="F704" s="291"/>
      <c r="G704" s="291"/>
      <c r="H704" s="291"/>
      <c r="I704" s="291"/>
      <c r="J704" s="291"/>
      <c r="K704" s="291"/>
      <c r="L704" s="291"/>
      <c r="M704" s="291"/>
      <c r="N704" s="291"/>
      <c r="O704" s="292"/>
      <c r="P704" s="291"/>
      <c r="Q704" s="291"/>
      <c r="R704" s="291"/>
      <c r="S704" s="291"/>
      <c r="T704" s="291"/>
      <c r="U704" s="291"/>
      <c r="V704" s="291"/>
      <c r="W704" s="291"/>
      <c r="X704" s="291"/>
      <c r="Y704" s="291"/>
      <c r="Z704" s="291"/>
      <c r="AA704" s="292"/>
      <c r="AB704" s="292"/>
      <c r="AC704" s="293"/>
      <c r="AD704" s="293"/>
      <c r="AE704" s="294"/>
      <c r="AF704" s="294"/>
      <c r="AG704" s="294"/>
      <c r="AH704" s="294"/>
    </row>
    <row r="705" spans="2:34" s="295" customFormat="1">
      <c r="B705" s="287"/>
      <c r="C705" s="288"/>
      <c r="D705" s="289"/>
      <c r="E705" s="290"/>
      <c r="F705" s="291"/>
      <c r="G705" s="291"/>
      <c r="H705" s="291"/>
      <c r="I705" s="291"/>
      <c r="J705" s="291"/>
      <c r="K705" s="291"/>
      <c r="L705" s="291"/>
      <c r="M705" s="291"/>
      <c r="N705" s="291"/>
      <c r="O705" s="292"/>
      <c r="P705" s="291"/>
      <c r="Q705" s="291"/>
      <c r="R705" s="291"/>
      <c r="S705" s="291"/>
      <c r="T705" s="291"/>
      <c r="U705" s="291"/>
      <c r="V705" s="291"/>
      <c r="W705" s="291"/>
      <c r="X705" s="291"/>
      <c r="Y705" s="291"/>
      <c r="Z705" s="291"/>
      <c r="AA705" s="292"/>
      <c r="AB705" s="292"/>
      <c r="AC705" s="293"/>
      <c r="AD705" s="293"/>
      <c r="AE705" s="294"/>
      <c r="AF705" s="294"/>
      <c r="AG705" s="294"/>
      <c r="AH705" s="294"/>
    </row>
    <row r="706" spans="2:34" s="295" customFormat="1">
      <c r="B706" s="287"/>
      <c r="C706" s="288"/>
      <c r="D706" s="289"/>
      <c r="E706" s="290"/>
      <c r="F706" s="291"/>
      <c r="G706" s="291"/>
      <c r="H706" s="291"/>
      <c r="I706" s="291"/>
      <c r="J706" s="291"/>
      <c r="K706" s="291"/>
      <c r="L706" s="291"/>
      <c r="M706" s="291"/>
      <c r="N706" s="291"/>
      <c r="O706" s="292"/>
      <c r="P706" s="291"/>
      <c r="Q706" s="291"/>
      <c r="R706" s="291"/>
      <c r="S706" s="291"/>
      <c r="T706" s="291"/>
      <c r="U706" s="291"/>
      <c r="V706" s="291"/>
      <c r="W706" s="291"/>
      <c r="X706" s="291"/>
      <c r="Y706" s="291"/>
      <c r="Z706" s="291"/>
      <c r="AA706" s="292"/>
      <c r="AB706" s="292"/>
      <c r="AC706" s="293"/>
      <c r="AD706" s="293"/>
      <c r="AE706" s="294"/>
      <c r="AF706" s="294"/>
      <c r="AG706" s="294"/>
      <c r="AH706" s="294"/>
    </row>
    <row r="707" spans="2:34" s="295" customFormat="1">
      <c r="B707" s="287"/>
      <c r="C707" s="288"/>
      <c r="D707" s="289"/>
      <c r="E707" s="290"/>
      <c r="F707" s="291"/>
      <c r="G707" s="291"/>
      <c r="H707" s="291"/>
      <c r="I707" s="291"/>
      <c r="J707" s="291"/>
      <c r="K707" s="291"/>
      <c r="L707" s="291"/>
      <c r="M707" s="291"/>
      <c r="N707" s="291"/>
      <c r="O707" s="292"/>
      <c r="P707" s="291"/>
      <c r="Q707" s="291"/>
      <c r="R707" s="291"/>
      <c r="S707" s="291"/>
      <c r="T707" s="291"/>
      <c r="U707" s="291"/>
      <c r="V707" s="291"/>
      <c r="W707" s="291"/>
      <c r="X707" s="291"/>
      <c r="Y707" s="291"/>
      <c r="Z707" s="291"/>
      <c r="AA707" s="292"/>
      <c r="AB707" s="292"/>
      <c r="AC707" s="293"/>
      <c r="AD707" s="293"/>
      <c r="AE707" s="294"/>
      <c r="AF707" s="294"/>
      <c r="AG707" s="294"/>
      <c r="AH707" s="294"/>
    </row>
    <row r="708" spans="2:34" s="295" customFormat="1">
      <c r="B708" s="287"/>
      <c r="C708" s="288"/>
      <c r="D708" s="289"/>
      <c r="E708" s="290"/>
      <c r="F708" s="291"/>
      <c r="G708" s="291"/>
      <c r="H708" s="291"/>
      <c r="I708" s="291"/>
      <c r="J708" s="291"/>
      <c r="K708" s="291"/>
      <c r="L708" s="291"/>
      <c r="M708" s="291"/>
      <c r="N708" s="291"/>
      <c r="O708" s="292"/>
      <c r="P708" s="291"/>
      <c r="Q708" s="291"/>
      <c r="R708" s="291"/>
      <c r="S708" s="291"/>
      <c r="T708" s="291"/>
      <c r="U708" s="291"/>
      <c r="V708" s="291"/>
      <c r="W708" s="291"/>
      <c r="X708" s="291"/>
      <c r="Y708" s="291"/>
      <c r="Z708" s="291"/>
      <c r="AA708" s="292"/>
      <c r="AB708" s="292"/>
      <c r="AC708" s="293"/>
      <c r="AD708" s="293"/>
      <c r="AE708" s="294"/>
      <c r="AF708" s="294"/>
      <c r="AG708" s="294"/>
      <c r="AH708" s="294"/>
    </row>
    <row r="709" spans="2:34" s="295" customFormat="1">
      <c r="B709" s="287"/>
      <c r="C709" s="288"/>
      <c r="D709" s="289"/>
      <c r="E709" s="290"/>
      <c r="F709" s="291"/>
      <c r="G709" s="291"/>
      <c r="H709" s="291"/>
      <c r="I709" s="291"/>
      <c r="J709" s="291"/>
      <c r="K709" s="291"/>
      <c r="L709" s="291"/>
      <c r="M709" s="291"/>
      <c r="N709" s="291"/>
      <c r="O709" s="292"/>
      <c r="P709" s="291"/>
      <c r="Q709" s="291"/>
      <c r="R709" s="291"/>
      <c r="S709" s="291"/>
      <c r="T709" s="291"/>
      <c r="U709" s="291"/>
      <c r="V709" s="291"/>
      <c r="W709" s="291"/>
      <c r="X709" s="291"/>
      <c r="Y709" s="291"/>
      <c r="Z709" s="291"/>
      <c r="AA709" s="292"/>
      <c r="AB709" s="292"/>
      <c r="AC709" s="293"/>
      <c r="AD709" s="293"/>
      <c r="AE709" s="294"/>
      <c r="AF709" s="294"/>
      <c r="AG709" s="294"/>
      <c r="AH709" s="294"/>
    </row>
    <row r="710" spans="2:34" s="295" customFormat="1">
      <c r="B710" s="287"/>
      <c r="C710" s="288"/>
      <c r="D710" s="289"/>
      <c r="E710" s="290"/>
      <c r="F710" s="291"/>
      <c r="G710" s="291"/>
      <c r="H710" s="291"/>
      <c r="I710" s="291"/>
      <c r="J710" s="291"/>
      <c r="K710" s="291"/>
      <c r="L710" s="291"/>
      <c r="M710" s="291"/>
      <c r="N710" s="291"/>
      <c r="O710" s="292"/>
      <c r="P710" s="291"/>
      <c r="Q710" s="291"/>
      <c r="R710" s="291"/>
      <c r="S710" s="291"/>
      <c r="T710" s="291"/>
      <c r="U710" s="291"/>
      <c r="V710" s="291"/>
      <c r="W710" s="291"/>
      <c r="X710" s="291"/>
      <c r="Y710" s="291"/>
      <c r="Z710" s="291"/>
      <c r="AA710" s="292"/>
      <c r="AB710" s="292"/>
      <c r="AC710" s="293"/>
      <c r="AD710" s="293"/>
      <c r="AE710" s="294"/>
      <c r="AF710" s="294"/>
      <c r="AG710" s="294"/>
      <c r="AH710" s="294"/>
    </row>
    <row r="711" spans="2:34" s="295" customFormat="1">
      <c r="B711" s="287"/>
      <c r="C711" s="288"/>
      <c r="D711" s="289"/>
      <c r="E711" s="290"/>
      <c r="F711" s="291"/>
      <c r="G711" s="291"/>
      <c r="H711" s="291"/>
      <c r="I711" s="291"/>
      <c r="J711" s="291"/>
      <c r="K711" s="291"/>
      <c r="L711" s="291"/>
      <c r="M711" s="291"/>
      <c r="N711" s="291"/>
      <c r="O711" s="292"/>
      <c r="P711" s="291"/>
      <c r="Q711" s="291"/>
      <c r="R711" s="291"/>
      <c r="S711" s="291"/>
      <c r="T711" s="291"/>
      <c r="U711" s="291"/>
      <c r="V711" s="291"/>
      <c r="W711" s="291"/>
      <c r="X711" s="291"/>
      <c r="Y711" s="291"/>
      <c r="Z711" s="291"/>
      <c r="AA711" s="292"/>
      <c r="AB711" s="292"/>
      <c r="AC711" s="293"/>
      <c r="AD711" s="293"/>
      <c r="AE711" s="294"/>
      <c r="AF711" s="294"/>
      <c r="AG711" s="294"/>
      <c r="AH711" s="294"/>
    </row>
    <row r="712" spans="2:34" s="295" customFormat="1">
      <c r="B712" s="287"/>
      <c r="C712" s="288"/>
      <c r="D712" s="289"/>
      <c r="E712" s="290"/>
      <c r="F712" s="291"/>
      <c r="G712" s="291"/>
      <c r="H712" s="291"/>
      <c r="I712" s="291"/>
      <c r="J712" s="291"/>
      <c r="K712" s="291"/>
      <c r="L712" s="291"/>
      <c r="M712" s="291"/>
      <c r="N712" s="291"/>
      <c r="O712" s="292"/>
      <c r="P712" s="291"/>
      <c r="Q712" s="291"/>
      <c r="R712" s="291"/>
      <c r="S712" s="291"/>
      <c r="T712" s="291"/>
      <c r="U712" s="291"/>
      <c r="V712" s="291"/>
      <c r="W712" s="291"/>
      <c r="X712" s="291"/>
      <c r="Y712" s="291"/>
      <c r="Z712" s="291"/>
      <c r="AA712" s="292"/>
      <c r="AB712" s="292"/>
      <c r="AC712" s="293"/>
      <c r="AD712" s="293"/>
      <c r="AE712" s="294"/>
      <c r="AF712" s="294"/>
      <c r="AG712" s="294"/>
      <c r="AH712" s="294"/>
    </row>
    <row r="713" spans="2:34" s="295" customFormat="1">
      <c r="B713" s="287"/>
      <c r="C713" s="288"/>
      <c r="D713" s="289"/>
      <c r="E713" s="290"/>
      <c r="F713" s="291"/>
      <c r="G713" s="291"/>
      <c r="H713" s="291"/>
      <c r="I713" s="291"/>
      <c r="J713" s="291"/>
      <c r="K713" s="291"/>
      <c r="L713" s="291"/>
      <c r="M713" s="291"/>
      <c r="N713" s="291"/>
      <c r="O713" s="292"/>
      <c r="P713" s="291"/>
      <c r="Q713" s="291"/>
      <c r="R713" s="291"/>
      <c r="S713" s="291"/>
      <c r="T713" s="291"/>
      <c r="U713" s="291"/>
      <c r="V713" s="291"/>
      <c r="W713" s="291"/>
      <c r="X713" s="291"/>
      <c r="Y713" s="291"/>
      <c r="Z713" s="291"/>
      <c r="AA713" s="292"/>
      <c r="AB713" s="292"/>
      <c r="AC713" s="293"/>
      <c r="AD713" s="293"/>
      <c r="AE713" s="294"/>
      <c r="AF713" s="294"/>
      <c r="AG713" s="294"/>
      <c r="AH713" s="294"/>
    </row>
    <row r="714" spans="2:34" s="295" customFormat="1">
      <c r="B714" s="287"/>
      <c r="C714" s="288"/>
      <c r="D714" s="289"/>
      <c r="E714" s="290"/>
      <c r="F714" s="291"/>
      <c r="G714" s="291"/>
      <c r="H714" s="291"/>
      <c r="I714" s="291"/>
      <c r="J714" s="291"/>
      <c r="K714" s="291"/>
      <c r="L714" s="291"/>
      <c r="M714" s="291"/>
      <c r="N714" s="291"/>
      <c r="O714" s="292"/>
      <c r="P714" s="291"/>
      <c r="Q714" s="291"/>
      <c r="R714" s="291"/>
      <c r="S714" s="291"/>
      <c r="T714" s="291"/>
      <c r="U714" s="291"/>
      <c r="V714" s="291"/>
      <c r="W714" s="291"/>
      <c r="X714" s="291"/>
      <c r="Y714" s="291"/>
      <c r="Z714" s="291"/>
      <c r="AA714" s="292"/>
      <c r="AB714" s="292"/>
      <c r="AC714" s="293"/>
      <c r="AD714" s="293"/>
      <c r="AE714" s="294"/>
      <c r="AF714" s="294"/>
      <c r="AG714" s="294"/>
      <c r="AH714" s="294"/>
    </row>
    <row r="715" spans="2:34" s="295" customFormat="1">
      <c r="B715" s="287"/>
      <c r="C715" s="288"/>
      <c r="D715" s="289"/>
      <c r="E715" s="290"/>
      <c r="F715" s="291"/>
      <c r="G715" s="291"/>
      <c r="H715" s="291"/>
      <c r="I715" s="291"/>
      <c r="J715" s="291"/>
      <c r="K715" s="291"/>
      <c r="L715" s="291"/>
      <c r="M715" s="291"/>
      <c r="N715" s="291"/>
      <c r="O715" s="292"/>
      <c r="P715" s="291"/>
      <c r="Q715" s="291"/>
      <c r="R715" s="291"/>
      <c r="S715" s="291"/>
      <c r="T715" s="291"/>
      <c r="U715" s="291"/>
      <c r="V715" s="291"/>
      <c r="W715" s="291"/>
      <c r="X715" s="291"/>
      <c r="Y715" s="291"/>
      <c r="Z715" s="291"/>
      <c r="AA715" s="292"/>
      <c r="AB715" s="292"/>
      <c r="AC715" s="293"/>
      <c r="AD715" s="293"/>
      <c r="AE715" s="294"/>
      <c r="AF715" s="294"/>
      <c r="AG715" s="294"/>
      <c r="AH715" s="294"/>
    </row>
    <row r="716" spans="2:34" s="295" customFormat="1">
      <c r="B716" s="287"/>
      <c r="C716" s="288"/>
      <c r="D716" s="289"/>
      <c r="E716" s="290"/>
      <c r="F716" s="291"/>
      <c r="G716" s="291"/>
      <c r="H716" s="291"/>
      <c r="I716" s="291"/>
      <c r="J716" s="291"/>
      <c r="K716" s="291"/>
      <c r="L716" s="291"/>
      <c r="M716" s="291"/>
      <c r="N716" s="291"/>
      <c r="O716" s="292"/>
      <c r="P716" s="291"/>
      <c r="Q716" s="291"/>
      <c r="R716" s="291"/>
      <c r="S716" s="291"/>
      <c r="T716" s="291"/>
      <c r="U716" s="291"/>
      <c r="V716" s="291"/>
      <c r="W716" s="291"/>
      <c r="X716" s="291"/>
      <c r="Y716" s="291"/>
      <c r="Z716" s="291"/>
      <c r="AA716" s="292"/>
      <c r="AB716" s="292"/>
      <c r="AC716" s="293"/>
      <c r="AD716" s="293"/>
      <c r="AE716" s="294"/>
      <c r="AF716" s="294"/>
      <c r="AG716" s="294"/>
      <c r="AH716" s="294"/>
    </row>
    <row r="717" spans="2:34" s="295" customFormat="1">
      <c r="B717" s="287"/>
      <c r="C717" s="288"/>
      <c r="D717" s="289"/>
      <c r="E717" s="290"/>
      <c r="F717" s="291"/>
      <c r="G717" s="291"/>
      <c r="H717" s="291"/>
      <c r="I717" s="291"/>
      <c r="J717" s="291"/>
      <c r="K717" s="291"/>
      <c r="L717" s="291"/>
      <c r="M717" s="291"/>
      <c r="N717" s="291"/>
      <c r="O717" s="292"/>
      <c r="P717" s="291"/>
      <c r="Q717" s="291"/>
      <c r="R717" s="291"/>
      <c r="S717" s="291"/>
      <c r="T717" s="291"/>
      <c r="U717" s="291"/>
      <c r="V717" s="291"/>
      <c r="W717" s="291"/>
      <c r="X717" s="291"/>
      <c r="Y717" s="291"/>
      <c r="Z717" s="291"/>
      <c r="AA717" s="292"/>
      <c r="AB717" s="292"/>
      <c r="AC717" s="293"/>
      <c r="AD717" s="293"/>
      <c r="AE717" s="294"/>
      <c r="AF717" s="294"/>
      <c r="AG717" s="294"/>
      <c r="AH717" s="294"/>
    </row>
    <row r="718" spans="2:34" s="295" customFormat="1">
      <c r="B718" s="287"/>
      <c r="C718" s="288"/>
      <c r="D718" s="289"/>
      <c r="E718" s="290"/>
      <c r="F718" s="291"/>
      <c r="G718" s="291"/>
      <c r="H718" s="291"/>
      <c r="I718" s="291"/>
      <c r="J718" s="291"/>
      <c r="K718" s="291"/>
      <c r="L718" s="291"/>
      <c r="M718" s="291"/>
      <c r="N718" s="291"/>
      <c r="O718" s="292"/>
      <c r="P718" s="291"/>
      <c r="Q718" s="291"/>
      <c r="R718" s="291"/>
      <c r="S718" s="291"/>
      <c r="T718" s="291"/>
      <c r="U718" s="291"/>
      <c r="V718" s="291"/>
      <c r="W718" s="291"/>
      <c r="X718" s="291"/>
      <c r="Y718" s="291"/>
      <c r="Z718" s="291"/>
      <c r="AA718" s="292"/>
      <c r="AB718" s="292"/>
      <c r="AC718" s="293"/>
      <c r="AD718" s="293"/>
      <c r="AE718" s="294"/>
      <c r="AF718" s="294"/>
      <c r="AG718" s="294"/>
      <c r="AH718" s="294"/>
    </row>
    <row r="719" spans="2:34" s="295" customFormat="1">
      <c r="B719" s="287"/>
      <c r="C719" s="288"/>
      <c r="D719" s="289"/>
      <c r="E719" s="290"/>
      <c r="F719" s="291"/>
      <c r="G719" s="291"/>
      <c r="H719" s="291"/>
      <c r="I719" s="291"/>
      <c r="J719" s="291"/>
      <c r="K719" s="291"/>
      <c r="L719" s="291"/>
      <c r="M719" s="291"/>
      <c r="N719" s="291"/>
      <c r="O719" s="292"/>
      <c r="P719" s="291"/>
      <c r="Q719" s="291"/>
      <c r="R719" s="291"/>
      <c r="S719" s="291"/>
      <c r="T719" s="291"/>
      <c r="U719" s="291"/>
      <c r="V719" s="291"/>
      <c r="W719" s="291"/>
      <c r="X719" s="291"/>
      <c r="Y719" s="291"/>
      <c r="Z719" s="291"/>
      <c r="AA719" s="292"/>
      <c r="AB719" s="292"/>
      <c r="AC719" s="293"/>
      <c r="AD719" s="293"/>
      <c r="AE719" s="294"/>
      <c r="AF719" s="294"/>
      <c r="AG719" s="294"/>
      <c r="AH719" s="294"/>
    </row>
    <row r="720" spans="2:34" s="295" customFormat="1">
      <c r="B720" s="287"/>
      <c r="C720" s="288"/>
      <c r="D720" s="289"/>
      <c r="E720" s="290"/>
      <c r="F720" s="291"/>
      <c r="G720" s="291"/>
      <c r="H720" s="291"/>
      <c r="I720" s="291"/>
      <c r="J720" s="291"/>
      <c r="K720" s="291"/>
      <c r="L720" s="291"/>
      <c r="M720" s="291"/>
      <c r="N720" s="291"/>
      <c r="O720" s="292"/>
      <c r="P720" s="291"/>
      <c r="Q720" s="291"/>
      <c r="R720" s="291"/>
      <c r="S720" s="291"/>
      <c r="T720" s="291"/>
      <c r="U720" s="291"/>
      <c r="V720" s="291"/>
      <c r="W720" s="291"/>
      <c r="X720" s="291"/>
      <c r="Y720" s="291"/>
      <c r="Z720" s="291"/>
      <c r="AA720" s="292"/>
      <c r="AB720" s="292"/>
      <c r="AC720" s="293"/>
      <c r="AD720" s="293"/>
      <c r="AE720" s="294"/>
      <c r="AF720" s="294"/>
      <c r="AG720" s="294"/>
      <c r="AH720" s="294"/>
    </row>
    <row r="721" spans="2:34" s="295" customFormat="1">
      <c r="B721" s="287"/>
      <c r="C721" s="288"/>
      <c r="D721" s="289"/>
      <c r="E721" s="290"/>
      <c r="F721" s="291"/>
      <c r="G721" s="291"/>
      <c r="H721" s="291"/>
      <c r="I721" s="291"/>
      <c r="J721" s="291"/>
      <c r="K721" s="291"/>
      <c r="L721" s="291"/>
      <c r="M721" s="291"/>
      <c r="N721" s="291"/>
      <c r="O721" s="292"/>
      <c r="P721" s="291"/>
      <c r="Q721" s="291"/>
      <c r="R721" s="291"/>
      <c r="S721" s="291"/>
      <c r="T721" s="291"/>
      <c r="U721" s="291"/>
      <c r="V721" s="291"/>
      <c r="W721" s="291"/>
      <c r="X721" s="291"/>
      <c r="Y721" s="291"/>
      <c r="Z721" s="291"/>
      <c r="AA721" s="292"/>
      <c r="AB721" s="292"/>
      <c r="AC721" s="293"/>
      <c r="AD721" s="293"/>
      <c r="AE721" s="294"/>
      <c r="AF721" s="294"/>
      <c r="AG721" s="294"/>
      <c r="AH721" s="294"/>
    </row>
    <row r="722" spans="2:34" s="295" customFormat="1">
      <c r="B722" s="287"/>
      <c r="C722" s="288"/>
      <c r="D722" s="289"/>
      <c r="E722" s="290"/>
      <c r="F722" s="291"/>
      <c r="G722" s="291"/>
      <c r="H722" s="291"/>
      <c r="I722" s="291"/>
      <c r="J722" s="291"/>
      <c r="K722" s="291"/>
      <c r="L722" s="291"/>
      <c r="M722" s="291"/>
      <c r="N722" s="291"/>
      <c r="O722" s="292"/>
      <c r="P722" s="291"/>
      <c r="Q722" s="291"/>
      <c r="R722" s="291"/>
      <c r="S722" s="291"/>
      <c r="T722" s="291"/>
      <c r="U722" s="291"/>
      <c r="V722" s="291"/>
      <c r="W722" s="291"/>
      <c r="X722" s="291"/>
      <c r="Y722" s="291"/>
      <c r="Z722" s="291"/>
      <c r="AA722" s="292"/>
      <c r="AB722" s="292"/>
      <c r="AC722" s="293"/>
      <c r="AD722" s="293"/>
      <c r="AE722" s="294"/>
      <c r="AF722" s="294"/>
      <c r="AG722" s="294"/>
      <c r="AH722" s="294"/>
    </row>
    <row r="723" spans="2:34" s="295" customFormat="1">
      <c r="B723" s="287"/>
      <c r="C723" s="288"/>
      <c r="D723" s="289"/>
      <c r="E723" s="290"/>
      <c r="F723" s="291"/>
      <c r="G723" s="291"/>
      <c r="H723" s="291"/>
      <c r="I723" s="291"/>
      <c r="J723" s="291"/>
      <c r="K723" s="291"/>
      <c r="L723" s="291"/>
      <c r="M723" s="291"/>
      <c r="N723" s="291"/>
      <c r="O723" s="292"/>
      <c r="P723" s="291"/>
      <c r="Q723" s="291"/>
      <c r="R723" s="291"/>
      <c r="S723" s="291"/>
      <c r="T723" s="291"/>
      <c r="U723" s="291"/>
      <c r="V723" s="291"/>
      <c r="W723" s="291"/>
      <c r="X723" s="291"/>
      <c r="Y723" s="291"/>
      <c r="Z723" s="291"/>
      <c r="AA723" s="292"/>
      <c r="AB723" s="292"/>
      <c r="AC723" s="293"/>
      <c r="AD723" s="293"/>
      <c r="AE723" s="294"/>
      <c r="AF723" s="294"/>
      <c r="AG723" s="294"/>
      <c r="AH723" s="294"/>
    </row>
    <row r="724" spans="2:34" s="295" customFormat="1">
      <c r="B724" s="287"/>
      <c r="C724" s="288"/>
      <c r="D724" s="289"/>
      <c r="E724" s="290"/>
      <c r="F724" s="291"/>
      <c r="G724" s="291"/>
      <c r="H724" s="291"/>
      <c r="I724" s="291"/>
      <c r="J724" s="291"/>
      <c r="K724" s="291"/>
      <c r="L724" s="291"/>
      <c r="M724" s="291"/>
      <c r="N724" s="291"/>
      <c r="O724" s="292"/>
      <c r="P724" s="291"/>
      <c r="Q724" s="291"/>
      <c r="R724" s="291"/>
      <c r="S724" s="291"/>
      <c r="T724" s="291"/>
      <c r="U724" s="291"/>
      <c r="V724" s="291"/>
      <c r="W724" s="291"/>
      <c r="X724" s="291"/>
      <c r="Y724" s="291"/>
      <c r="Z724" s="291"/>
      <c r="AA724" s="292"/>
      <c r="AB724" s="292"/>
      <c r="AC724" s="293"/>
      <c r="AD724" s="293"/>
      <c r="AE724" s="294"/>
      <c r="AF724" s="294"/>
      <c r="AG724" s="294"/>
      <c r="AH724" s="294"/>
    </row>
    <row r="725" spans="2:34" s="295" customFormat="1">
      <c r="B725" s="287"/>
      <c r="C725" s="288"/>
      <c r="D725" s="289"/>
      <c r="E725" s="290"/>
      <c r="F725" s="291"/>
      <c r="G725" s="291"/>
      <c r="H725" s="291"/>
      <c r="I725" s="291"/>
      <c r="J725" s="291"/>
      <c r="K725" s="291"/>
      <c r="L725" s="291"/>
      <c r="M725" s="291"/>
      <c r="N725" s="291"/>
      <c r="O725" s="292"/>
      <c r="P725" s="291"/>
      <c r="Q725" s="291"/>
      <c r="R725" s="291"/>
      <c r="S725" s="291"/>
      <c r="T725" s="291"/>
      <c r="U725" s="291"/>
      <c r="V725" s="291"/>
      <c r="W725" s="291"/>
      <c r="X725" s="291"/>
      <c r="Y725" s="291"/>
      <c r="Z725" s="291"/>
      <c r="AA725" s="292"/>
      <c r="AB725" s="292"/>
      <c r="AC725" s="293"/>
      <c r="AD725" s="293"/>
      <c r="AE725" s="294"/>
      <c r="AF725" s="294"/>
      <c r="AG725" s="294"/>
      <c r="AH725" s="294"/>
    </row>
    <row r="726" spans="2:34" s="295" customFormat="1">
      <c r="B726" s="287"/>
      <c r="C726" s="288"/>
      <c r="D726" s="289"/>
      <c r="E726" s="290"/>
      <c r="F726" s="291"/>
      <c r="G726" s="291"/>
      <c r="H726" s="291"/>
      <c r="I726" s="291"/>
      <c r="J726" s="291"/>
      <c r="K726" s="291"/>
      <c r="L726" s="291"/>
      <c r="M726" s="291"/>
      <c r="N726" s="291"/>
      <c r="O726" s="292"/>
      <c r="P726" s="291"/>
      <c r="Q726" s="291"/>
      <c r="R726" s="291"/>
      <c r="S726" s="291"/>
      <c r="T726" s="291"/>
      <c r="U726" s="291"/>
      <c r="V726" s="291"/>
      <c r="W726" s="291"/>
      <c r="X726" s="291"/>
      <c r="Y726" s="291"/>
      <c r="Z726" s="291"/>
      <c r="AA726" s="292"/>
      <c r="AB726" s="292"/>
      <c r="AC726" s="293"/>
      <c r="AD726" s="293"/>
      <c r="AE726" s="294"/>
      <c r="AF726" s="294"/>
      <c r="AG726" s="294"/>
      <c r="AH726" s="294"/>
    </row>
    <row r="727" spans="2:34" s="295" customFormat="1">
      <c r="B727" s="287"/>
      <c r="C727" s="288"/>
      <c r="D727" s="289"/>
      <c r="E727" s="290"/>
      <c r="F727" s="291"/>
      <c r="G727" s="291"/>
      <c r="H727" s="291"/>
      <c r="I727" s="291"/>
      <c r="J727" s="291"/>
      <c r="K727" s="291"/>
      <c r="L727" s="291"/>
      <c r="M727" s="291"/>
      <c r="N727" s="291"/>
      <c r="O727" s="292"/>
      <c r="P727" s="291"/>
      <c r="Q727" s="291"/>
      <c r="R727" s="291"/>
      <c r="S727" s="291"/>
      <c r="T727" s="291"/>
      <c r="U727" s="291"/>
      <c r="V727" s="291"/>
      <c r="W727" s="291"/>
      <c r="X727" s="291"/>
      <c r="Y727" s="291"/>
      <c r="Z727" s="291"/>
      <c r="AA727" s="292"/>
      <c r="AB727" s="292"/>
      <c r="AC727" s="293"/>
      <c r="AD727" s="293"/>
      <c r="AE727" s="294"/>
      <c r="AF727" s="294"/>
      <c r="AG727" s="294"/>
      <c r="AH727" s="294"/>
    </row>
    <row r="728" spans="2:34" s="295" customFormat="1">
      <c r="B728" s="287"/>
      <c r="C728" s="288"/>
      <c r="D728" s="289"/>
      <c r="E728" s="290"/>
      <c r="F728" s="291"/>
      <c r="G728" s="291"/>
      <c r="H728" s="291"/>
      <c r="I728" s="291"/>
      <c r="J728" s="291"/>
      <c r="K728" s="291"/>
      <c r="L728" s="291"/>
      <c r="M728" s="291"/>
      <c r="N728" s="291"/>
      <c r="O728" s="292"/>
      <c r="P728" s="291"/>
      <c r="Q728" s="291"/>
      <c r="R728" s="291"/>
      <c r="S728" s="291"/>
      <c r="T728" s="291"/>
      <c r="U728" s="291"/>
      <c r="V728" s="291"/>
      <c r="W728" s="291"/>
      <c r="X728" s="291"/>
      <c r="Y728" s="291"/>
      <c r="Z728" s="291"/>
      <c r="AA728" s="292"/>
      <c r="AB728" s="292"/>
      <c r="AC728" s="293"/>
      <c r="AD728" s="293"/>
      <c r="AE728" s="294"/>
      <c r="AF728" s="294"/>
      <c r="AG728" s="294"/>
      <c r="AH728" s="294"/>
    </row>
    <row r="729" spans="2:34" s="295" customFormat="1">
      <c r="B729" s="287"/>
      <c r="C729" s="288"/>
      <c r="D729" s="289"/>
      <c r="E729" s="290"/>
      <c r="F729" s="291"/>
      <c r="G729" s="291"/>
      <c r="H729" s="291"/>
      <c r="I729" s="291"/>
      <c r="J729" s="291"/>
      <c r="K729" s="291"/>
      <c r="L729" s="291"/>
      <c r="M729" s="291"/>
      <c r="N729" s="291"/>
      <c r="O729" s="292"/>
      <c r="P729" s="291"/>
      <c r="Q729" s="291"/>
      <c r="R729" s="291"/>
      <c r="S729" s="291"/>
      <c r="T729" s="291"/>
      <c r="U729" s="291"/>
      <c r="V729" s="291"/>
      <c r="W729" s="291"/>
      <c r="X729" s="291"/>
      <c r="Y729" s="291"/>
      <c r="Z729" s="291"/>
      <c r="AA729" s="292"/>
      <c r="AB729" s="292"/>
      <c r="AC729" s="293"/>
      <c r="AD729" s="293"/>
      <c r="AE729" s="294"/>
      <c r="AF729" s="294"/>
      <c r="AG729" s="294"/>
      <c r="AH729" s="294"/>
    </row>
    <row r="730" spans="2:34" s="295" customFormat="1">
      <c r="B730" s="287"/>
      <c r="C730" s="288"/>
      <c r="D730" s="289"/>
      <c r="E730" s="290"/>
      <c r="F730" s="291"/>
      <c r="G730" s="291"/>
      <c r="H730" s="291"/>
      <c r="I730" s="291"/>
      <c r="J730" s="291"/>
      <c r="K730" s="291"/>
      <c r="L730" s="291"/>
      <c r="M730" s="291"/>
      <c r="N730" s="291"/>
      <c r="O730" s="292"/>
      <c r="P730" s="291"/>
      <c r="Q730" s="291"/>
      <c r="R730" s="291"/>
      <c r="S730" s="291"/>
      <c r="T730" s="291"/>
      <c r="U730" s="291"/>
      <c r="V730" s="291"/>
      <c r="W730" s="291"/>
      <c r="X730" s="291"/>
      <c r="Y730" s="291"/>
      <c r="Z730" s="291"/>
      <c r="AA730" s="292"/>
      <c r="AB730" s="292"/>
      <c r="AC730" s="293"/>
      <c r="AD730" s="293"/>
      <c r="AE730" s="294"/>
      <c r="AF730" s="294"/>
      <c r="AG730" s="294"/>
      <c r="AH730" s="294"/>
    </row>
    <row r="731" spans="2:34" s="295" customFormat="1">
      <c r="B731" s="287"/>
      <c r="C731" s="288"/>
      <c r="D731" s="289"/>
      <c r="E731" s="290"/>
      <c r="F731" s="291"/>
      <c r="G731" s="291"/>
      <c r="H731" s="291"/>
      <c r="I731" s="291"/>
      <c r="J731" s="291"/>
      <c r="K731" s="291"/>
      <c r="L731" s="291"/>
      <c r="M731" s="291"/>
      <c r="N731" s="291"/>
      <c r="O731" s="292"/>
      <c r="P731" s="291"/>
      <c r="Q731" s="291"/>
      <c r="R731" s="291"/>
      <c r="S731" s="291"/>
      <c r="T731" s="291"/>
      <c r="U731" s="291"/>
      <c r="V731" s="291"/>
      <c r="W731" s="291"/>
      <c r="X731" s="291"/>
      <c r="Y731" s="291"/>
      <c r="Z731" s="291"/>
      <c r="AA731" s="292"/>
      <c r="AB731" s="292"/>
      <c r="AC731" s="293"/>
      <c r="AD731" s="293"/>
      <c r="AE731" s="294"/>
      <c r="AF731" s="294"/>
      <c r="AG731" s="294"/>
      <c r="AH731" s="294"/>
    </row>
    <row r="732" spans="2:34" s="295" customFormat="1">
      <c r="B732" s="287"/>
      <c r="C732" s="288"/>
      <c r="D732" s="289"/>
      <c r="E732" s="290"/>
      <c r="F732" s="291"/>
      <c r="G732" s="291"/>
      <c r="H732" s="291"/>
      <c r="I732" s="291"/>
      <c r="J732" s="291"/>
      <c r="K732" s="291"/>
      <c r="L732" s="291"/>
      <c r="M732" s="291"/>
      <c r="N732" s="291"/>
      <c r="O732" s="292"/>
      <c r="P732" s="291"/>
      <c r="Q732" s="291"/>
      <c r="R732" s="291"/>
      <c r="S732" s="291"/>
      <c r="T732" s="291"/>
      <c r="U732" s="291"/>
      <c r="V732" s="291"/>
      <c r="W732" s="291"/>
      <c r="X732" s="291"/>
      <c r="Y732" s="291"/>
      <c r="Z732" s="291"/>
      <c r="AA732" s="292"/>
      <c r="AB732" s="292"/>
      <c r="AC732" s="293"/>
      <c r="AD732" s="293"/>
      <c r="AE732" s="294"/>
      <c r="AF732" s="294"/>
      <c r="AG732" s="294"/>
      <c r="AH732" s="294"/>
    </row>
    <row r="733" spans="2:34" s="295" customFormat="1">
      <c r="B733" s="287"/>
      <c r="C733" s="288"/>
      <c r="D733" s="289"/>
      <c r="E733" s="290"/>
      <c r="F733" s="291"/>
      <c r="G733" s="291"/>
      <c r="H733" s="291"/>
      <c r="I733" s="291"/>
      <c r="J733" s="291"/>
      <c r="K733" s="291"/>
      <c r="L733" s="291"/>
      <c r="M733" s="291"/>
      <c r="N733" s="291"/>
      <c r="O733" s="292"/>
      <c r="P733" s="291"/>
      <c r="Q733" s="291"/>
      <c r="R733" s="291"/>
      <c r="S733" s="291"/>
      <c r="T733" s="291"/>
      <c r="U733" s="291"/>
      <c r="V733" s="291"/>
      <c r="W733" s="291"/>
      <c r="X733" s="291"/>
      <c r="Y733" s="291"/>
      <c r="Z733" s="291"/>
      <c r="AA733" s="292"/>
      <c r="AB733" s="292"/>
      <c r="AC733" s="293"/>
      <c r="AD733" s="293"/>
      <c r="AE733" s="294"/>
      <c r="AF733" s="294"/>
      <c r="AG733" s="294"/>
      <c r="AH733" s="294"/>
    </row>
    <row r="734" spans="2:34" s="295" customFormat="1">
      <c r="B734" s="287"/>
      <c r="C734" s="288"/>
      <c r="D734" s="289"/>
      <c r="E734" s="290"/>
      <c r="F734" s="291"/>
      <c r="G734" s="291"/>
      <c r="H734" s="291"/>
      <c r="I734" s="291"/>
      <c r="J734" s="291"/>
      <c r="K734" s="291"/>
      <c r="L734" s="291"/>
      <c r="M734" s="291"/>
      <c r="N734" s="291"/>
      <c r="O734" s="292"/>
      <c r="P734" s="291"/>
      <c r="Q734" s="291"/>
      <c r="R734" s="291"/>
      <c r="S734" s="291"/>
      <c r="T734" s="291"/>
      <c r="U734" s="291"/>
      <c r="V734" s="291"/>
      <c r="W734" s="291"/>
      <c r="X734" s="291"/>
      <c r="Y734" s="291"/>
      <c r="Z734" s="291"/>
      <c r="AA734" s="292"/>
      <c r="AB734" s="292"/>
      <c r="AC734" s="293"/>
      <c r="AD734" s="293"/>
      <c r="AE734" s="294"/>
      <c r="AF734" s="294"/>
      <c r="AG734" s="294"/>
      <c r="AH734" s="294"/>
    </row>
    <row r="735" spans="2:34" s="295" customFormat="1">
      <c r="B735" s="287"/>
      <c r="C735" s="288"/>
      <c r="D735" s="289"/>
      <c r="E735" s="290"/>
      <c r="F735" s="291"/>
      <c r="G735" s="291"/>
      <c r="H735" s="291"/>
      <c r="I735" s="291"/>
      <c r="J735" s="291"/>
      <c r="K735" s="291"/>
      <c r="L735" s="291"/>
      <c r="M735" s="291"/>
      <c r="N735" s="291"/>
      <c r="O735" s="292"/>
      <c r="P735" s="291"/>
      <c r="Q735" s="291"/>
      <c r="R735" s="291"/>
      <c r="S735" s="291"/>
      <c r="T735" s="291"/>
      <c r="U735" s="291"/>
      <c r="V735" s="291"/>
      <c r="W735" s="291"/>
      <c r="X735" s="291"/>
      <c r="Y735" s="291"/>
      <c r="Z735" s="291"/>
      <c r="AA735" s="292"/>
      <c r="AB735" s="292"/>
      <c r="AC735" s="293"/>
      <c r="AD735" s="293"/>
      <c r="AE735" s="294"/>
      <c r="AF735" s="294"/>
      <c r="AG735" s="294"/>
      <c r="AH735" s="294"/>
    </row>
    <row r="736" spans="2:34" s="295" customFormat="1">
      <c r="B736" s="287"/>
      <c r="C736" s="288"/>
      <c r="D736" s="289"/>
      <c r="E736" s="290"/>
      <c r="F736" s="291"/>
      <c r="G736" s="291"/>
      <c r="H736" s="291"/>
      <c r="I736" s="291"/>
      <c r="J736" s="291"/>
      <c r="K736" s="291"/>
      <c r="L736" s="291"/>
      <c r="M736" s="291"/>
      <c r="N736" s="291"/>
      <c r="O736" s="292"/>
      <c r="P736" s="291"/>
      <c r="Q736" s="291"/>
      <c r="R736" s="291"/>
      <c r="S736" s="291"/>
      <c r="T736" s="291"/>
      <c r="U736" s="291"/>
      <c r="V736" s="291"/>
      <c r="W736" s="291"/>
      <c r="X736" s="291"/>
      <c r="Y736" s="291"/>
      <c r="Z736" s="291"/>
      <c r="AA736" s="292"/>
      <c r="AB736" s="292"/>
      <c r="AC736" s="293"/>
      <c r="AD736" s="293"/>
      <c r="AE736" s="294"/>
      <c r="AF736" s="294"/>
      <c r="AG736" s="294"/>
      <c r="AH736" s="294"/>
    </row>
    <row r="737" spans="2:34" s="295" customFormat="1">
      <c r="B737" s="287"/>
      <c r="C737" s="288"/>
      <c r="D737" s="289"/>
      <c r="E737" s="290"/>
      <c r="F737" s="291"/>
      <c r="G737" s="291"/>
      <c r="H737" s="291"/>
      <c r="I737" s="291"/>
      <c r="J737" s="291"/>
      <c r="K737" s="291"/>
      <c r="L737" s="291"/>
      <c r="M737" s="291"/>
      <c r="N737" s="291"/>
      <c r="O737" s="292"/>
      <c r="P737" s="291"/>
      <c r="Q737" s="291"/>
      <c r="R737" s="291"/>
      <c r="S737" s="291"/>
      <c r="T737" s="291"/>
      <c r="U737" s="291"/>
      <c r="V737" s="291"/>
      <c r="W737" s="291"/>
      <c r="X737" s="291"/>
      <c r="Y737" s="291"/>
      <c r="Z737" s="291"/>
      <c r="AA737" s="292"/>
      <c r="AB737" s="292"/>
      <c r="AC737" s="293"/>
      <c r="AD737" s="293"/>
      <c r="AE737" s="294"/>
      <c r="AF737" s="294"/>
      <c r="AG737" s="294"/>
      <c r="AH737" s="294"/>
    </row>
    <row r="738" spans="2:34" s="295" customFormat="1">
      <c r="B738" s="287"/>
      <c r="C738" s="288"/>
      <c r="D738" s="289"/>
      <c r="E738" s="290"/>
      <c r="F738" s="291"/>
      <c r="G738" s="291"/>
      <c r="H738" s="291"/>
      <c r="I738" s="291"/>
      <c r="J738" s="291"/>
      <c r="K738" s="291"/>
      <c r="L738" s="291"/>
      <c r="M738" s="291"/>
      <c r="N738" s="291"/>
      <c r="O738" s="292"/>
      <c r="P738" s="291"/>
      <c r="Q738" s="291"/>
      <c r="R738" s="291"/>
      <c r="S738" s="291"/>
      <c r="T738" s="291"/>
      <c r="U738" s="291"/>
      <c r="V738" s="291"/>
      <c r="W738" s="291"/>
      <c r="X738" s="291"/>
      <c r="Y738" s="291"/>
      <c r="Z738" s="291"/>
      <c r="AA738" s="292"/>
      <c r="AB738" s="292"/>
      <c r="AC738" s="293"/>
      <c r="AD738" s="293"/>
      <c r="AE738" s="294"/>
      <c r="AF738" s="294"/>
      <c r="AG738" s="294"/>
      <c r="AH738" s="294"/>
    </row>
    <row r="739" spans="2:34" s="295" customFormat="1">
      <c r="B739" s="287"/>
      <c r="C739" s="288"/>
      <c r="D739" s="289"/>
      <c r="E739" s="290"/>
      <c r="F739" s="291"/>
      <c r="G739" s="291"/>
      <c r="H739" s="291"/>
      <c r="I739" s="291"/>
      <c r="J739" s="291"/>
      <c r="K739" s="291"/>
      <c r="L739" s="291"/>
      <c r="M739" s="291"/>
      <c r="N739" s="291"/>
      <c r="O739" s="292"/>
      <c r="P739" s="291"/>
      <c r="Q739" s="291"/>
      <c r="R739" s="291"/>
      <c r="S739" s="291"/>
      <c r="T739" s="291"/>
      <c r="U739" s="291"/>
      <c r="V739" s="291"/>
      <c r="W739" s="291"/>
      <c r="X739" s="291"/>
      <c r="Y739" s="291"/>
      <c r="Z739" s="291"/>
      <c r="AA739" s="292"/>
      <c r="AB739" s="292"/>
      <c r="AC739" s="293"/>
      <c r="AD739" s="293"/>
      <c r="AE739" s="294"/>
      <c r="AF739" s="294"/>
      <c r="AG739" s="294"/>
      <c r="AH739" s="294"/>
    </row>
    <row r="740" spans="2:34" s="295" customFormat="1">
      <c r="B740" s="287"/>
      <c r="C740" s="288"/>
      <c r="D740" s="289"/>
      <c r="E740" s="290"/>
      <c r="F740" s="291"/>
      <c r="G740" s="291"/>
      <c r="H740" s="291"/>
      <c r="I740" s="291"/>
      <c r="J740" s="291"/>
      <c r="K740" s="291"/>
      <c r="L740" s="291"/>
      <c r="M740" s="291"/>
      <c r="N740" s="291"/>
      <c r="O740" s="292"/>
      <c r="P740" s="291"/>
      <c r="Q740" s="291"/>
      <c r="R740" s="291"/>
      <c r="S740" s="291"/>
      <c r="T740" s="291"/>
      <c r="U740" s="291"/>
      <c r="V740" s="291"/>
      <c r="W740" s="291"/>
      <c r="X740" s="291"/>
      <c r="Y740" s="291"/>
      <c r="Z740" s="291"/>
      <c r="AA740" s="292"/>
      <c r="AB740" s="292"/>
      <c r="AC740" s="293"/>
      <c r="AD740" s="293"/>
      <c r="AE740" s="294"/>
      <c r="AF740" s="294"/>
      <c r="AG740" s="294"/>
      <c r="AH740" s="294"/>
    </row>
    <row r="741" spans="2:34" s="295" customFormat="1">
      <c r="B741" s="287"/>
      <c r="C741" s="288"/>
      <c r="D741" s="289"/>
      <c r="E741" s="290"/>
      <c r="F741" s="291"/>
      <c r="G741" s="291"/>
      <c r="H741" s="291"/>
      <c r="I741" s="291"/>
      <c r="J741" s="291"/>
      <c r="K741" s="291"/>
      <c r="L741" s="291"/>
      <c r="M741" s="291"/>
      <c r="N741" s="291"/>
      <c r="O741" s="292"/>
      <c r="P741" s="291"/>
      <c r="Q741" s="291"/>
      <c r="R741" s="291"/>
      <c r="S741" s="291"/>
      <c r="T741" s="291"/>
      <c r="U741" s="291"/>
      <c r="V741" s="291"/>
      <c r="W741" s="291"/>
      <c r="X741" s="291"/>
      <c r="Y741" s="291"/>
      <c r="Z741" s="291"/>
      <c r="AA741" s="292"/>
      <c r="AB741" s="292"/>
      <c r="AC741" s="293"/>
      <c r="AD741" s="293"/>
      <c r="AE741" s="294"/>
      <c r="AF741" s="294"/>
      <c r="AG741" s="294"/>
      <c r="AH741" s="294"/>
    </row>
    <row r="742" spans="2:34" s="295" customFormat="1">
      <c r="B742" s="287"/>
      <c r="C742" s="288"/>
      <c r="D742" s="289"/>
      <c r="E742" s="290"/>
      <c r="F742" s="291"/>
      <c r="G742" s="291"/>
      <c r="H742" s="291"/>
      <c r="I742" s="291"/>
      <c r="J742" s="291"/>
      <c r="K742" s="291"/>
      <c r="L742" s="291"/>
      <c r="M742" s="291"/>
      <c r="N742" s="291"/>
      <c r="O742" s="292"/>
      <c r="P742" s="291"/>
      <c r="Q742" s="291"/>
      <c r="R742" s="291"/>
      <c r="S742" s="291"/>
      <c r="T742" s="291"/>
      <c r="U742" s="291"/>
      <c r="V742" s="291"/>
      <c r="W742" s="291"/>
      <c r="X742" s="291"/>
      <c r="Y742" s="291"/>
      <c r="Z742" s="291"/>
      <c r="AA742" s="292"/>
      <c r="AB742" s="292"/>
      <c r="AC742" s="293"/>
      <c r="AD742" s="293"/>
      <c r="AE742" s="294"/>
      <c r="AF742" s="294"/>
      <c r="AG742" s="294"/>
      <c r="AH742" s="294"/>
    </row>
    <row r="743" spans="2:34" s="295" customFormat="1">
      <c r="B743" s="287"/>
      <c r="C743" s="288"/>
      <c r="D743" s="289"/>
      <c r="E743" s="290"/>
      <c r="F743" s="291"/>
      <c r="G743" s="291"/>
      <c r="H743" s="291"/>
      <c r="I743" s="291"/>
      <c r="J743" s="291"/>
      <c r="K743" s="291"/>
      <c r="L743" s="291"/>
      <c r="M743" s="291"/>
      <c r="N743" s="291"/>
      <c r="O743" s="292"/>
      <c r="P743" s="291"/>
      <c r="Q743" s="291"/>
      <c r="R743" s="291"/>
      <c r="S743" s="291"/>
      <c r="T743" s="291"/>
      <c r="U743" s="291"/>
      <c r="V743" s="291"/>
      <c r="W743" s="291"/>
      <c r="X743" s="291"/>
      <c r="Y743" s="291"/>
      <c r="Z743" s="291"/>
      <c r="AA743" s="292"/>
      <c r="AB743" s="292"/>
      <c r="AC743" s="293"/>
      <c r="AD743" s="293"/>
      <c r="AE743" s="294"/>
      <c r="AF743" s="294"/>
      <c r="AG743" s="294"/>
      <c r="AH743" s="294"/>
    </row>
    <row r="744" spans="2:34" s="295" customFormat="1">
      <c r="B744" s="287"/>
      <c r="C744" s="288"/>
      <c r="D744" s="289"/>
      <c r="E744" s="290"/>
      <c r="F744" s="291"/>
      <c r="G744" s="291"/>
      <c r="H744" s="291"/>
      <c r="I744" s="291"/>
      <c r="J744" s="291"/>
      <c r="K744" s="291"/>
      <c r="L744" s="291"/>
      <c r="M744" s="291"/>
      <c r="N744" s="291"/>
      <c r="O744" s="292"/>
      <c r="P744" s="291"/>
      <c r="Q744" s="291"/>
      <c r="R744" s="291"/>
      <c r="S744" s="291"/>
      <c r="T744" s="291"/>
      <c r="U744" s="291"/>
      <c r="V744" s="291"/>
      <c r="W744" s="291"/>
      <c r="X744" s="291"/>
      <c r="Y744" s="291"/>
      <c r="Z744" s="291"/>
      <c r="AA744" s="292"/>
      <c r="AB744" s="292"/>
      <c r="AC744" s="293"/>
      <c r="AD744" s="293"/>
      <c r="AE744" s="294"/>
      <c r="AF744" s="294"/>
      <c r="AG744" s="294"/>
      <c r="AH744" s="294"/>
    </row>
    <row r="745" spans="2:34" s="295" customFormat="1">
      <c r="B745" s="287"/>
      <c r="C745" s="288"/>
      <c r="D745" s="289"/>
      <c r="E745" s="290"/>
      <c r="F745" s="291"/>
      <c r="G745" s="291"/>
      <c r="H745" s="291"/>
      <c r="I745" s="291"/>
      <c r="J745" s="291"/>
      <c r="K745" s="291"/>
      <c r="L745" s="291"/>
      <c r="M745" s="291"/>
      <c r="N745" s="291"/>
      <c r="O745" s="292"/>
      <c r="P745" s="291"/>
      <c r="Q745" s="291"/>
      <c r="R745" s="291"/>
      <c r="S745" s="291"/>
      <c r="T745" s="291"/>
      <c r="U745" s="291"/>
      <c r="V745" s="291"/>
      <c r="W745" s="291"/>
      <c r="X745" s="291"/>
      <c r="Y745" s="291"/>
      <c r="Z745" s="291"/>
      <c r="AA745" s="292"/>
      <c r="AB745" s="292"/>
      <c r="AC745" s="293"/>
      <c r="AD745" s="293"/>
      <c r="AE745" s="294"/>
      <c r="AF745" s="294"/>
      <c r="AG745" s="294"/>
      <c r="AH745" s="294"/>
    </row>
    <row r="746" spans="2:34" s="295" customFormat="1">
      <c r="B746" s="287"/>
      <c r="C746" s="288"/>
      <c r="D746" s="289"/>
      <c r="E746" s="290"/>
      <c r="F746" s="291"/>
      <c r="G746" s="291"/>
      <c r="H746" s="291"/>
      <c r="I746" s="291"/>
      <c r="J746" s="291"/>
      <c r="K746" s="291"/>
      <c r="L746" s="291"/>
      <c r="M746" s="291"/>
      <c r="N746" s="291"/>
      <c r="O746" s="292"/>
      <c r="P746" s="291"/>
      <c r="Q746" s="291"/>
      <c r="R746" s="291"/>
      <c r="S746" s="291"/>
      <c r="T746" s="291"/>
      <c r="U746" s="291"/>
      <c r="V746" s="291"/>
      <c r="W746" s="291"/>
      <c r="X746" s="291"/>
      <c r="Y746" s="291"/>
      <c r="Z746" s="291"/>
      <c r="AA746" s="292"/>
      <c r="AB746" s="292"/>
      <c r="AC746" s="293"/>
      <c r="AD746" s="293"/>
      <c r="AE746" s="294"/>
      <c r="AF746" s="294"/>
      <c r="AG746" s="294"/>
      <c r="AH746" s="294"/>
    </row>
    <row r="747" spans="2:34" s="295" customFormat="1">
      <c r="B747" s="287"/>
      <c r="C747" s="288"/>
      <c r="D747" s="289"/>
      <c r="E747" s="290"/>
      <c r="F747" s="291"/>
      <c r="G747" s="291"/>
      <c r="H747" s="291"/>
      <c r="I747" s="291"/>
      <c r="J747" s="291"/>
      <c r="K747" s="291"/>
      <c r="L747" s="291"/>
      <c r="M747" s="291"/>
      <c r="N747" s="291"/>
      <c r="O747" s="292"/>
      <c r="P747" s="291"/>
      <c r="Q747" s="291"/>
      <c r="R747" s="291"/>
      <c r="S747" s="291"/>
      <c r="T747" s="291"/>
      <c r="U747" s="291"/>
      <c r="V747" s="291"/>
      <c r="W747" s="291"/>
      <c r="X747" s="291"/>
      <c r="Y747" s="291"/>
      <c r="Z747" s="291"/>
      <c r="AA747" s="292"/>
      <c r="AB747" s="292"/>
      <c r="AC747" s="293"/>
      <c r="AD747" s="293"/>
      <c r="AE747" s="294"/>
      <c r="AF747" s="294"/>
      <c r="AG747" s="294"/>
      <c r="AH747" s="294"/>
    </row>
    <row r="748" spans="2:34" s="295" customFormat="1">
      <c r="B748" s="287"/>
      <c r="C748" s="288"/>
      <c r="D748" s="289"/>
      <c r="E748" s="290"/>
      <c r="F748" s="291"/>
      <c r="G748" s="291"/>
      <c r="H748" s="291"/>
      <c r="I748" s="291"/>
      <c r="J748" s="291"/>
      <c r="K748" s="291"/>
      <c r="L748" s="291"/>
      <c r="M748" s="291"/>
      <c r="N748" s="291"/>
      <c r="O748" s="292"/>
      <c r="P748" s="291"/>
      <c r="Q748" s="291"/>
      <c r="R748" s="291"/>
      <c r="S748" s="291"/>
      <c r="T748" s="291"/>
      <c r="U748" s="291"/>
      <c r="V748" s="291"/>
      <c r="W748" s="291"/>
      <c r="X748" s="291"/>
      <c r="Y748" s="291"/>
      <c r="Z748" s="291"/>
      <c r="AA748" s="292"/>
      <c r="AB748" s="292"/>
      <c r="AC748" s="293"/>
      <c r="AD748" s="293"/>
      <c r="AE748" s="294"/>
      <c r="AF748" s="294"/>
      <c r="AG748" s="294"/>
      <c r="AH748" s="294"/>
    </row>
    <row r="749" spans="2:34" s="295" customFormat="1">
      <c r="B749" s="287"/>
      <c r="C749" s="288"/>
      <c r="D749" s="289"/>
      <c r="E749" s="290"/>
      <c r="F749" s="291"/>
      <c r="G749" s="291"/>
      <c r="H749" s="291"/>
      <c r="I749" s="291"/>
      <c r="J749" s="291"/>
      <c r="K749" s="291"/>
      <c r="L749" s="291"/>
      <c r="M749" s="291"/>
      <c r="N749" s="291"/>
      <c r="O749" s="292"/>
      <c r="P749" s="291"/>
      <c r="Q749" s="291"/>
      <c r="R749" s="291"/>
      <c r="S749" s="291"/>
      <c r="T749" s="291"/>
      <c r="U749" s="291"/>
      <c r="V749" s="291"/>
      <c r="W749" s="291"/>
      <c r="X749" s="291"/>
      <c r="Y749" s="291"/>
      <c r="Z749" s="291"/>
      <c r="AA749" s="292"/>
      <c r="AB749" s="292"/>
      <c r="AC749" s="293"/>
      <c r="AD749" s="293"/>
      <c r="AE749" s="294"/>
      <c r="AF749" s="294"/>
      <c r="AG749" s="294"/>
      <c r="AH749" s="294"/>
    </row>
    <row r="750" spans="2:34" s="295" customFormat="1">
      <c r="B750" s="287"/>
      <c r="C750" s="288"/>
      <c r="D750" s="289"/>
      <c r="E750" s="290"/>
      <c r="F750" s="291"/>
      <c r="G750" s="291"/>
      <c r="H750" s="291"/>
      <c r="I750" s="291"/>
      <c r="J750" s="291"/>
      <c r="K750" s="291"/>
      <c r="L750" s="291"/>
      <c r="M750" s="291"/>
      <c r="N750" s="291"/>
      <c r="O750" s="292"/>
      <c r="P750" s="291"/>
      <c r="Q750" s="291"/>
      <c r="R750" s="291"/>
      <c r="S750" s="291"/>
      <c r="T750" s="291"/>
      <c r="U750" s="291"/>
      <c r="V750" s="291"/>
      <c r="W750" s="291"/>
      <c r="X750" s="291"/>
      <c r="Y750" s="291"/>
      <c r="Z750" s="291"/>
      <c r="AA750" s="292"/>
      <c r="AB750" s="292"/>
      <c r="AC750" s="293"/>
      <c r="AD750" s="293"/>
      <c r="AE750" s="294"/>
      <c r="AF750" s="294"/>
      <c r="AG750" s="294"/>
      <c r="AH750" s="294"/>
    </row>
    <row r="751" spans="2:34" s="295" customFormat="1">
      <c r="B751" s="287"/>
      <c r="C751" s="288"/>
      <c r="D751" s="289"/>
      <c r="E751" s="290"/>
      <c r="F751" s="291"/>
      <c r="G751" s="291"/>
      <c r="H751" s="291"/>
      <c r="I751" s="291"/>
      <c r="J751" s="291"/>
      <c r="K751" s="291"/>
      <c r="L751" s="291"/>
      <c r="M751" s="291"/>
      <c r="N751" s="291"/>
      <c r="O751" s="292"/>
      <c r="P751" s="291"/>
      <c r="Q751" s="291"/>
      <c r="R751" s="291"/>
      <c r="S751" s="291"/>
      <c r="T751" s="291"/>
      <c r="U751" s="291"/>
      <c r="V751" s="291"/>
      <c r="W751" s="291"/>
      <c r="X751" s="291"/>
      <c r="Y751" s="291"/>
      <c r="Z751" s="291"/>
      <c r="AA751" s="292"/>
      <c r="AB751" s="292"/>
      <c r="AC751" s="293"/>
      <c r="AD751" s="293"/>
      <c r="AE751" s="294"/>
      <c r="AF751" s="294"/>
      <c r="AG751" s="294"/>
      <c r="AH751" s="294"/>
    </row>
    <row r="752" spans="2:34" s="295" customFormat="1">
      <c r="B752" s="287"/>
      <c r="C752" s="288"/>
      <c r="D752" s="289"/>
      <c r="E752" s="290"/>
      <c r="F752" s="291"/>
      <c r="G752" s="291"/>
      <c r="H752" s="291"/>
      <c r="I752" s="291"/>
      <c r="J752" s="291"/>
      <c r="K752" s="291"/>
      <c r="L752" s="291"/>
      <c r="M752" s="291"/>
      <c r="N752" s="291"/>
      <c r="O752" s="292"/>
      <c r="P752" s="291"/>
      <c r="Q752" s="291"/>
      <c r="R752" s="291"/>
      <c r="S752" s="291"/>
      <c r="T752" s="291"/>
      <c r="U752" s="291"/>
      <c r="V752" s="291"/>
      <c r="W752" s="291"/>
      <c r="X752" s="291"/>
      <c r="Y752" s="291"/>
      <c r="Z752" s="291"/>
      <c r="AA752" s="292"/>
      <c r="AB752" s="292"/>
      <c r="AC752" s="293"/>
      <c r="AD752" s="293"/>
      <c r="AE752" s="294"/>
      <c r="AF752" s="294"/>
      <c r="AG752" s="294"/>
      <c r="AH752" s="294"/>
    </row>
    <row r="753" spans="2:34" s="295" customFormat="1">
      <c r="B753" s="287"/>
      <c r="C753" s="288"/>
      <c r="D753" s="289"/>
      <c r="E753" s="290"/>
      <c r="F753" s="291"/>
      <c r="G753" s="291"/>
      <c r="H753" s="291"/>
      <c r="I753" s="291"/>
      <c r="J753" s="291"/>
      <c r="K753" s="291"/>
      <c r="L753" s="291"/>
      <c r="M753" s="291"/>
      <c r="N753" s="291"/>
      <c r="O753" s="292"/>
      <c r="P753" s="291"/>
      <c r="Q753" s="291"/>
      <c r="R753" s="291"/>
      <c r="S753" s="291"/>
      <c r="T753" s="291"/>
      <c r="U753" s="291"/>
      <c r="V753" s="291"/>
      <c r="W753" s="291"/>
      <c r="X753" s="291"/>
      <c r="Y753" s="291"/>
      <c r="Z753" s="291"/>
      <c r="AA753" s="292"/>
      <c r="AB753" s="292"/>
      <c r="AC753" s="293"/>
      <c r="AD753" s="293"/>
      <c r="AE753" s="294"/>
      <c r="AF753" s="294"/>
      <c r="AG753" s="294"/>
      <c r="AH753" s="294"/>
    </row>
    <row r="754" spans="2:34" s="295" customFormat="1">
      <c r="B754" s="287"/>
      <c r="C754" s="288"/>
      <c r="D754" s="289"/>
      <c r="E754" s="290"/>
      <c r="F754" s="291"/>
      <c r="G754" s="291"/>
      <c r="H754" s="291"/>
      <c r="I754" s="291"/>
      <c r="J754" s="291"/>
      <c r="K754" s="291"/>
      <c r="L754" s="291"/>
      <c r="M754" s="291"/>
      <c r="N754" s="291"/>
      <c r="O754" s="292"/>
      <c r="P754" s="291"/>
      <c r="Q754" s="291"/>
      <c r="R754" s="291"/>
      <c r="S754" s="291"/>
      <c r="T754" s="291"/>
      <c r="U754" s="291"/>
      <c r="V754" s="291"/>
      <c r="W754" s="291"/>
      <c r="X754" s="291"/>
      <c r="Y754" s="291"/>
      <c r="Z754" s="291"/>
      <c r="AA754" s="292"/>
      <c r="AB754" s="292"/>
      <c r="AC754" s="293"/>
      <c r="AD754" s="293"/>
      <c r="AE754" s="294"/>
      <c r="AF754" s="294"/>
      <c r="AG754" s="294"/>
      <c r="AH754" s="294"/>
    </row>
    <row r="755" spans="2:34" s="295" customFormat="1">
      <c r="B755" s="287"/>
      <c r="C755" s="288"/>
      <c r="D755" s="289"/>
      <c r="E755" s="290"/>
      <c r="F755" s="291"/>
      <c r="G755" s="291"/>
      <c r="H755" s="291"/>
      <c r="I755" s="291"/>
      <c r="J755" s="291"/>
      <c r="K755" s="291"/>
      <c r="L755" s="291"/>
      <c r="M755" s="291"/>
      <c r="N755" s="291"/>
      <c r="O755" s="292"/>
      <c r="P755" s="291"/>
      <c r="Q755" s="291"/>
      <c r="R755" s="291"/>
      <c r="S755" s="291"/>
      <c r="T755" s="291"/>
      <c r="U755" s="291"/>
      <c r="V755" s="291"/>
      <c r="W755" s="291"/>
      <c r="X755" s="291"/>
      <c r="Y755" s="291"/>
      <c r="Z755" s="291"/>
      <c r="AA755" s="292"/>
      <c r="AB755" s="292"/>
      <c r="AC755" s="293"/>
      <c r="AD755" s="293"/>
      <c r="AE755" s="294"/>
      <c r="AF755" s="294"/>
      <c r="AG755" s="294"/>
      <c r="AH755" s="294"/>
    </row>
    <row r="756" spans="2:34" s="295" customFormat="1">
      <c r="B756" s="287"/>
      <c r="C756" s="288"/>
      <c r="D756" s="289"/>
      <c r="E756" s="290"/>
      <c r="F756" s="291"/>
      <c r="G756" s="291"/>
      <c r="H756" s="291"/>
      <c r="I756" s="291"/>
      <c r="J756" s="291"/>
      <c r="K756" s="291"/>
      <c r="L756" s="291"/>
      <c r="M756" s="291"/>
      <c r="N756" s="291"/>
      <c r="O756" s="292"/>
      <c r="P756" s="291"/>
      <c r="Q756" s="291"/>
      <c r="R756" s="291"/>
      <c r="S756" s="291"/>
      <c r="T756" s="291"/>
      <c r="U756" s="291"/>
      <c r="V756" s="291"/>
      <c r="W756" s="291"/>
      <c r="X756" s="291"/>
      <c r="Y756" s="291"/>
      <c r="Z756" s="291"/>
      <c r="AA756" s="292"/>
      <c r="AB756" s="292"/>
      <c r="AC756" s="293"/>
      <c r="AD756" s="293"/>
      <c r="AE756" s="294"/>
      <c r="AF756" s="294"/>
      <c r="AG756" s="294"/>
      <c r="AH756" s="294"/>
    </row>
    <row r="757" spans="2:34" s="295" customFormat="1">
      <c r="B757" s="287"/>
      <c r="C757" s="288"/>
      <c r="D757" s="289"/>
      <c r="E757" s="290"/>
      <c r="F757" s="291"/>
      <c r="G757" s="291"/>
      <c r="H757" s="291"/>
      <c r="I757" s="291"/>
      <c r="J757" s="291"/>
      <c r="K757" s="291"/>
      <c r="L757" s="291"/>
      <c r="M757" s="291"/>
      <c r="N757" s="291"/>
      <c r="O757" s="292"/>
      <c r="P757" s="291"/>
      <c r="Q757" s="291"/>
      <c r="R757" s="291"/>
      <c r="S757" s="291"/>
      <c r="T757" s="291"/>
      <c r="U757" s="291"/>
      <c r="V757" s="291"/>
      <c r="W757" s="291"/>
      <c r="X757" s="291"/>
      <c r="Y757" s="291"/>
      <c r="Z757" s="291"/>
      <c r="AA757" s="292"/>
      <c r="AB757" s="292"/>
      <c r="AC757" s="293"/>
      <c r="AD757" s="293"/>
      <c r="AE757" s="294"/>
      <c r="AF757" s="294"/>
      <c r="AG757" s="294"/>
      <c r="AH757" s="294"/>
    </row>
    <row r="758" spans="2:34" s="295" customFormat="1">
      <c r="B758" s="287"/>
      <c r="C758" s="288"/>
      <c r="D758" s="289"/>
      <c r="E758" s="290"/>
      <c r="F758" s="291"/>
      <c r="G758" s="291"/>
      <c r="H758" s="291"/>
      <c r="I758" s="291"/>
      <c r="J758" s="291"/>
      <c r="K758" s="291"/>
      <c r="L758" s="291"/>
      <c r="M758" s="291"/>
      <c r="N758" s="291"/>
      <c r="O758" s="292"/>
      <c r="P758" s="291"/>
      <c r="Q758" s="291"/>
      <c r="R758" s="291"/>
      <c r="S758" s="291"/>
      <c r="T758" s="291"/>
      <c r="U758" s="291"/>
      <c r="V758" s="291"/>
      <c r="W758" s="291"/>
      <c r="X758" s="291"/>
      <c r="Y758" s="291"/>
      <c r="Z758" s="291"/>
      <c r="AA758" s="292"/>
      <c r="AB758" s="292"/>
      <c r="AC758" s="293"/>
      <c r="AD758" s="293"/>
      <c r="AE758" s="294"/>
      <c r="AF758" s="294"/>
      <c r="AG758" s="294"/>
      <c r="AH758" s="294"/>
    </row>
    <row r="759" spans="2:34" s="295" customFormat="1">
      <c r="B759" s="287"/>
      <c r="C759" s="288"/>
      <c r="D759" s="289"/>
      <c r="E759" s="290"/>
      <c r="F759" s="291"/>
      <c r="G759" s="291"/>
      <c r="H759" s="291"/>
      <c r="I759" s="291"/>
      <c r="J759" s="291"/>
      <c r="K759" s="291"/>
      <c r="L759" s="291"/>
      <c r="M759" s="291"/>
      <c r="N759" s="291"/>
      <c r="O759" s="292"/>
      <c r="P759" s="291"/>
      <c r="Q759" s="291"/>
      <c r="R759" s="291"/>
      <c r="S759" s="291"/>
      <c r="T759" s="291"/>
      <c r="U759" s="291"/>
      <c r="V759" s="291"/>
      <c r="W759" s="291"/>
      <c r="X759" s="291"/>
      <c r="Y759" s="291"/>
      <c r="Z759" s="291"/>
      <c r="AA759" s="292"/>
      <c r="AB759" s="292"/>
      <c r="AC759" s="293"/>
      <c r="AD759" s="293"/>
      <c r="AE759" s="294"/>
      <c r="AF759" s="294"/>
      <c r="AG759" s="294"/>
      <c r="AH759" s="294"/>
    </row>
    <row r="760" spans="2:34" s="295" customFormat="1">
      <c r="B760" s="287"/>
      <c r="C760" s="288"/>
      <c r="D760" s="289"/>
      <c r="E760" s="290"/>
      <c r="F760" s="291"/>
      <c r="G760" s="291"/>
      <c r="H760" s="291"/>
      <c r="I760" s="291"/>
      <c r="J760" s="291"/>
      <c r="K760" s="291"/>
      <c r="L760" s="291"/>
      <c r="M760" s="291"/>
      <c r="N760" s="291"/>
      <c r="O760" s="292"/>
      <c r="P760" s="291"/>
      <c r="Q760" s="291"/>
      <c r="R760" s="291"/>
      <c r="S760" s="291"/>
      <c r="T760" s="291"/>
      <c r="U760" s="291"/>
      <c r="V760" s="291"/>
      <c r="W760" s="291"/>
      <c r="X760" s="291"/>
      <c r="Y760" s="291"/>
      <c r="Z760" s="291"/>
      <c r="AA760" s="292"/>
      <c r="AB760" s="292"/>
      <c r="AC760" s="293"/>
      <c r="AD760" s="293"/>
      <c r="AE760" s="294"/>
      <c r="AF760" s="294"/>
      <c r="AG760" s="294"/>
      <c r="AH760" s="294"/>
    </row>
    <row r="761" spans="2:34" s="295" customFormat="1">
      <c r="B761" s="287"/>
      <c r="C761" s="288"/>
      <c r="D761" s="289"/>
      <c r="E761" s="290"/>
      <c r="F761" s="291"/>
      <c r="G761" s="291"/>
      <c r="H761" s="291"/>
      <c r="I761" s="291"/>
      <c r="J761" s="291"/>
      <c r="K761" s="291"/>
      <c r="L761" s="291"/>
      <c r="M761" s="291"/>
      <c r="N761" s="291"/>
      <c r="O761" s="292"/>
      <c r="P761" s="291"/>
      <c r="Q761" s="291"/>
      <c r="R761" s="291"/>
      <c r="S761" s="291"/>
      <c r="T761" s="291"/>
      <c r="U761" s="291"/>
      <c r="V761" s="291"/>
      <c r="W761" s="291"/>
      <c r="X761" s="291"/>
      <c r="Y761" s="291"/>
      <c r="Z761" s="291"/>
      <c r="AA761" s="292"/>
      <c r="AB761" s="292"/>
      <c r="AC761" s="293"/>
      <c r="AD761" s="293"/>
      <c r="AE761" s="294"/>
      <c r="AF761" s="294"/>
      <c r="AG761" s="294"/>
      <c r="AH761" s="294"/>
    </row>
    <row r="762" spans="2:34" s="295" customFormat="1">
      <c r="B762" s="287"/>
      <c r="C762" s="288"/>
      <c r="D762" s="289"/>
      <c r="E762" s="290"/>
      <c r="F762" s="291"/>
      <c r="G762" s="291"/>
      <c r="H762" s="291"/>
      <c r="I762" s="291"/>
      <c r="J762" s="291"/>
      <c r="K762" s="291"/>
      <c r="L762" s="291"/>
      <c r="M762" s="291"/>
      <c r="N762" s="291"/>
      <c r="O762" s="292"/>
      <c r="P762" s="291"/>
      <c r="Q762" s="291"/>
      <c r="R762" s="291"/>
      <c r="S762" s="291"/>
      <c r="T762" s="291"/>
      <c r="U762" s="291"/>
      <c r="V762" s="291"/>
      <c r="W762" s="291"/>
      <c r="X762" s="291"/>
      <c r="Y762" s="291"/>
      <c r="Z762" s="291"/>
      <c r="AA762" s="292"/>
      <c r="AB762" s="292"/>
      <c r="AC762" s="293"/>
      <c r="AD762" s="293"/>
      <c r="AE762" s="294"/>
      <c r="AF762" s="294"/>
      <c r="AG762" s="294"/>
      <c r="AH762" s="294"/>
    </row>
    <row r="763" spans="2:34" s="295" customFormat="1">
      <c r="B763" s="287"/>
      <c r="C763" s="288"/>
      <c r="D763" s="289"/>
      <c r="E763" s="290"/>
      <c r="F763" s="291"/>
      <c r="G763" s="291"/>
      <c r="H763" s="291"/>
      <c r="I763" s="291"/>
      <c r="J763" s="291"/>
      <c r="K763" s="291"/>
      <c r="L763" s="291"/>
      <c r="M763" s="291"/>
      <c r="N763" s="291"/>
      <c r="O763" s="292"/>
      <c r="P763" s="291"/>
      <c r="Q763" s="291"/>
      <c r="R763" s="291"/>
      <c r="S763" s="291"/>
      <c r="T763" s="291"/>
      <c r="U763" s="291"/>
      <c r="V763" s="291"/>
      <c r="W763" s="291"/>
      <c r="X763" s="291"/>
      <c r="Y763" s="291"/>
      <c r="Z763" s="291"/>
      <c r="AA763" s="292"/>
      <c r="AB763" s="292"/>
      <c r="AC763" s="293"/>
      <c r="AD763" s="293"/>
      <c r="AE763" s="294"/>
      <c r="AF763" s="294"/>
      <c r="AG763" s="294"/>
      <c r="AH763" s="294"/>
    </row>
    <row r="764" spans="2:34" s="295" customFormat="1">
      <c r="B764" s="287"/>
      <c r="C764" s="288"/>
      <c r="D764" s="289"/>
      <c r="E764" s="290"/>
      <c r="F764" s="291"/>
      <c r="G764" s="291"/>
      <c r="H764" s="291"/>
      <c r="I764" s="291"/>
      <c r="J764" s="291"/>
      <c r="K764" s="291"/>
      <c r="L764" s="291"/>
      <c r="M764" s="291"/>
      <c r="N764" s="291"/>
      <c r="O764" s="292"/>
      <c r="P764" s="291"/>
      <c r="Q764" s="291"/>
      <c r="R764" s="291"/>
      <c r="S764" s="291"/>
      <c r="T764" s="291"/>
      <c r="U764" s="291"/>
      <c r="V764" s="291"/>
      <c r="W764" s="291"/>
      <c r="X764" s="291"/>
      <c r="Y764" s="291"/>
      <c r="Z764" s="291"/>
      <c r="AA764" s="292"/>
      <c r="AB764" s="292"/>
      <c r="AC764" s="293"/>
      <c r="AD764" s="293"/>
      <c r="AE764" s="294"/>
      <c r="AF764" s="294"/>
      <c r="AG764" s="294"/>
      <c r="AH764" s="294"/>
    </row>
    <row r="765" spans="2:34" s="295" customFormat="1">
      <c r="B765" s="287"/>
      <c r="C765" s="288"/>
      <c r="D765" s="289"/>
      <c r="E765" s="290"/>
      <c r="F765" s="291"/>
      <c r="G765" s="291"/>
      <c r="H765" s="291"/>
      <c r="I765" s="291"/>
      <c r="J765" s="291"/>
      <c r="K765" s="291"/>
      <c r="L765" s="291"/>
      <c r="M765" s="291"/>
      <c r="N765" s="291"/>
      <c r="O765" s="292"/>
      <c r="P765" s="291"/>
      <c r="Q765" s="291"/>
      <c r="R765" s="291"/>
      <c r="S765" s="291"/>
      <c r="T765" s="291"/>
      <c r="U765" s="291"/>
      <c r="V765" s="291"/>
      <c r="W765" s="291"/>
      <c r="X765" s="291"/>
      <c r="Y765" s="291"/>
      <c r="Z765" s="291"/>
      <c r="AA765" s="292"/>
      <c r="AB765" s="292"/>
      <c r="AC765" s="293"/>
      <c r="AD765" s="293"/>
      <c r="AE765" s="294"/>
      <c r="AF765" s="294"/>
      <c r="AG765" s="294"/>
      <c r="AH765" s="294"/>
    </row>
    <row r="766" spans="2:34" s="295" customFormat="1">
      <c r="B766" s="287"/>
      <c r="C766" s="288"/>
      <c r="D766" s="289"/>
      <c r="E766" s="290"/>
      <c r="F766" s="291"/>
      <c r="G766" s="291"/>
      <c r="H766" s="291"/>
      <c r="I766" s="291"/>
      <c r="J766" s="291"/>
      <c r="K766" s="291"/>
      <c r="L766" s="291"/>
      <c r="M766" s="291"/>
      <c r="N766" s="291"/>
      <c r="O766" s="292"/>
      <c r="P766" s="291"/>
      <c r="Q766" s="291"/>
      <c r="R766" s="291"/>
      <c r="S766" s="291"/>
      <c r="T766" s="291"/>
      <c r="U766" s="291"/>
      <c r="V766" s="291"/>
      <c r="W766" s="291"/>
      <c r="X766" s="291"/>
      <c r="Y766" s="291"/>
      <c r="Z766" s="291"/>
      <c r="AA766" s="292"/>
      <c r="AB766" s="292"/>
      <c r="AC766" s="293"/>
      <c r="AD766" s="293"/>
      <c r="AE766" s="294"/>
      <c r="AF766" s="294"/>
      <c r="AG766" s="294"/>
      <c r="AH766" s="294"/>
    </row>
    <row r="767" spans="2:34" s="295" customFormat="1">
      <c r="B767" s="287"/>
      <c r="C767" s="288"/>
      <c r="D767" s="289"/>
      <c r="E767" s="290"/>
      <c r="F767" s="291"/>
      <c r="G767" s="291"/>
      <c r="H767" s="291"/>
      <c r="I767" s="291"/>
      <c r="J767" s="291"/>
      <c r="K767" s="291"/>
      <c r="L767" s="291"/>
      <c r="M767" s="291"/>
      <c r="N767" s="291"/>
      <c r="O767" s="292"/>
      <c r="P767" s="291"/>
      <c r="Q767" s="291"/>
      <c r="R767" s="291"/>
      <c r="S767" s="291"/>
      <c r="T767" s="291"/>
      <c r="U767" s="291"/>
      <c r="V767" s="291"/>
      <c r="W767" s="291"/>
      <c r="X767" s="291"/>
      <c r="Y767" s="291"/>
      <c r="Z767" s="291"/>
      <c r="AA767" s="292"/>
      <c r="AB767" s="292"/>
      <c r="AC767" s="293"/>
      <c r="AD767" s="293"/>
      <c r="AE767" s="294"/>
      <c r="AF767" s="294"/>
      <c r="AG767" s="294"/>
      <c r="AH767" s="294"/>
    </row>
    <row r="768" spans="2:34" s="295" customFormat="1">
      <c r="B768" s="287"/>
      <c r="C768" s="288"/>
      <c r="D768" s="289"/>
      <c r="E768" s="290"/>
      <c r="F768" s="291"/>
      <c r="G768" s="291"/>
      <c r="H768" s="291"/>
      <c r="I768" s="291"/>
      <c r="J768" s="291"/>
      <c r="K768" s="291"/>
      <c r="L768" s="291"/>
      <c r="M768" s="291"/>
      <c r="N768" s="291"/>
      <c r="O768" s="292"/>
      <c r="P768" s="291"/>
      <c r="Q768" s="291"/>
      <c r="R768" s="291"/>
      <c r="S768" s="291"/>
      <c r="T768" s="291"/>
      <c r="U768" s="291"/>
      <c r="V768" s="291"/>
      <c r="W768" s="291"/>
      <c r="X768" s="291"/>
      <c r="Y768" s="291"/>
      <c r="Z768" s="291"/>
      <c r="AA768" s="292"/>
      <c r="AB768" s="292"/>
      <c r="AC768" s="293"/>
      <c r="AD768" s="293"/>
      <c r="AE768" s="294"/>
      <c r="AF768" s="294"/>
      <c r="AG768" s="294"/>
      <c r="AH768" s="294"/>
    </row>
    <row r="769" spans="2:34" s="295" customFormat="1">
      <c r="B769" s="287"/>
      <c r="C769" s="288"/>
      <c r="D769" s="289"/>
      <c r="E769" s="290"/>
      <c r="F769" s="291"/>
      <c r="G769" s="291"/>
      <c r="H769" s="291"/>
      <c r="I769" s="291"/>
      <c r="J769" s="291"/>
      <c r="K769" s="291"/>
      <c r="L769" s="291"/>
      <c r="M769" s="291"/>
      <c r="N769" s="291"/>
      <c r="O769" s="292"/>
      <c r="P769" s="291"/>
      <c r="Q769" s="291"/>
      <c r="R769" s="291"/>
      <c r="S769" s="291"/>
      <c r="T769" s="291"/>
      <c r="U769" s="291"/>
      <c r="V769" s="291"/>
      <c r="W769" s="291"/>
      <c r="X769" s="291"/>
      <c r="Y769" s="291"/>
      <c r="Z769" s="291"/>
      <c r="AA769" s="292"/>
      <c r="AB769" s="292"/>
      <c r="AC769" s="293"/>
      <c r="AD769" s="293"/>
      <c r="AE769" s="294"/>
      <c r="AF769" s="294"/>
      <c r="AG769" s="294"/>
      <c r="AH769" s="294"/>
    </row>
    <row r="770" spans="2:34" s="295" customFormat="1">
      <c r="B770" s="287"/>
      <c r="C770" s="288"/>
      <c r="D770" s="289"/>
      <c r="E770" s="290"/>
      <c r="F770" s="291"/>
      <c r="G770" s="291"/>
      <c r="H770" s="291"/>
      <c r="I770" s="291"/>
      <c r="J770" s="291"/>
      <c r="K770" s="291"/>
      <c r="L770" s="291"/>
      <c r="M770" s="291"/>
      <c r="N770" s="291"/>
      <c r="O770" s="292"/>
      <c r="P770" s="291"/>
      <c r="Q770" s="291"/>
      <c r="R770" s="291"/>
      <c r="S770" s="291"/>
      <c r="T770" s="291"/>
      <c r="U770" s="291"/>
      <c r="V770" s="291"/>
      <c r="W770" s="291"/>
      <c r="X770" s="291"/>
      <c r="Y770" s="291"/>
      <c r="Z770" s="291"/>
      <c r="AA770" s="292"/>
      <c r="AB770" s="292"/>
      <c r="AC770" s="293"/>
      <c r="AD770" s="293"/>
      <c r="AE770" s="294"/>
      <c r="AF770" s="294"/>
      <c r="AG770" s="294"/>
      <c r="AH770" s="294"/>
    </row>
    <row r="771" spans="2:34" s="295" customFormat="1">
      <c r="B771" s="287"/>
      <c r="C771" s="288"/>
      <c r="D771" s="289"/>
      <c r="E771" s="290"/>
      <c r="F771" s="291"/>
      <c r="G771" s="291"/>
      <c r="H771" s="291"/>
      <c r="I771" s="291"/>
      <c r="J771" s="291"/>
      <c r="K771" s="291"/>
      <c r="L771" s="291"/>
      <c r="M771" s="291"/>
      <c r="N771" s="291"/>
      <c r="O771" s="292"/>
      <c r="P771" s="291"/>
      <c r="Q771" s="291"/>
      <c r="R771" s="291"/>
      <c r="S771" s="291"/>
      <c r="T771" s="291"/>
      <c r="U771" s="291"/>
      <c r="V771" s="291"/>
      <c r="W771" s="291"/>
      <c r="X771" s="291"/>
      <c r="Y771" s="291"/>
      <c r="Z771" s="291"/>
      <c r="AA771" s="292"/>
      <c r="AB771" s="292"/>
      <c r="AC771" s="293"/>
      <c r="AD771" s="293"/>
      <c r="AE771" s="294"/>
      <c r="AF771" s="294"/>
      <c r="AG771" s="294"/>
      <c r="AH771" s="294"/>
    </row>
    <row r="772" spans="2:34" s="295" customFormat="1">
      <c r="B772" s="287"/>
      <c r="C772" s="288"/>
      <c r="D772" s="289"/>
      <c r="E772" s="290"/>
      <c r="F772" s="291"/>
      <c r="G772" s="291"/>
      <c r="H772" s="291"/>
      <c r="I772" s="291"/>
      <c r="J772" s="291"/>
      <c r="K772" s="291"/>
      <c r="L772" s="291"/>
      <c r="M772" s="291"/>
      <c r="N772" s="291"/>
      <c r="O772" s="292"/>
      <c r="P772" s="291"/>
      <c r="Q772" s="291"/>
      <c r="R772" s="291"/>
      <c r="S772" s="291"/>
      <c r="T772" s="291"/>
      <c r="U772" s="291"/>
      <c r="V772" s="291"/>
      <c r="W772" s="291"/>
      <c r="X772" s="291"/>
      <c r="Y772" s="291"/>
      <c r="Z772" s="291"/>
      <c r="AA772" s="292"/>
      <c r="AB772" s="292"/>
      <c r="AC772" s="293"/>
      <c r="AD772" s="293"/>
      <c r="AE772" s="294"/>
      <c r="AF772" s="294"/>
      <c r="AG772" s="294"/>
      <c r="AH772" s="294"/>
    </row>
    <row r="773" spans="2:34" s="295" customFormat="1">
      <c r="B773" s="287"/>
      <c r="C773" s="288"/>
      <c r="D773" s="289"/>
      <c r="E773" s="290"/>
      <c r="F773" s="291"/>
      <c r="G773" s="291"/>
      <c r="H773" s="291"/>
      <c r="I773" s="291"/>
      <c r="J773" s="291"/>
      <c r="K773" s="291"/>
      <c r="L773" s="291"/>
      <c r="M773" s="291"/>
      <c r="N773" s="291"/>
      <c r="O773" s="292"/>
      <c r="P773" s="291"/>
      <c r="Q773" s="291"/>
      <c r="R773" s="291"/>
      <c r="S773" s="291"/>
      <c r="T773" s="291"/>
      <c r="U773" s="291"/>
      <c r="V773" s="291"/>
      <c r="W773" s="291"/>
      <c r="X773" s="291"/>
      <c r="Y773" s="291"/>
      <c r="Z773" s="291"/>
      <c r="AA773" s="292"/>
      <c r="AB773" s="292"/>
      <c r="AC773" s="293"/>
      <c r="AD773" s="293"/>
      <c r="AE773" s="294"/>
      <c r="AF773" s="294"/>
      <c r="AG773" s="294"/>
      <c r="AH773" s="294"/>
    </row>
    <row r="774" spans="2:34" s="295" customFormat="1">
      <c r="B774" s="287"/>
      <c r="C774" s="288"/>
      <c r="D774" s="289"/>
      <c r="E774" s="290"/>
      <c r="F774" s="291"/>
      <c r="G774" s="291"/>
      <c r="H774" s="291"/>
      <c r="I774" s="291"/>
      <c r="J774" s="291"/>
      <c r="K774" s="291"/>
      <c r="L774" s="291"/>
      <c r="M774" s="291"/>
      <c r="N774" s="291"/>
      <c r="O774" s="292"/>
      <c r="P774" s="291"/>
      <c r="Q774" s="291"/>
      <c r="R774" s="291"/>
      <c r="S774" s="291"/>
      <c r="T774" s="291"/>
      <c r="U774" s="291"/>
      <c r="V774" s="291"/>
      <c r="W774" s="291"/>
      <c r="X774" s="291"/>
      <c r="Y774" s="291"/>
      <c r="Z774" s="291"/>
      <c r="AA774" s="292"/>
      <c r="AB774" s="292"/>
      <c r="AC774" s="293"/>
      <c r="AD774" s="293"/>
      <c r="AE774" s="294"/>
      <c r="AF774" s="294"/>
      <c r="AG774" s="294"/>
      <c r="AH774" s="294"/>
    </row>
    <row r="775" spans="2:34" s="295" customFormat="1">
      <c r="B775" s="287"/>
      <c r="C775" s="288"/>
      <c r="D775" s="289"/>
      <c r="E775" s="290"/>
      <c r="F775" s="291"/>
      <c r="G775" s="291"/>
      <c r="H775" s="291"/>
      <c r="I775" s="291"/>
      <c r="J775" s="291"/>
      <c r="K775" s="291"/>
      <c r="L775" s="291"/>
      <c r="M775" s="291"/>
      <c r="N775" s="291"/>
      <c r="O775" s="292"/>
      <c r="P775" s="291"/>
      <c r="Q775" s="291"/>
      <c r="R775" s="291"/>
      <c r="S775" s="291"/>
      <c r="T775" s="291"/>
      <c r="U775" s="291"/>
      <c r="V775" s="291"/>
      <c r="W775" s="291"/>
      <c r="X775" s="291"/>
      <c r="Y775" s="291"/>
      <c r="Z775" s="291"/>
      <c r="AA775" s="292"/>
      <c r="AB775" s="292"/>
      <c r="AC775" s="293"/>
      <c r="AD775" s="293"/>
      <c r="AE775" s="294"/>
      <c r="AF775" s="294"/>
      <c r="AG775" s="294"/>
      <c r="AH775" s="294"/>
    </row>
    <row r="776" spans="2:34" s="295" customFormat="1">
      <c r="B776" s="287"/>
      <c r="C776" s="288"/>
      <c r="D776" s="289"/>
      <c r="E776" s="290"/>
      <c r="F776" s="291"/>
      <c r="G776" s="291"/>
      <c r="H776" s="291"/>
      <c r="I776" s="291"/>
      <c r="J776" s="291"/>
      <c r="K776" s="291"/>
      <c r="L776" s="291"/>
      <c r="M776" s="291"/>
      <c r="N776" s="291"/>
      <c r="O776" s="292"/>
      <c r="P776" s="291"/>
      <c r="Q776" s="291"/>
      <c r="R776" s="291"/>
      <c r="S776" s="291"/>
      <c r="T776" s="291"/>
      <c r="U776" s="291"/>
      <c r="V776" s="291"/>
      <c r="W776" s="291"/>
      <c r="X776" s="291"/>
      <c r="Y776" s="291"/>
      <c r="Z776" s="291"/>
      <c r="AA776" s="292"/>
      <c r="AB776" s="292"/>
      <c r="AC776" s="293"/>
      <c r="AD776" s="293"/>
      <c r="AE776" s="294"/>
      <c r="AF776" s="294"/>
      <c r="AG776" s="294"/>
      <c r="AH776" s="294"/>
    </row>
    <row r="777" spans="2:34" s="295" customFormat="1">
      <c r="B777" s="287"/>
      <c r="C777" s="288"/>
      <c r="D777" s="289"/>
      <c r="E777" s="290"/>
      <c r="F777" s="291"/>
      <c r="G777" s="291"/>
      <c r="H777" s="291"/>
      <c r="I777" s="291"/>
      <c r="J777" s="291"/>
      <c r="K777" s="291"/>
      <c r="L777" s="291"/>
      <c r="M777" s="291"/>
      <c r="N777" s="291"/>
      <c r="O777" s="292"/>
      <c r="P777" s="291"/>
      <c r="Q777" s="291"/>
      <c r="R777" s="291"/>
      <c r="S777" s="291"/>
      <c r="T777" s="291"/>
      <c r="U777" s="291"/>
      <c r="V777" s="291"/>
      <c r="W777" s="291"/>
      <c r="X777" s="291"/>
      <c r="Y777" s="291"/>
      <c r="Z777" s="291"/>
      <c r="AA777" s="292"/>
      <c r="AB777" s="292"/>
      <c r="AC777" s="293"/>
      <c r="AD777" s="293"/>
      <c r="AE777" s="294"/>
      <c r="AF777" s="294"/>
      <c r="AG777" s="294"/>
      <c r="AH777" s="294"/>
    </row>
    <row r="778" spans="2:34" s="295" customFormat="1">
      <c r="B778" s="287"/>
      <c r="C778" s="288"/>
      <c r="D778" s="289"/>
      <c r="E778" s="290"/>
      <c r="F778" s="291"/>
      <c r="G778" s="291"/>
      <c r="H778" s="291"/>
      <c r="I778" s="291"/>
      <c r="J778" s="291"/>
      <c r="K778" s="291"/>
      <c r="L778" s="291"/>
      <c r="M778" s="291"/>
      <c r="N778" s="291"/>
      <c r="O778" s="292"/>
      <c r="P778" s="291"/>
      <c r="Q778" s="291"/>
      <c r="R778" s="291"/>
      <c r="S778" s="291"/>
      <c r="T778" s="291"/>
      <c r="U778" s="291"/>
      <c r="V778" s="291"/>
      <c r="W778" s="291"/>
      <c r="X778" s="291"/>
      <c r="Y778" s="291"/>
      <c r="Z778" s="291"/>
      <c r="AA778" s="292"/>
      <c r="AB778" s="292"/>
      <c r="AC778" s="293"/>
      <c r="AD778" s="293"/>
      <c r="AE778" s="294"/>
      <c r="AF778" s="294"/>
      <c r="AG778" s="294"/>
      <c r="AH778" s="294"/>
    </row>
    <row r="779" spans="2:34" s="295" customFormat="1">
      <c r="B779" s="287"/>
      <c r="C779" s="288"/>
      <c r="D779" s="289"/>
      <c r="E779" s="290"/>
      <c r="F779" s="291"/>
      <c r="G779" s="291"/>
      <c r="H779" s="291"/>
      <c r="I779" s="291"/>
      <c r="J779" s="291"/>
      <c r="K779" s="291"/>
      <c r="L779" s="291"/>
      <c r="M779" s="291"/>
      <c r="N779" s="291"/>
      <c r="O779" s="292"/>
      <c r="P779" s="291"/>
      <c r="Q779" s="291"/>
      <c r="R779" s="291"/>
      <c r="S779" s="291"/>
      <c r="T779" s="291"/>
      <c r="U779" s="291"/>
      <c r="V779" s="291"/>
      <c r="W779" s="291"/>
      <c r="X779" s="291"/>
      <c r="Y779" s="291"/>
      <c r="Z779" s="291"/>
      <c r="AA779" s="292"/>
      <c r="AB779" s="292"/>
      <c r="AC779" s="293"/>
      <c r="AD779" s="293"/>
      <c r="AE779" s="294"/>
      <c r="AF779" s="294"/>
      <c r="AG779" s="294"/>
      <c r="AH779" s="294"/>
    </row>
    <row r="780" spans="2:34" s="295" customFormat="1">
      <c r="B780" s="287"/>
      <c r="C780" s="288"/>
      <c r="D780" s="289"/>
      <c r="E780" s="290"/>
      <c r="F780" s="291"/>
      <c r="G780" s="291"/>
      <c r="H780" s="291"/>
      <c r="I780" s="291"/>
      <c r="J780" s="291"/>
      <c r="K780" s="291"/>
      <c r="L780" s="291"/>
      <c r="M780" s="291"/>
      <c r="N780" s="291"/>
      <c r="O780" s="292"/>
      <c r="P780" s="291"/>
      <c r="Q780" s="291"/>
      <c r="R780" s="291"/>
      <c r="S780" s="291"/>
      <c r="T780" s="291"/>
      <c r="U780" s="291"/>
      <c r="V780" s="291"/>
      <c r="W780" s="291"/>
      <c r="X780" s="291"/>
      <c r="Y780" s="291"/>
      <c r="Z780" s="291"/>
      <c r="AA780" s="292"/>
      <c r="AB780" s="292"/>
      <c r="AC780" s="293"/>
      <c r="AD780" s="293"/>
      <c r="AE780" s="294"/>
      <c r="AF780" s="294"/>
      <c r="AG780" s="294"/>
      <c r="AH780" s="294"/>
    </row>
    <row r="781" spans="2:34" s="295" customFormat="1">
      <c r="B781" s="287"/>
      <c r="C781" s="288"/>
      <c r="D781" s="289"/>
      <c r="E781" s="290"/>
      <c r="F781" s="291"/>
      <c r="G781" s="291"/>
      <c r="H781" s="291"/>
      <c r="I781" s="291"/>
      <c r="J781" s="291"/>
      <c r="K781" s="291"/>
      <c r="L781" s="291"/>
      <c r="M781" s="291"/>
      <c r="N781" s="291"/>
      <c r="O781" s="292"/>
      <c r="P781" s="291"/>
      <c r="Q781" s="291"/>
      <c r="R781" s="291"/>
      <c r="S781" s="291"/>
      <c r="T781" s="291"/>
      <c r="U781" s="291"/>
      <c r="V781" s="291"/>
      <c r="W781" s="291"/>
      <c r="X781" s="291"/>
      <c r="Y781" s="291"/>
      <c r="Z781" s="291"/>
      <c r="AA781" s="292"/>
      <c r="AB781" s="292"/>
      <c r="AC781" s="293"/>
      <c r="AD781" s="293"/>
      <c r="AE781" s="294"/>
      <c r="AF781" s="294"/>
      <c r="AG781" s="294"/>
      <c r="AH781" s="294"/>
    </row>
    <row r="782" spans="2:34" s="295" customFormat="1">
      <c r="B782" s="287"/>
      <c r="C782" s="288"/>
      <c r="D782" s="289"/>
      <c r="E782" s="290"/>
      <c r="F782" s="291"/>
      <c r="G782" s="291"/>
      <c r="H782" s="291"/>
      <c r="I782" s="291"/>
      <c r="J782" s="291"/>
      <c r="K782" s="291"/>
      <c r="L782" s="291"/>
      <c r="M782" s="291"/>
      <c r="N782" s="291"/>
      <c r="O782" s="292"/>
      <c r="P782" s="291"/>
      <c r="Q782" s="291"/>
      <c r="R782" s="291"/>
      <c r="S782" s="291"/>
      <c r="T782" s="291"/>
      <c r="U782" s="291"/>
      <c r="V782" s="291"/>
      <c r="W782" s="291"/>
      <c r="X782" s="291"/>
      <c r="Y782" s="291"/>
      <c r="Z782" s="291"/>
      <c r="AA782" s="292"/>
      <c r="AB782" s="292"/>
      <c r="AC782" s="293"/>
      <c r="AD782" s="293"/>
      <c r="AE782" s="294"/>
      <c r="AF782" s="294"/>
      <c r="AG782" s="294"/>
      <c r="AH782" s="294"/>
    </row>
    <row r="783" spans="2:34" s="295" customFormat="1">
      <c r="B783" s="287"/>
      <c r="C783" s="288"/>
      <c r="D783" s="289"/>
      <c r="E783" s="290"/>
      <c r="F783" s="291"/>
      <c r="G783" s="291"/>
      <c r="H783" s="291"/>
      <c r="I783" s="291"/>
      <c r="J783" s="291"/>
      <c r="K783" s="291"/>
      <c r="L783" s="291"/>
      <c r="M783" s="291"/>
      <c r="N783" s="291"/>
      <c r="O783" s="292"/>
      <c r="P783" s="291"/>
      <c r="Q783" s="291"/>
      <c r="R783" s="291"/>
      <c r="S783" s="291"/>
      <c r="T783" s="291"/>
      <c r="U783" s="291"/>
      <c r="V783" s="291"/>
      <c r="W783" s="291"/>
      <c r="X783" s="291"/>
      <c r="Y783" s="291"/>
      <c r="Z783" s="291"/>
      <c r="AA783" s="292"/>
      <c r="AB783" s="292"/>
      <c r="AC783" s="293"/>
      <c r="AD783" s="293"/>
      <c r="AE783" s="294"/>
      <c r="AF783" s="294"/>
      <c r="AG783" s="294"/>
      <c r="AH783" s="294"/>
    </row>
    <row r="784" spans="2:34" s="295" customFormat="1">
      <c r="B784" s="287"/>
      <c r="C784" s="288"/>
      <c r="D784" s="289"/>
      <c r="E784" s="290"/>
      <c r="F784" s="291"/>
      <c r="G784" s="291"/>
      <c r="H784" s="291"/>
      <c r="I784" s="291"/>
      <c r="J784" s="291"/>
      <c r="K784" s="291"/>
      <c r="L784" s="291"/>
      <c r="M784" s="291"/>
      <c r="N784" s="291"/>
      <c r="O784" s="292"/>
      <c r="P784" s="291"/>
      <c r="Q784" s="291"/>
      <c r="R784" s="291"/>
      <c r="S784" s="291"/>
      <c r="T784" s="291"/>
      <c r="U784" s="291"/>
      <c r="V784" s="291"/>
      <c r="W784" s="291"/>
      <c r="X784" s="291"/>
      <c r="Y784" s="291"/>
      <c r="Z784" s="291"/>
      <c r="AA784" s="292"/>
      <c r="AB784" s="292"/>
      <c r="AC784" s="293"/>
      <c r="AD784" s="293"/>
      <c r="AE784" s="294"/>
      <c r="AF784" s="294"/>
      <c r="AG784" s="294"/>
      <c r="AH784" s="294"/>
    </row>
    <row r="785" spans="2:34" s="295" customFormat="1">
      <c r="B785" s="287"/>
      <c r="C785" s="288"/>
      <c r="D785" s="289"/>
      <c r="E785" s="290"/>
      <c r="F785" s="291"/>
      <c r="G785" s="291"/>
      <c r="H785" s="291"/>
      <c r="I785" s="291"/>
      <c r="J785" s="291"/>
      <c r="K785" s="291"/>
      <c r="L785" s="291"/>
      <c r="M785" s="291"/>
      <c r="N785" s="291"/>
      <c r="O785" s="292"/>
      <c r="P785" s="291"/>
      <c r="Q785" s="291"/>
      <c r="R785" s="291"/>
      <c r="S785" s="291"/>
      <c r="T785" s="291"/>
      <c r="U785" s="291"/>
      <c r="V785" s="291"/>
      <c r="W785" s="291"/>
      <c r="X785" s="291"/>
      <c r="Y785" s="291"/>
      <c r="Z785" s="291"/>
      <c r="AA785" s="292"/>
      <c r="AB785" s="292"/>
      <c r="AC785" s="293"/>
      <c r="AD785" s="293"/>
      <c r="AE785" s="294"/>
      <c r="AF785" s="294"/>
      <c r="AG785" s="294"/>
      <c r="AH785" s="294"/>
    </row>
    <row r="786" spans="2:34" s="295" customFormat="1">
      <c r="B786" s="287"/>
      <c r="C786" s="288"/>
      <c r="D786" s="289"/>
      <c r="E786" s="290"/>
      <c r="F786" s="291"/>
      <c r="G786" s="291"/>
      <c r="H786" s="291"/>
      <c r="I786" s="291"/>
      <c r="J786" s="291"/>
      <c r="K786" s="291"/>
      <c r="L786" s="291"/>
      <c r="M786" s="291"/>
      <c r="N786" s="291"/>
      <c r="O786" s="292"/>
      <c r="P786" s="291"/>
      <c r="Q786" s="291"/>
      <c r="R786" s="291"/>
      <c r="S786" s="291"/>
      <c r="T786" s="291"/>
      <c r="U786" s="291"/>
      <c r="V786" s="291"/>
      <c r="W786" s="291"/>
      <c r="X786" s="291"/>
      <c r="Y786" s="291"/>
      <c r="Z786" s="291"/>
      <c r="AA786" s="292"/>
      <c r="AB786" s="292"/>
      <c r="AC786" s="293"/>
      <c r="AD786" s="293"/>
      <c r="AE786" s="294"/>
      <c r="AF786" s="294"/>
      <c r="AG786" s="294"/>
      <c r="AH786" s="294"/>
    </row>
    <row r="787" spans="2:34" s="295" customFormat="1">
      <c r="B787" s="287"/>
      <c r="C787" s="288"/>
      <c r="D787" s="289"/>
      <c r="E787" s="290"/>
      <c r="F787" s="291"/>
      <c r="G787" s="291"/>
      <c r="H787" s="291"/>
      <c r="I787" s="291"/>
      <c r="J787" s="291"/>
      <c r="K787" s="291"/>
      <c r="L787" s="291"/>
      <c r="M787" s="291"/>
      <c r="N787" s="291"/>
      <c r="O787" s="292"/>
      <c r="P787" s="291"/>
      <c r="Q787" s="291"/>
      <c r="R787" s="291"/>
      <c r="S787" s="291"/>
      <c r="T787" s="291"/>
      <c r="U787" s="291"/>
      <c r="V787" s="291"/>
      <c r="W787" s="291"/>
      <c r="X787" s="291"/>
      <c r="Y787" s="291"/>
      <c r="Z787" s="291"/>
      <c r="AA787" s="292"/>
      <c r="AB787" s="292"/>
      <c r="AC787" s="293"/>
      <c r="AD787" s="293"/>
      <c r="AE787" s="294"/>
      <c r="AF787" s="294"/>
      <c r="AG787" s="294"/>
      <c r="AH787" s="294"/>
    </row>
    <row r="788" spans="2:34" s="295" customFormat="1">
      <c r="B788" s="287"/>
      <c r="C788" s="288"/>
      <c r="D788" s="289"/>
      <c r="E788" s="290"/>
      <c r="F788" s="291"/>
      <c r="G788" s="291"/>
      <c r="H788" s="291"/>
      <c r="I788" s="291"/>
      <c r="J788" s="291"/>
      <c r="K788" s="291"/>
      <c r="L788" s="291"/>
      <c r="M788" s="291"/>
      <c r="N788" s="291"/>
      <c r="O788" s="292"/>
      <c r="P788" s="291"/>
      <c r="Q788" s="291"/>
      <c r="R788" s="291"/>
      <c r="S788" s="291"/>
      <c r="T788" s="291"/>
      <c r="U788" s="291"/>
      <c r="V788" s="291"/>
      <c r="W788" s="291"/>
      <c r="X788" s="291"/>
      <c r="Y788" s="291"/>
      <c r="Z788" s="291"/>
      <c r="AA788" s="292"/>
      <c r="AB788" s="292"/>
      <c r="AC788" s="293"/>
      <c r="AD788" s="293"/>
      <c r="AE788" s="294"/>
      <c r="AF788" s="294"/>
      <c r="AG788" s="294"/>
      <c r="AH788" s="294"/>
    </row>
    <row r="789" spans="2:34" s="295" customFormat="1">
      <c r="B789" s="287"/>
      <c r="C789" s="288"/>
      <c r="D789" s="289"/>
      <c r="E789" s="290"/>
      <c r="F789" s="291"/>
      <c r="G789" s="291"/>
      <c r="H789" s="291"/>
      <c r="I789" s="291"/>
      <c r="J789" s="291"/>
      <c r="K789" s="291"/>
      <c r="L789" s="291"/>
      <c r="M789" s="291"/>
      <c r="N789" s="291"/>
      <c r="O789" s="292"/>
      <c r="P789" s="291"/>
      <c r="Q789" s="291"/>
      <c r="R789" s="291"/>
      <c r="S789" s="291"/>
      <c r="T789" s="291"/>
      <c r="U789" s="291"/>
      <c r="V789" s="291"/>
      <c r="W789" s="291"/>
      <c r="X789" s="291"/>
      <c r="Y789" s="291"/>
      <c r="Z789" s="291"/>
      <c r="AA789" s="292"/>
      <c r="AB789" s="292"/>
      <c r="AC789" s="293"/>
      <c r="AD789" s="293"/>
      <c r="AE789" s="294"/>
      <c r="AF789" s="294"/>
      <c r="AG789" s="294"/>
      <c r="AH789" s="294"/>
    </row>
    <row r="790" spans="2:34" s="295" customFormat="1">
      <c r="B790" s="287"/>
      <c r="C790" s="288"/>
      <c r="D790" s="289"/>
      <c r="E790" s="290"/>
      <c r="F790" s="291"/>
      <c r="G790" s="291"/>
      <c r="H790" s="291"/>
      <c r="I790" s="291"/>
      <c r="J790" s="291"/>
      <c r="K790" s="291"/>
      <c r="L790" s="291"/>
      <c r="M790" s="291"/>
      <c r="N790" s="291"/>
      <c r="O790" s="292"/>
      <c r="P790" s="291"/>
      <c r="Q790" s="291"/>
      <c r="R790" s="291"/>
      <c r="S790" s="291"/>
      <c r="T790" s="291"/>
      <c r="U790" s="291"/>
      <c r="V790" s="291"/>
      <c r="W790" s="291"/>
      <c r="X790" s="291"/>
      <c r="Y790" s="291"/>
      <c r="Z790" s="291"/>
      <c r="AA790" s="292"/>
      <c r="AB790" s="292"/>
      <c r="AC790" s="293"/>
      <c r="AD790" s="293"/>
      <c r="AE790" s="294"/>
      <c r="AF790" s="294"/>
      <c r="AG790" s="294"/>
      <c r="AH790" s="294"/>
    </row>
    <row r="791" spans="2:34" s="295" customFormat="1">
      <c r="B791" s="287"/>
      <c r="C791" s="288"/>
      <c r="D791" s="289"/>
      <c r="E791" s="290"/>
      <c r="F791" s="291"/>
      <c r="G791" s="291"/>
      <c r="H791" s="291"/>
      <c r="I791" s="291"/>
      <c r="J791" s="291"/>
      <c r="K791" s="291"/>
      <c r="L791" s="291"/>
      <c r="M791" s="291"/>
      <c r="N791" s="291"/>
      <c r="O791" s="292"/>
      <c r="P791" s="291"/>
      <c r="Q791" s="291"/>
      <c r="R791" s="291"/>
      <c r="S791" s="291"/>
      <c r="T791" s="291"/>
      <c r="U791" s="291"/>
      <c r="V791" s="291"/>
      <c r="W791" s="291"/>
      <c r="X791" s="291"/>
      <c r="Y791" s="291"/>
      <c r="Z791" s="291"/>
      <c r="AA791" s="292"/>
      <c r="AB791" s="292"/>
      <c r="AC791" s="293"/>
      <c r="AD791" s="293"/>
      <c r="AE791" s="294"/>
      <c r="AF791" s="294"/>
      <c r="AG791" s="294"/>
      <c r="AH791" s="294"/>
    </row>
    <row r="792" spans="2:34" s="295" customFormat="1">
      <c r="B792" s="287"/>
      <c r="C792" s="288"/>
      <c r="D792" s="289"/>
      <c r="E792" s="290"/>
      <c r="F792" s="291"/>
      <c r="G792" s="291"/>
      <c r="H792" s="291"/>
      <c r="I792" s="291"/>
      <c r="J792" s="291"/>
      <c r="K792" s="291"/>
      <c r="L792" s="291"/>
      <c r="M792" s="291"/>
      <c r="N792" s="291"/>
      <c r="O792" s="292"/>
      <c r="P792" s="291"/>
      <c r="Q792" s="291"/>
      <c r="R792" s="291"/>
      <c r="S792" s="291"/>
      <c r="T792" s="291"/>
      <c r="U792" s="291"/>
      <c r="V792" s="291"/>
      <c r="W792" s="291"/>
      <c r="X792" s="291"/>
      <c r="Y792" s="291"/>
      <c r="Z792" s="291"/>
      <c r="AA792" s="292"/>
      <c r="AB792" s="292"/>
      <c r="AC792" s="293"/>
      <c r="AD792" s="293"/>
      <c r="AE792" s="294"/>
      <c r="AF792" s="294"/>
      <c r="AG792" s="294"/>
      <c r="AH792" s="294"/>
    </row>
    <row r="793" spans="2:34" s="295" customFormat="1">
      <c r="B793" s="287"/>
      <c r="C793" s="288"/>
      <c r="D793" s="289"/>
      <c r="E793" s="290"/>
      <c r="F793" s="291"/>
      <c r="G793" s="291"/>
      <c r="H793" s="291"/>
      <c r="I793" s="291"/>
      <c r="J793" s="291"/>
      <c r="K793" s="291"/>
      <c r="L793" s="291"/>
      <c r="M793" s="291"/>
      <c r="N793" s="291"/>
      <c r="O793" s="292"/>
      <c r="P793" s="291"/>
      <c r="Q793" s="291"/>
      <c r="R793" s="291"/>
      <c r="S793" s="291"/>
      <c r="T793" s="291"/>
      <c r="U793" s="291"/>
      <c r="V793" s="291"/>
      <c r="W793" s="291"/>
      <c r="X793" s="291"/>
      <c r="Y793" s="291"/>
      <c r="Z793" s="291"/>
      <c r="AA793" s="292"/>
      <c r="AB793" s="292"/>
      <c r="AC793" s="293"/>
      <c r="AD793" s="293"/>
      <c r="AE793" s="294"/>
      <c r="AF793" s="294"/>
      <c r="AG793" s="294"/>
      <c r="AH793" s="294"/>
    </row>
    <row r="794" spans="2:34" s="295" customFormat="1">
      <c r="B794" s="287"/>
      <c r="C794" s="288"/>
      <c r="D794" s="289"/>
      <c r="E794" s="290"/>
      <c r="F794" s="291"/>
      <c r="G794" s="291"/>
      <c r="H794" s="291"/>
      <c r="I794" s="291"/>
      <c r="J794" s="291"/>
      <c r="K794" s="291"/>
      <c r="L794" s="291"/>
      <c r="M794" s="291"/>
      <c r="N794" s="291"/>
      <c r="O794" s="292"/>
      <c r="P794" s="291"/>
      <c r="Q794" s="291"/>
      <c r="R794" s="291"/>
      <c r="S794" s="291"/>
      <c r="T794" s="291"/>
      <c r="U794" s="291"/>
      <c r="V794" s="291"/>
      <c r="W794" s="291"/>
      <c r="X794" s="291"/>
      <c r="Y794" s="291"/>
      <c r="Z794" s="291"/>
      <c r="AA794" s="292"/>
      <c r="AB794" s="292"/>
      <c r="AC794" s="293"/>
      <c r="AD794" s="293"/>
      <c r="AE794" s="294"/>
      <c r="AF794" s="294"/>
      <c r="AG794" s="294"/>
      <c r="AH794" s="294"/>
    </row>
    <row r="795" spans="2:34" s="295" customFormat="1">
      <c r="B795" s="287"/>
      <c r="C795" s="288"/>
      <c r="D795" s="289"/>
      <c r="E795" s="290"/>
      <c r="F795" s="291"/>
      <c r="G795" s="291"/>
      <c r="H795" s="291"/>
      <c r="I795" s="291"/>
      <c r="J795" s="291"/>
      <c r="K795" s="291"/>
      <c r="L795" s="291"/>
      <c r="M795" s="291"/>
      <c r="N795" s="291"/>
      <c r="O795" s="292"/>
      <c r="P795" s="291"/>
      <c r="Q795" s="291"/>
      <c r="R795" s="291"/>
      <c r="S795" s="291"/>
      <c r="T795" s="291"/>
      <c r="U795" s="291"/>
      <c r="V795" s="291"/>
      <c r="W795" s="291"/>
      <c r="X795" s="291"/>
      <c r="Y795" s="291"/>
      <c r="Z795" s="291"/>
      <c r="AA795" s="292"/>
      <c r="AB795" s="292"/>
      <c r="AC795" s="293"/>
      <c r="AD795" s="293"/>
      <c r="AE795" s="294"/>
      <c r="AF795" s="294"/>
      <c r="AG795" s="294"/>
      <c r="AH795" s="294"/>
    </row>
    <row r="796" spans="2:34" s="295" customFormat="1">
      <c r="B796" s="287"/>
      <c r="C796" s="288"/>
      <c r="D796" s="289"/>
      <c r="E796" s="290"/>
      <c r="F796" s="291"/>
      <c r="G796" s="291"/>
      <c r="H796" s="291"/>
      <c r="I796" s="291"/>
      <c r="J796" s="291"/>
      <c r="K796" s="291"/>
      <c r="L796" s="291"/>
      <c r="M796" s="291"/>
      <c r="N796" s="291"/>
      <c r="O796" s="292"/>
      <c r="P796" s="291"/>
      <c r="Q796" s="291"/>
      <c r="R796" s="291"/>
      <c r="S796" s="291"/>
      <c r="T796" s="291"/>
      <c r="U796" s="291"/>
      <c r="V796" s="291"/>
      <c r="W796" s="291"/>
      <c r="X796" s="291"/>
      <c r="Y796" s="291"/>
      <c r="Z796" s="291"/>
      <c r="AA796" s="292"/>
      <c r="AB796" s="292"/>
      <c r="AC796" s="293"/>
      <c r="AD796" s="293"/>
      <c r="AE796" s="294"/>
      <c r="AF796" s="294"/>
      <c r="AG796" s="294"/>
      <c r="AH796" s="294"/>
    </row>
    <row r="797" spans="2:34" s="295" customFormat="1">
      <c r="B797" s="287"/>
      <c r="C797" s="288"/>
      <c r="D797" s="289"/>
      <c r="E797" s="290"/>
      <c r="F797" s="291"/>
      <c r="G797" s="291"/>
      <c r="H797" s="291"/>
      <c r="I797" s="291"/>
      <c r="J797" s="291"/>
      <c r="K797" s="291"/>
      <c r="L797" s="291"/>
      <c r="M797" s="291"/>
      <c r="N797" s="291"/>
      <c r="O797" s="292"/>
      <c r="P797" s="291"/>
      <c r="Q797" s="291"/>
      <c r="R797" s="291"/>
      <c r="S797" s="291"/>
      <c r="T797" s="291"/>
      <c r="U797" s="291"/>
      <c r="V797" s="291"/>
      <c r="W797" s="291"/>
      <c r="X797" s="291"/>
      <c r="Y797" s="291"/>
      <c r="Z797" s="291"/>
      <c r="AA797" s="292"/>
      <c r="AB797" s="292"/>
      <c r="AC797" s="293"/>
      <c r="AD797" s="293"/>
      <c r="AE797" s="294"/>
      <c r="AF797" s="294"/>
      <c r="AG797" s="294"/>
      <c r="AH797" s="294"/>
    </row>
    <row r="798" spans="2:34" s="295" customFormat="1">
      <c r="B798" s="287"/>
      <c r="C798" s="288"/>
      <c r="D798" s="289"/>
      <c r="E798" s="290"/>
      <c r="F798" s="291"/>
      <c r="G798" s="291"/>
      <c r="H798" s="291"/>
      <c r="I798" s="291"/>
      <c r="J798" s="291"/>
      <c r="K798" s="291"/>
      <c r="L798" s="291"/>
      <c r="M798" s="291"/>
      <c r="N798" s="291"/>
      <c r="O798" s="292"/>
      <c r="P798" s="291"/>
      <c r="Q798" s="291"/>
      <c r="R798" s="291"/>
      <c r="S798" s="291"/>
      <c r="T798" s="291"/>
      <c r="U798" s="291"/>
      <c r="V798" s="291"/>
      <c r="W798" s="291"/>
      <c r="X798" s="291"/>
      <c r="Y798" s="291"/>
      <c r="Z798" s="291"/>
      <c r="AA798" s="292"/>
      <c r="AB798" s="292"/>
      <c r="AC798" s="293"/>
      <c r="AD798" s="293"/>
      <c r="AE798" s="294"/>
      <c r="AF798" s="294"/>
      <c r="AG798" s="294"/>
      <c r="AH798" s="294"/>
    </row>
    <row r="799" spans="2:34" s="295" customFormat="1">
      <c r="B799" s="287"/>
      <c r="C799" s="288"/>
      <c r="D799" s="289"/>
      <c r="E799" s="290"/>
      <c r="F799" s="291"/>
      <c r="G799" s="291"/>
      <c r="H799" s="291"/>
      <c r="I799" s="291"/>
      <c r="J799" s="291"/>
      <c r="K799" s="291"/>
      <c r="L799" s="291"/>
      <c r="M799" s="291"/>
      <c r="N799" s="291"/>
      <c r="O799" s="292"/>
      <c r="P799" s="291"/>
      <c r="Q799" s="291"/>
      <c r="R799" s="291"/>
      <c r="S799" s="291"/>
      <c r="T799" s="291"/>
      <c r="U799" s="291"/>
      <c r="V799" s="291"/>
      <c r="W799" s="291"/>
      <c r="X799" s="291"/>
      <c r="Y799" s="291"/>
      <c r="Z799" s="291"/>
      <c r="AA799" s="292"/>
      <c r="AB799" s="292"/>
      <c r="AC799" s="293"/>
      <c r="AD799" s="293"/>
      <c r="AE799" s="294"/>
      <c r="AF799" s="294"/>
      <c r="AG799" s="294"/>
      <c r="AH799" s="294"/>
    </row>
    <row r="800" spans="2:34" s="295" customFormat="1">
      <c r="B800" s="287"/>
      <c r="C800" s="288"/>
      <c r="D800" s="289"/>
      <c r="E800" s="290"/>
      <c r="F800" s="291"/>
      <c r="G800" s="291"/>
      <c r="H800" s="291"/>
      <c r="I800" s="291"/>
      <c r="J800" s="291"/>
      <c r="K800" s="291"/>
      <c r="L800" s="291"/>
      <c r="M800" s="291"/>
      <c r="N800" s="291"/>
      <c r="O800" s="292"/>
      <c r="P800" s="291"/>
      <c r="Q800" s="291"/>
      <c r="R800" s="291"/>
      <c r="S800" s="291"/>
      <c r="T800" s="291"/>
      <c r="U800" s="291"/>
      <c r="V800" s="291"/>
      <c r="W800" s="291"/>
      <c r="X800" s="291"/>
      <c r="Y800" s="291"/>
      <c r="Z800" s="291"/>
      <c r="AA800" s="292"/>
      <c r="AB800" s="292"/>
      <c r="AC800" s="293"/>
      <c r="AD800" s="293"/>
      <c r="AE800" s="294"/>
      <c r="AF800" s="294"/>
      <c r="AG800" s="294"/>
      <c r="AH800" s="294"/>
    </row>
    <row r="801" spans="2:34" s="295" customFormat="1">
      <c r="B801" s="287"/>
      <c r="C801" s="288"/>
      <c r="D801" s="289"/>
      <c r="E801" s="290"/>
      <c r="F801" s="291"/>
      <c r="G801" s="291"/>
      <c r="H801" s="291"/>
      <c r="I801" s="291"/>
      <c r="J801" s="291"/>
      <c r="K801" s="291"/>
      <c r="L801" s="291"/>
      <c r="M801" s="291"/>
      <c r="N801" s="291"/>
      <c r="O801" s="292"/>
      <c r="P801" s="291"/>
      <c r="Q801" s="291"/>
      <c r="R801" s="291"/>
      <c r="S801" s="291"/>
      <c r="T801" s="291"/>
      <c r="U801" s="291"/>
      <c r="V801" s="291"/>
      <c r="W801" s="291"/>
      <c r="X801" s="291"/>
      <c r="Y801" s="291"/>
      <c r="Z801" s="291"/>
      <c r="AA801" s="292"/>
      <c r="AB801" s="292"/>
      <c r="AC801" s="293"/>
      <c r="AD801" s="293"/>
      <c r="AE801" s="294"/>
      <c r="AF801" s="294"/>
      <c r="AG801" s="294"/>
      <c r="AH801" s="294"/>
    </row>
    <row r="802" spans="2:34" s="295" customFormat="1">
      <c r="B802" s="287"/>
      <c r="C802" s="288"/>
      <c r="D802" s="289"/>
      <c r="E802" s="290"/>
      <c r="F802" s="291"/>
      <c r="G802" s="291"/>
      <c r="H802" s="291"/>
      <c r="I802" s="291"/>
      <c r="J802" s="291"/>
      <c r="K802" s="291"/>
      <c r="L802" s="291"/>
      <c r="M802" s="291"/>
      <c r="N802" s="291"/>
      <c r="O802" s="292"/>
      <c r="P802" s="291"/>
      <c r="Q802" s="291"/>
      <c r="R802" s="291"/>
      <c r="S802" s="291"/>
      <c r="T802" s="291"/>
      <c r="U802" s="291"/>
      <c r="V802" s="291"/>
      <c r="W802" s="291"/>
      <c r="X802" s="291"/>
      <c r="Y802" s="291"/>
      <c r="Z802" s="291"/>
      <c r="AA802" s="292"/>
      <c r="AB802" s="292"/>
      <c r="AC802" s="293"/>
      <c r="AD802" s="293"/>
      <c r="AE802" s="294"/>
      <c r="AF802" s="294"/>
      <c r="AG802" s="294"/>
      <c r="AH802" s="294"/>
    </row>
    <row r="803" spans="2:34" s="295" customFormat="1">
      <c r="B803" s="287"/>
      <c r="C803" s="288"/>
      <c r="D803" s="289"/>
      <c r="E803" s="290"/>
      <c r="F803" s="291"/>
      <c r="G803" s="291"/>
      <c r="H803" s="291"/>
      <c r="I803" s="291"/>
      <c r="J803" s="291"/>
      <c r="K803" s="291"/>
      <c r="L803" s="291"/>
      <c r="M803" s="291"/>
      <c r="N803" s="291"/>
      <c r="O803" s="292"/>
      <c r="P803" s="291"/>
      <c r="Q803" s="291"/>
      <c r="R803" s="291"/>
      <c r="S803" s="291"/>
      <c r="T803" s="291"/>
      <c r="U803" s="291"/>
      <c r="V803" s="291"/>
      <c r="W803" s="291"/>
      <c r="X803" s="291"/>
      <c r="Y803" s="291"/>
      <c r="Z803" s="291"/>
      <c r="AA803" s="292"/>
      <c r="AB803" s="292"/>
      <c r="AC803" s="293"/>
      <c r="AD803" s="293"/>
      <c r="AE803" s="294"/>
      <c r="AF803" s="294"/>
      <c r="AG803" s="294"/>
      <c r="AH803" s="294"/>
    </row>
    <row r="804" spans="2:34" s="295" customFormat="1">
      <c r="B804" s="287"/>
      <c r="C804" s="288"/>
      <c r="D804" s="289"/>
      <c r="E804" s="290"/>
      <c r="F804" s="291"/>
      <c r="G804" s="291"/>
      <c r="H804" s="291"/>
      <c r="I804" s="291"/>
      <c r="J804" s="291"/>
      <c r="K804" s="291"/>
      <c r="L804" s="291"/>
      <c r="M804" s="291"/>
      <c r="N804" s="291"/>
      <c r="O804" s="292"/>
      <c r="P804" s="291"/>
      <c r="Q804" s="291"/>
      <c r="R804" s="291"/>
      <c r="S804" s="291"/>
      <c r="T804" s="291"/>
      <c r="U804" s="291"/>
      <c r="V804" s="291"/>
      <c r="W804" s="291"/>
      <c r="X804" s="291"/>
      <c r="Y804" s="291"/>
      <c r="Z804" s="291"/>
      <c r="AA804" s="292"/>
      <c r="AB804" s="292"/>
      <c r="AC804" s="293"/>
      <c r="AD804" s="293"/>
      <c r="AE804" s="294"/>
      <c r="AF804" s="294"/>
      <c r="AG804" s="294"/>
      <c r="AH804" s="294"/>
    </row>
    <row r="805" spans="2:34" s="295" customFormat="1">
      <c r="B805" s="287"/>
      <c r="C805" s="288"/>
      <c r="D805" s="289"/>
      <c r="E805" s="290"/>
      <c r="F805" s="291"/>
      <c r="G805" s="291"/>
      <c r="H805" s="291"/>
      <c r="I805" s="291"/>
      <c r="J805" s="291"/>
      <c r="K805" s="291"/>
      <c r="L805" s="291"/>
      <c r="M805" s="291"/>
      <c r="N805" s="291"/>
      <c r="O805" s="292"/>
      <c r="P805" s="291"/>
      <c r="Q805" s="291"/>
      <c r="R805" s="291"/>
      <c r="S805" s="291"/>
      <c r="T805" s="291"/>
      <c r="U805" s="291"/>
      <c r="V805" s="291"/>
      <c r="W805" s="291"/>
      <c r="X805" s="291"/>
      <c r="Y805" s="291"/>
      <c r="Z805" s="291"/>
      <c r="AA805" s="292"/>
      <c r="AB805" s="292"/>
      <c r="AC805" s="293"/>
      <c r="AD805" s="293"/>
      <c r="AE805" s="294"/>
      <c r="AF805" s="294"/>
      <c r="AG805" s="294"/>
      <c r="AH805" s="294"/>
    </row>
    <row r="806" spans="2:34" s="295" customFormat="1">
      <c r="B806" s="287"/>
      <c r="C806" s="288"/>
      <c r="D806" s="289"/>
      <c r="E806" s="290"/>
      <c r="F806" s="291"/>
      <c r="G806" s="291"/>
      <c r="H806" s="291"/>
      <c r="I806" s="291"/>
      <c r="J806" s="291"/>
      <c r="K806" s="291"/>
      <c r="L806" s="291"/>
      <c r="M806" s="291"/>
      <c r="N806" s="291"/>
      <c r="O806" s="292"/>
      <c r="P806" s="291"/>
      <c r="Q806" s="291"/>
      <c r="R806" s="291"/>
      <c r="S806" s="291"/>
      <c r="T806" s="291"/>
      <c r="U806" s="291"/>
      <c r="V806" s="291"/>
      <c r="W806" s="291"/>
      <c r="X806" s="291"/>
      <c r="Y806" s="291"/>
      <c r="Z806" s="291"/>
      <c r="AA806" s="292"/>
      <c r="AB806" s="292"/>
      <c r="AC806" s="293"/>
      <c r="AD806" s="293"/>
      <c r="AE806" s="294"/>
      <c r="AF806" s="294"/>
      <c r="AG806" s="294"/>
      <c r="AH806" s="294"/>
    </row>
    <row r="807" spans="2:34" s="295" customFormat="1">
      <c r="B807" s="287"/>
      <c r="C807" s="288"/>
      <c r="D807" s="289"/>
      <c r="E807" s="290"/>
      <c r="F807" s="291"/>
      <c r="G807" s="291"/>
      <c r="H807" s="291"/>
      <c r="I807" s="291"/>
      <c r="J807" s="291"/>
      <c r="K807" s="291"/>
      <c r="L807" s="291"/>
      <c r="M807" s="291"/>
      <c r="N807" s="291"/>
      <c r="O807" s="292"/>
      <c r="P807" s="291"/>
      <c r="Q807" s="291"/>
      <c r="R807" s="291"/>
      <c r="S807" s="291"/>
      <c r="T807" s="291"/>
      <c r="U807" s="291"/>
      <c r="V807" s="291"/>
      <c r="W807" s="291"/>
      <c r="X807" s="291"/>
      <c r="Y807" s="291"/>
      <c r="Z807" s="291"/>
      <c r="AA807" s="292"/>
      <c r="AB807" s="292"/>
      <c r="AC807" s="293"/>
      <c r="AD807" s="293"/>
      <c r="AE807" s="294"/>
      <c r="AF807" s="294"/>
      <c r="AG807" s="294"/>
      <c r="AH807" s="294"/>
    </row>
    <row r="808" spans="2:34" s="295" customFormat="1">
      <c r="B808" s="287"/>
      <c r="C808" s="288"/>
      <c r="D808" s="289"/>
      <c r="E808" s="290"/>
      <c r="F808" s="291"/>
      <c r="G808" s="291"/>
      <c r="H808" s="291"/>
      <c r="I808" s="291"/>
      <c r="J808" s="291"/>
      <c r="K808" s="291"/>
      <c r="L808" s="291"/>
      <c r="M808" s="291"/>
      <c r="N808" s="291"/>
      <c r="O808" s="292"/>
      <c r="P808" s="291"/>
      <c r="Q808" s="291"/>
      <c r="R808" s="291"/>
      <c r="S808" s="291"/>
      <c r="T808" s="291"/>
      <c r="U808" s="291"/>
      <c r="V808" s="291"/>
      <c r="W808" s="291"/>
      <c r="X808" s="291"/>
      <c r="Y808" s="291"/>
      <c r="Z808" s="291"/>
      <c r="AA808" s="292"/>
      <c r="AB808" s="292"/>
      <c r="AC808" s="293"/>
      <c r="AD808" s="293"/>
      <c r="AE808" s="294"/>
      <c r="AF808" s="294"/>
      <c r="AG808" s="294"/>
      <c r="AH808" s="294"/>
    </row>
    <row r="809" spans="2:34" s="295" customFormat="1">
      <c r="B809" s="287"/>
      <c r="C809" s="288"/>
      <c r="D809" s="289"/>
      <c r="E809" s="290"/>
      <c r="F809" s="291"/>
      <c r="G809" s="291"/>
      <c r="H809" s="291"/>
      <c r="I809" s="291"/>
      <c r="J809" s="291"/>
      <c r="K809" s="291"/>
      <c r="L809" s="291"/>
      <c r="M809" s="291"/>
      <c r="N809" s="291"/>
      <c r="O809" s="292"/>
      <c r="P809" s="291"/>
      <c r="Q809" s="291"/>
      <c r="R809" s="291"/>
      <c r="S809" s="291"/>
      <c r="T809" s="291"/>
      <c r="U809" s="291"/>
      <c r="V809" s="291"/>
      <c r="W809" s="291"/>
      <c r="X809" s="291"/>
      <c r="Y809" s="291"/>
      <c r="Z809" s="291"/>
      <c r="AA809" s="292"/>
      <c r="AB809" s="292"/>
      <c r="AC809" s="293"/>
      <c r="AD809" s="293"/>
      <c r="AE809" s="294"/>
      <c r="AF809" s="294"/>
      <c r="AG809" s="294"/>
      <c r="AH809" s="294"/>
    </row>
    <row r="810" spans="2:34" s="295" customFormat="1">
      <c r="B810" s="287"/>
      <c r="C810" s="288"/>
      <c r="D810" s="289"/>
      <c r="E810" s="290"/>
      <c r="F810" s="291"/>
      <c r="G810" s="291"/>
      <c r="H810" s="291"/>
      <c r="I810" s="291"/>
      <c r="J810" s="291"/>
      <c r="K810" s="291"/>
      <c r="L810" s="291"/>
      <c r="M810" s="291"/>
      <c r="N810" s="291"/>
      <c r="O810" s="292"/>
      <c r="P810" s="291"/>
      <c r="Q810" s="291"/>
      <c r="R810" s="291"/>
      <c r="S810" s="291"/>
      <c r="T810" s="291"/>
      <c r="U810" s="291"/>
      <c r="V810" s="291"/>
      <c r="W810" s="291"/>
      <c r="X810" s="291"/>
      <c r="Y810" s="291"/>
      <c r="Z810" s="291"/>
      <c r="AA810" s="292"/>
      <c r="AB810" s="292"/>
      <c r="AC810" s="293"/>
      <c r="AD810" s="293"/>
      <c r="AE810" s="294"/>
      <c r="AF810" s="294"/>
      <c r="AG810" s="294"/>
      <c r="AH810" s="294"/>
    </row>
    <row r="811" spans="2:34" s="295" customFormat="1">
      <c r="B811" s="287"/>
      <c r="C811" s="288"/>
      <c r="D811" s="289"/>
      <c r="E811" s="290"/>
      <c r="F811" s="291"/>
      <c r="G811" s="291"/>
      <c r="H811" s="291"/>
      <c r="I811" s="291"/>
      <c r="J811" s="291"/>
      <c r="K811" s="291"/>
      <c r="L811" s="291"/>
      <c r="M811" s="291"/>
      <c r="N811" s="291"/>
      <c r="O811" s="292"/>
      <c r="P811" s="291"/>
      <c r="Q811" s="291"/>
      <c r="R811" s="291"/>
      <c r="S811" s="291"/>
      <c r="T811" s="291"/>
      <c r="U811" s="291"/>
      <c r="V811" s="291"/>
      <c r="W811" s="291"/>
      <c r="X811" s="291"/>
      <c r="Y811" s="291"/>
      <c r="Z811" s="291"/>
      <c r="AA811" s="292"/>
      <c r="AB811" s="292"/>
      <c r="AC811" s="293"/>
      <c r="AD811" s="293"/>
      <c r="AE811" s="294"/>
      <c r="AF811" s="294"/>
      <c r="AG811" s="294"/>
      <c r="AH811" s="294"/>
    </row>
    <row r="812" spans="2:34" s="295" customFormat="1">
      <c r="B812" s="287"/>
      <c r="C812" s="288"/>
      <c r="D812" s="289"/>
      <c r="E812" s="290"/>
      <c r="F812" s="291"/>
      <c r="G812" s="291"/>
      <c r="H812" s="291"/>
      <c r="I812" s="291"/>
      <c r="J812" s="291"/>
      <c r="K812" s="291"/>
      <c r="L812" s="291"/>
      <c r="M812" s="291"/>
      <c r="N812" s="291"/>
      <c r="O812" s="292"/>
      <c r="P812" s="291"/>
      <c r="Q812" s="291"/>
      <c r="R812" s="291"/>
      <c r="S812" s="291"/>
      <c r="T812" s="291"/>
      <c r="U812" s="291"/>
      <c r="V812" s="291"/>
      <c r="W812" s="291"/>
      <c r="X812" s="291"/>
      <c r="Y812" s="291"/>
      <c r="Z812" s="291"/>
      <c r="AA812" s="292"/>
      <c r="AB812" s="292"/>
      <c r="AC812" s="293"/>
      <c r="AD812" s="293"/>
      <c r="AE812" s="294"/>
      <c r="AF812" s="294"/>
      <c r="AG812" s="294"/>
      <c r="AH812" s="294"/>
    </row>
    <row r="813" spans="2:34" s="295" customFormat="1">
      <c r="B813" s="287"/>
      <c r="C813" s="288"/>
      <c r="D813" s="289"/>
      <c r="E813" s="290"/>
      <c r="F813" s="291"/>
      <c r="G813" s="291"/>
      <c r="H813" s="291"/>
      <c r="I813" s="291"/>
      <c r="J813" s="291"/>
      <c r="K813" s="291"/>
      <c r="L813" s="291"/>
      <c r="M813" s="291"/>
      <c r="N813" s="291"/>
      <c r="O813" s="292"/>
      <c r="P813" s="291"/>
      <c r="Q813" s="291"/>
      <c r="R813" s="291"/>
      <c r="S813" s="291"/>
      <c r="T813" s="291"/>
      <c r="U813" s="291"/>
      <c r="V813" s="291"/>
      <c r="W813" s="291"/>
      <c r="X813" s="291"/>
      <c r="Y813" s="291"/>
      <c r="Z813" s="291"/>
      <c r="AA813" s="292"/>
      <c r="AB813" s="292"/>
      <c r="AC813" s="293"/>
      <c r="AD813" s="293"/>
      <c r="AE813" s="294"/>
      <c r="AF813" s="294"/>
      <c r="AG813" s="294"/>
      <c r="AH813" s="294"/>
    </row>
    <row r="814" spans="2:34" s="295" customFormat="1">
      <c r="B814" s="287"/>
      <c r="C814" s="288"/>
      <c r="D814" s="289"/>
      <c r="E814" s="290"/>
      <c r="F814" s="291"/>
      <c r="G814" s="291"/>
      <c r="H814" s="291"/>
      <c r="I814" s="291"/>
      <c r="J814" s="291"/>
      <c r="K814" s="291"/>
      <c r="L814" s="291"/>
      <c r="M814" s="291"/>
      <c r="N814" s="291"/>
      <c r="O814" s="292"/>
      <c r="P814" s="291"/>
      <c r="Q814" s="291"/>
      <c r="R814" s="291"/>
      <c r="S814" s="291"/>
      <c r="T814" s="291"/>
      <c r="U814" s="291"/>
      <c r="V814" s="291"/>
      <c r="W814" s="291"/>
      <c r="X814" s="291"/>
      <c r="Y814" s="291"/>
      <c r="Z814" s="291"/>
      <c r="AA814" s="292"/>
      <c r="AB814" s="292"/>
      <c r="AC814" s="293"/>
      <c r="AD814" s="293"/>
      <c r="AE814" s="294"/>
      <c r="AF814" s="294"/>
      <c r="AG814" s="294"/>
      <c r="AH814" s="294"/>
    </row>
    <row r="815" spans="2:34" s="295" customFormat="1">
      <c r="B815" s="287"/>
      <c r="C815" s="288"/>
      <c r="D815" s="289"/>
      <c r="E815" s="290"/>
      <c r="F815" s="291"/>
      <c r="G815" s="291"/>
      <c r="H815" s="291"/>
      <c r="I815" s="291"/>
      <c r="J815" s="291"/>
      <c r="K815" s="291"/>
      <c r="L815" s="291"/>
      <c r="M815" s="291"/>
      <c r="N815" s="291"/>
      <c r="O815" s="292"/>
      <c r="P815" s="291"/>
      <c r="Q815" s="291"/>
      <c r="R815" s="291"/>
      <c r="S815" s="291"/>
      <c r="T815" s="291"/>
      <c r="U815" s="291"/>
      <c r="V815" s="291"/>
      <c r="W815" s="291"/>
      <c r="X815" s="291"/>
      <c r="Y815" s="291"/>
      <c r="Z815" s="291"/>
      <c r="AA815" s="292"/>
      <c r="AB815" s="292"/>
      <c r="AC815" s="293"/>
      <c r="AD815" s="293"/>
      <c r="AE815" s="294"/>
      <c r="AF815" s="294"/>
      <c r="AG815" s="294"/>
      <c r="AH815" s="294"/>
    </row>
    <row r="816" spans="2:34" s="295" customFormat="1">
      <c r="B816" s="287"/>
      <c r="C816" s="288"/>
      <c r="D816" s="289"/>
      <c r="E816" s="290"/>
      <c r="F816" s="291"/>
      <c r="G816" s="291"/>
      <c r="H816" s="291"/>
      <c r="I816" s="291"/>
      <c r="J816" s="291"/>
      <c r="K816" s="291"/>
      <c r="L816" s="291"/>
      <c r="M816" s="291"/>
      <c r="N816" s="291"/>
      <c r="O816" s="292"/>
      <c r="P816" s="291"/>
      <c r="Q816" s="291"/>
      <c r="R816" s="291"/>
      <c r="S816" s="291"/>
      <c r="T816" s="291"/>
      <c r="U816" s="291"/>
      <c r="V816" s="291"/>
      <c r="W816" s="291"/>
      <c r="X816" s="291"/>
      <c r="Y816" s="291"/>
      <c r="Z816" s="291"/>
      <c r="AA816" s="292"/>
      <c r="AB816" s="292"/>
      <c r="AC816" s="293"/>
      <c r="AD816" s="293"/>
      <c r="AE816" s="294"/>
      <c r="AF816" s="294"/>
      <c r="AG816" s="294"/>
      <c r="AH816" s="294"/>
    </row>
    <row r="817" spans="2:34" s="295" customFormat="1">
      <c r="B817" s="287"/>
      <c r="C817" s="288"/>
      <c r="D817" s="289"/>
      <c r="E817" s="290"/>
      <c r="F817" s="291"/>
      <c r="G817" s="291"/>
      <c r="H817" s="291"/>
      <c r="I817" s="291"/>
      <c r="J817" s="291"/>
      <c r="K817" s="291"/>
      <c r="L817" s="291"/>
      <c r="M817" s="291"/>
      <c r="N817" s="291"/>
      <c r="O817" s="292"/>
      <c r="P817" s="291"/>
      <c r="Q817" s="291"/>
      <c r="R817" s="291"/>
      <c r="S817" s="291"/>
      <c r="T817" s="291"/>
      <c r="U817" s="291"/>
      <c r="V817" s="291"/>
      <c r="W817" s="291"/>
      <c r="X817" s="291"/>
      <c r="Y817" s="291"/>
      <c r="Z817" s="291"/>
      <c r="AA817" s="292"/>
      <c r="AB817" s="292"/>
      <c r="AC817" s="293"/>
      <c r="AD817" s="293"/>
      <c r="AE817" s="294"/>
      <c r="AF817" s="294"/>
      <c r="AG817" s="294"/>
      <c r="AH817" s="294"/>
    </row>
    <row r="818" spans="2:34" s="295" customFormat="1">
      <c r="B818" s="287"/>
      <c r="C818" s="288"/>
      <c r="D818" s="289"/>
      <c r="E818" s="290"/>
      <c r="F818" s="291"/>
      <c r="G818" s="291"/>
      <c r="H818" s="291"/>
      <c r="I818" s="291"/>
      <c r="J818" s="291"/>
      <c r="K818" s="291"/>
      <c r="L818" s="291"/>
      <c r="M818" s="291"/>
      <c r="N818" s="291"/>
      <c r="O818" s="292"/>
      <c r="P818" s="291"/>
      <c r="Q818" s="291"/>
      <c r="R818" s="291"/>
      <c r="S818" s="291"/>
      <c r="T818" s="291"/>
      <c r="U818" s="291"/>
      <c r="V818" s="291"/>
      <c r="W818" s="291"/>
      <c r="X818" s="291"/>
      <c r="Y818" s="291"/>
      <c r="Z818" s="291"/>
      <c r="AA818" s="292"/>
      <c r="AB818" s="292"/>
      <c r="AC818" s="293"/>
      <c r="AD818" s="293"/>
      <c r="AE818" s="294"/>
      <c r="AF818" s="294"/>
      <c r="AG818" s="294"/>
      <c r="AH818" s="294"/>
    </row>
    <row r="819" spans="2:34" s="295" customFormat="1">
      <c r="B819" s="287"/>
      <c r="C819" s="288"/>
      <c r="D819" s="289"/>
      <c r="E819" s="290"/>
      <c r="F819" s="291"/>
      <c r="G819" s="291"/>
      <c r="H819" s="291"/>
      <c r="I819" s="291"/>
      <c r="J819" s="291"/>
      <c r="K819" s="291"/>
      <c r="L819" s="291"/>
      <c r="M819" s="291"/>
      <c r="N819" s="291"/>
      <c r="O819" s="292"/>
      <c r="P819" s="291"/>
      <c r="Q819" s="291"/>
      <c r="R819" s="291"/>
      <c r="S819" s="291"/>
      <c r="T819" s="291"/>
      <c r="U819" s="291"/>
      <c r="V819" s="291"/>
      <c r="W819" s="291"/>
      <c r="X819" s="291"/>
      <c r="Y819" s="291"/>
      <c r="Z819" s="291"/>
      <c r="AA819" s="292"/>
      <c r="AB819" s="292"/>
      <c r="AC819" s="293"/>
      <c r="AD819" s="293"/>
      <c r="AE819" s="294"/>
      <c r="AF819" s="294"/>
      <c r="AG819" s="294"/>
      <c r="AH819" s="294"/>
    </row>
    <row r="820" spans="2:34" s="295" customFormat="1">
      <c r="B820" s="287"/>
      <c r="C820" s="288"/>
      <c r="D820" s="289"/>
      <c r="E820" s="290"/>
      <c r="F820" s="291"/>
      <c r="G820" s="291"/>
      <c r="H820" s="291"/>
      <c r="I820" s="291"/>
      <c r="J820" s="291"/>
      <c r="K820" s="291"/>
      <c r="L820" s="291"/>
      <c r="M820" s="291"/>
      <c r="N820" s="291"/>
      <c r="O820" s="292"/>
      <c r="P820" s="291"/>
      <c r="Q820" s="291"/>
      <c r="R820" s="291"/>
      <c r="S820" s="291"/>
      <c r="T820" s="291"/>
      <c r="U820" s="291"/>
      <c r="V820" s="291"/>
      <c r="W820" s="291"/>
      <c r="X820" s="291"/>
      <c r="Y820" s="291"/>
      <c r="Z820" s="291"/>
      <c r="AA820" s="292"/>
      <c r="AB820" s="292"/>
      <c r="AC820" s="293"/>
      <c r="AD820" s="293"/>
      <c r="AE820" s="294"/>
      <c r="AF820" s="294"/>
      <c r="AG820" s="294"/>
      <c r="AH820" s="294"/>
    </row>
    <row r="821" spans="2:34" s="295" customFormat="1">
      <c r="B821" s="287"/>
      <c r="C821" s="288"/>
      <c r="D821" s="289"/>
      <c r="E821" s="290"/>
      <c r="F821" s="291"/>
      <c r="G821" s="291"/>
      <c r="H821" s="291"/>
      <c r="I821" s="291"/>
      <c r="J821" s="291"/>
      <c r="K821" s="291"/>
      <c r="L821" s="291"/>
      <c r="M821" s="291"/>
      <c r="N821" s="291"/>
      <c r="O821" s="292"/>
      <c r="P821" s="291"/>
      <c r="Q821" s="291"/>
      <c r="R821" s="291"/>
      <c r="S821" s="291"/>
      <c r="T821" s="291"/>
      <c r="U821" s="291"/>
      <c r="V821" s="291"/>
      <c r="W821" s="291"/>
      <c r="X821" s="291"/>
      <c r="Y821" s="291"/>
      <c r="Z821" s="291"/>
      <c r="AA821" s="292"/>
      <c r="AB821" s="292"/>
      <c r="AC821" s="293"/>
      <c r="AD821" s="293"/>
      <c r="AE821" s="294"/>
      <c r="AF821" s="294"/>
      <c r="AG821" s="294"/>
      <c r="AH821" s="294"/>
    </row>
    <row r="822" spans="2:34" s="295" customFormat="1">
      <c r="B822" s="287"/>
      <c r="C822" s="288"/>
      <c r="D822" s="289"/>
      <c r="E822" s="290"/>
      <c r="F822" s="291"/>
      <c r="G822" s="291"/>
      <c r="H822" s="291"/>
      <c r="I822" s="291"/>
      <c r="J822" s="291"/>
      <c r="K822" s="291"/>
      <c r="L822" s="291"/>
      <c r="M822" s="291"/>
      <c r="N822" s="291"/>
      <c r="O822" s="292"/>
      <c r="P822" s="291"/>
      <c r="Q822" s="291"/>
      <c r="R822" s="291"/>
      <c r="S822" s="291"/>
      <c r="T822" s="291"/>
      <c r="U822" s="291"/>
      <c r="V822" s="291"/>
      <c r="W822" s="291"/>
      <c r="X822" s="291"/>
      <c r="Y822" s="291"/>
      <c r="Z822" s="291"/>
      <c r="AA822" s="292"/>
      <c r="AB822" s="292"/>
      <c r="AC822" s="293"/>
      <c r="AD822" s="293"/>
      <c r="AE822" s="294"/>
      <c r="AF822" s="294"/>
      <c r="AG822" s="294"/>
      <c r="AH822" s="294"/>
    </row>
    <row r="823" spans="2:34" s="295" customFormat="1">
      <c r="B823" s="287"/>
      <c r="C823" s="288"/>
      <c r="D823" s="289"/>
      <c r="E823" s="290"/>
      <c r="F823" s="291"/>
      <c r="G823" s="291"/>
      <c r="H823" s="291"/>
      <c r="I823" s="291"/>
      <c r="J823" s="291"/>
      <c r="K823" s="291"/>
      <c r="L823" s="291"/>
      <c r="M823" s="291"/>
      <c r="N823" s="291"/>
      <c r="O823" s="292"/>
      <c r="P823" s="291"/>
      <c r="Q823" s="291"/>
      <c r="R823" s="291"/>
      <c r="S823" s="291"/>
      <c r="T823" s="291"/>
      <c r="U823" s="291"/>
      <c r="V823" s="291"/>
      <c r="W823" s="291"/>
      <c r="X823" s="291"/>
      <c r="Y823" s="291"/>
      <c r="Z823" s="291"/>
      <c r="AA823" s="292"/>
      <c r="AB823" s="292"/>
      <c r="AC823" s="293"/>
      <c r="AD823" s="293"/>
      <c r="AE823" s="294"/>
      <c r="AF823" s="294"/>
      <c r="AG823" s="294"/>
      <c r="AH823" s="294"/>
    </row>
    <row r="824" spans="2:34" s="295" customFormat="1">
      <c r="B824" s="287"/>
      <c r="C824" s="288"/>
      <c r="D824" s="289"/>
      <c r="E824" s="290"/>
      <c r="F824" s="291"/>
      <c r="G824" s="291"/>
      <c r="H824" s="291"/>
      <c r="I824" s="291"/>
      <c r="J824" s="291"/>
      <c r="K824" s="291"/>
      <c r="L824" s="291"/>
      <c r="M824" s="291"/>
      <c r="N824" s="291"/>
      <c r="O824" s="292"/>
      <c r="P824" s="291"/>
      <c r="Q824" s="291"/>
      <c r="R824" s="291"/>
      <c r="S824" s="291"/>
      <c r="T824" s="291"/>
      <c r="U824" s="291"/>
      <c r="V824" s="291"/>
      <c r="W824" s="291"/>
      <c r="X824" s="291"/>
      <c r="Y824" s="291"/>
      <c r="Z824" s="291"/>
      <c r="AA824" s="292"/>
      <c r="AB824" s="292"/>
      <c r="AC824" s="293"/>
      <c r="AD824" s="293"/>
      <c r="AE824" s="294"/>
      <c r="AF824" s="294"/>
      <c r="AG824" s="294"/>
      <c r="AH824" s="294"/>
    </row>
    <row r="825" spans="2:34" s="295" customFormat="1">
      <c r="B825" s="287"/>
      <c r="C825" s="288"/>
      <c r="D825" s="289"/>
      <c r="E825" s="290"/>
      <c r="F825" s="291"/>
      <c r="G825" s="291"/>
      <c r="H825" s="291"/>
      <c r="I825" s="291"/>
      <c r="J825" s="291"/>
      <c r="K825" s="291"/>
      <c r="L825" s="291"/>
      <c r="M825" s="291"/>
      <c r="N825" s="291"/>
      <c r="O825" s="292"/>
      <c r="P825" s="291"/>
      <c r="Q825" s="291"/>
      <c r="R825" s="291"/>
      <c r="S825" s="291"/>
      <c r="T825" s="291"/>
      <c r="U825" s="291"/>
      <c r="V825" s="291"/>
      <c r="W825" s="291"/>
      <c r="X825" s="291"/>
      <c r="Y825" s="291"/>
      <c r="Z825" s="291"/>
      <c r="AA825" s="292"/>
      <c r="AB825" s="292"/>
      <c r="AC825" s="293"/>
      <c r="AD825" s="293"/>
      <c r="AE825" s="294"/>
      <c r="AF825" s="294"/>
      <c r="AG825" s="294"/>
      <c r="AH825" s="294"/>
    </row>
    <row r="826" spans="2:34" s="295" customFormat="1">
      <c r="B826" s="287"/>
      <c r="C826" s="288"/>
      <c r="D826" s="289"/>
      <c r="E826" s="290"/>
      <c r="F826" s="291"/>
      <c r="G826" s="291"/>
      <c r="H826" s="291"/>
      <c r="I826" s="291"/>
      <c r="J826" s="291"/>
      <c r="K826" s="291"/>
      <c r="L826" s="291"/>
      <c r="M826" s="291"/>
      <c r="N826" s="291"/>
      <c r="O826" s="292"/>
      <c r="P826" s="291"/>
      <c r="Q826" s="291"/>
      <c r="R826" s="291"/>
      <c r="S826" s="291"/>
      <c r="T826" s="291"/>
      <c r="U826" s="291"/>
      <c r="V826" s="291"/>
      <c r="W826" s="291"/>
      <c r="X826" s="291"/>
      <c r="Y826" s="291"/>
      <c r="Z826" s="291"/>
      <c r="AA826" s="292"/>
      <c r="AB826" s="292"/>
      <c r="AC826" s="293"/>
      <c r="AD826" s="293"/>
      <c r="AE826" s="294"/>
      <c r="AF826" s="294"/>
      <c r="AG826" s="294"/>
      <c r="AH826" s="294"/>
    </row>
    <row r="827" spans="2:34" s="295" customFormat="1">
      <c r="B827" s="287"/>
      <c r="C827" s="288"/>
      <c r="D827" s="289"/>
      <c r="E827" s="290"/>
      <c r="F827" s="291"/>
      <c r="G827" s="291"/>
      <c r="H827" s="291"/>
      <c r="I827" s="291"/>
      <c r="J827" s="291"/>
      <c r="K827" s="291"/>
      <c r="L827" s="291"/>
      <c r="M827" s="291"/>
      <c r="N827" s="291"/>
      <c r="O827" s="292"/>
      <c r="P827" s="291"/>
      <c r="Q827" s="291"/>
      <c r="R827" s="291"/>
      <c r="S827" s="291"/>
      <c r="T827" s="291"/>
      <c r="U827" s="291"/>
      <c r="V827" s="291"/>
      <c r="W827" s="291"/>
      <c r="X827" s="291"/>
      <c r="Y827" s="291"/>
      <c r="Z827" s="291"/>
      <c r="AA827" s="292"/>
      <c r="AB827" s="292"/>
      <c r="AC827" s="293"/>
      <c r="AD827" s="293"/>
      <c r="AE827" s="294"/>
      <c r="AF827" s="294"/>
      <c r="AG827" s="294"/>
      <c r="AH827" s="294"/>
    </row>
    <row r="828" spans="2:34" s="295" customFormat="1">
      <c r="B828" s="287"/>
      <c r="C828" s="288"/>
      <c r="D828" s="289"/>
      <c r="E828" s="290"/>
      <c r="F828" s="291"/>
      <c r="G828" s="291"/>
      <c r="H828" s="291"/>
      <c r="I828" s="291"/>
      <c r="J828" s="291"/>
      <c r="K828" s="291"/>
      <c r="L828" s="291"/>
      <c r="M828" s="291"/>
      <c r="N828" s="291"/>
      <c r="O828" s="292"/>
      <c r="P828" s="291"/>
      <c r="Q828" s="291"/>
      <c r="R828" s="291"/>
      <c r="S828" s="291"/>
      <c r="T828" s="291"/>
      <c r="U828" s="291"/>
      <c r="V828" s="291"/>
      <c r="W828" s="291"/>
      <c r="X828" s="291"/>
      <c r="Y828" s="291"/>
      <c r="Z828" s="291"/>
      <c r="AA828" s="292"/>
      <c r="AB828" s="292"/>
      <c r="AC828" s="293"/>
      <c r="AD828" s="293"/>
      <c r="AE828" s="294"/>
      <c r="AF828" s="294"/>
      <c r="AG828" s="294"/>
      <c r="AH828" s="294"/>
    </row>
    <row r="829" spans="2:34" s="295" customFormat="1">
      <c r="B829" s="287"/>
      <c r="C829" s="288"/>
      <c r="D829" s="289"/>
      <c r="E829" s="290"/>
      <c r="F829" s="291"/>
      <c r="G829" s="291"/>
      <c r="H829" s="291"/>
      <c r="I829" s="291"/>
      <c r="J829" s="291"/>
      <c r="K829" s="291"/>
      <c r="L829" s="291"/>
      <c r="M829" s="291"/>
      <c r="N829" s="291"/>
      <c r="O829" s="292"/>
      <c r="P829" s="291"/>
      <c r="Q829" s="291"/>
      <c r="R829" s="291"/>
      <c r="S829" s="291"/>
      <c r="T829" s="291"/>
      <c r="U829" s="291"/>
      <c r="V829" s="291"/>
      <c r="W829" s="291"/>
      <c r="X829" s="291"/>
      <c r="Y829" s="291"/>
      <c r="Z829" s="291"/>
      <c r="AA829" s="292"/>
      <c r="AB829" s="292"/>
      <c r="AC829" s="293"/>
      <c r="AD829" s="293"/>
      <c r="AE829" s="294"/>
      <c r="AF829" s="294"/>
      <c r="AG829" s="294"/>
      <c r="AH829" s="294"/>
    </row>
    <row r="830" spans="2:34" s="295" customFormat="1">
      <c r="B830" s="287"/>
      <c r="C830" s="288"/>
      <c r="D830" s="289"/>
      <c r="E830" s="290"/>
      <c r="F830" s="291"/>
      <c r="G830" s="291"/>
      <c r="H830" s="291"/>
      <c r="I830" s="291"/>
      <c r="J830" s="291"/>
      <c r="K830" s="291"/>
      <c r="L830" s="291"/>
      <c r="M830" s="291"/>
      <c r="N830" s="291"/>
      <c r="O830" s="292"/>
      <c r="P830" s="291"/>
      <c r="Q830" s="291"/>
      <c r="R830" s="291"/>
      <c r="S830" s="291"/>
      <c r="T830" s="291"/>
      <c r="U830" s="291"/>
      <c r="V830" s="291"/>
      <c r="W830" s="291"/>
      <c r="X830" s="291"/>
      <c r="Y830" s="291"/>
      <c r="Z830" s="291"/>
      <c r="AA830" s="292"/>
      <c r="AB830" s="292"/>
      <c r="AC830" s="293"/>
      <c r="AD830" s="293"/>
      <c r="AE830" s="294"/>
      <c r="AF830" s="294"/>
      <c r="AG830" s="294"/>
      <c r="AH830" s="294"/>
    </row>
    <row r="831" spans="2:34" s="295" customFormat="1">
      <c r="B831" s="287"/>
      <c r="C831" s="288"/>
      <c r="D831" s="289"/>
      <c r="E831" s="290"/>
      <c r="F831" s="291"/>
      <c r="G831" s="291"/>
      <c r="H831" s="291"/>
      <c r="I831" s="291"/>
      <c r="J831" s="291"/>
      <c r="K831" s="291"/>
      <c r="L831" s="291"/>
      <c r="M831" s="291"/>
      <c r="N831" s="291"/>
      <c r="O831" s="292"/>
      <c r="P831" s="291"/>
      <c r="Q831" s="291"/>
      <c r="R831" s="291"/>
      <c r="S831" s="291"/>
      <c r="T831" s="291"/>
      <c r="U831" s="291"/>
      <c r="V831" s="291"/>
      <c r="W831" s="291"/>
      <c r="X831" s="291"/>
      <c r="Y831" s="291"/>
      <c r="Z831" s="291"/>
      <c r="AA831" s="292"/>
      <c r="AB831" s="292"/>
      <c r="AC831" s="293"/>
      <c r="AD831" s="293"/>
      <c r="AE831" s="294"/>
      <c r="AF831" s="294"/>
      <c r="AG831" s="294"/>
      <c r="AH831" s="294"/>
    </row>
    <row r="832" spans="2:34" s="295" customFormat="1">
      <c r="B832" s="287"/>
      <c r="C832" s="288"/>
      <c r="D832" s="289"/>
      <c r="E832" s="290"/>
      <c r="F832" s="291"/>
      <c r="G832" s="291"/>
      <c r="H832" s="291"/>
      <c r="I832" s="291"/>
      <c r="J832" s="291"/>
      <c r="K832" s="291"/>
      <c r="L832" s="291"/>
      <c r="M832" s="291"/>
      <c r="N832" s="291"/>
      <c r="O832" s="292"/>
      <c r="P832" s="291"/>
      <c r="Q832" s="291"/>
      <c r="R832" s="291"/>
      <c r="S832" s="291"/>
      <c r="T832" s="291"/>
      <c r="U832" s="291"/>
      <c r="V832" s="291"/>
      <c r="W832" s="291"/>
      <c r="X832" s="291"/>
      <c r="Y832" s="291"/>
      <c r="Z832" s="291"/>
      <c r="AA832" s="292"/>
      <c r="AB832" s="292"/>
      <c r="AC832" s="293"/>
      <c r="AD832" s="293"/>
      <c r="AE832" s="294"/>
      <c r="AF832" s="294"/>
      <c r="AG832" s="294"/>
      <c r="AH832" s="294"/>
    </row>
    <row r="833" spans="2:34" s="295" customFormat="1">
      <c r="B833" s="287"/>
      <c r="C833" s="288"/>
      <c r="D833" s="289"/>
      <c r="E833" s="290"/>
      <c r="F833" s="291"/>
      <c r="G833" s="291"/>
      <c r="H833" s="291"/>
      <c r="I833" s="291"/>
      <c r="J833" s="291"/>
      <c r="K833" s="291"/>
      <c r="L833" s="291"/>
      <c r="M833" s="291"/>
      <c r="N833" s="291"/>
      <c r="O833" s="292"/>
      <c r="P833" s="291"/>
      <c r="Q833" s="291"/>
      <c r="R833" s="291"/>
      <c r="S833" s="291"/>
      <c r="T833" s="291"/>
      <c r="U833" s="291"/>
      <c r="V833" s="291"/>
      <c r="W833" s="291"/>
      <c r="X833" s="291"/>
      <c r="Y833" s="291"/>
      <c r="Z833" s="291"/>
      <c r="AA833" s="292"/>
      <c r="AB833" s="292"/>
      <c r="AC833" s="293"/>
      <c r="AD833" s="293"/>
      <c r="AE833" s="294"/>
      <c r="AF833" s="294"/>
      <c r="AG833" s="294"/>
      <c r="AH833" s="294"/>
    </row>
    <row r="834" spans="2:34" s="295" customFormat="1">
      <c r="B834" s="287"/>
      <c r="C834" s="288"/>
      <c r="D834" s="289"/>
      <c r="E834" s="290"/>
      <c r="F834" s="291"/>
      <c r="G834" s="291"/>
      <c r="H834" s="291"/>
      <c r="I834" s="291"/>
      <c r="J834" s="291"/>
      <c r="K834" s="291"/>
      <c r="L834" s="291"/>
      <c r="M834" s="291"/>
      <c r="N834" s="291"/>
      <c r="O834" s="292"/>
      <c r="P834" s="291"/>
      <c r="Q834" s="291"/>
      <c r="R834" s="291"/>
      <c r="S834" s="291"/>
      <c r="T834" s="291"/>
      <c r="U834" s="291"/>
      <c r="V834" s="291"/>
      <c r="W834" s="291"/>
      <c r="X834" s="291"/>
      <c r="Y834" s="291"/>
      <c r="Z834" s="291"/>
      <c r="AA834" s="292"/>
      <c r="AB834" s="292"/>
      <c r="AC834" s="293"/>
      <c r="AD834" s="293"/>
      <c r="AE834" s="294"/>
      <c r="AF834" s="294"/>
      <c r="AG834" s="294"/>
      <c r="AH834" s="294"/>
    </row>
    <row r="835" spans="2:34" s="295" customFormat="1">
      <c r="B835" s="287"/>
      <c r="C835" s="288"/>
      <c r="D835" s="289"/>
      <c r="E835" s="290"/>
      <c r="F835" s="291"/>
      <c r="G835" s="291"/>
      <c r="H835" s="291"/>
      <c r="I835" s="291"/>
      <c r="J835" s="291"/>
      <c r="K835" s="291"/>
      <c r="L835" s="291"/>
      <c r="M835" s="291"/>
      <c r="N835" s="291"/>
      <c r="O835" s="292"/>
      <c r="P835" s="291"/>
      <c r="Q835" s="291"/>
      <c r="R835" s="291"/>
      <c r="S835" s="291"/>
      <c r="T835" s="291"/>
      <c r="U835" s="291"/>
      <c r="V835" s="291"/>
      <c r="W835" s="291"/>
      <c r="X835" s="291"/>
      <c r="Y835" s="291"/>
      <c r="Z835" s="291"/>
      <c r="AA835" s="292"/>
      <c r="AB835" s="292"/>
      <c r="AC835" s="293"/>
      <c r="AD835" s="293"/>
      <c r="AE835" s="294"/>
      <c r="AF835" s="294"/>
      <c r="AG835" s="294"/>
      <c r="AH835" s="294"/>
    </row>
    <row r="836" spans="2:34" s="295" customFormat="1">
      <c r="B836" s="287"/>
      <c r="C836" s="288"/>
      <c r="D836" s="289"/>
      <c r="E836" s="290"/>
      <c r="F836" s="291"/>
      <c r="G836" s="291"/>
      <c r="H836" s="291"/>
      <c r="I836" s="291"/>
      <c r="J836" s="291"/>
      <c r="K836" s="291"/>
      <c r="L836" s="291"/>
      <c r="M836" s="291"/>
      <c r="N836" s="291"/>
      <c r="O836" s="292"/>
      <c r="P836" s="291"/>
      <c r="Q836" s="291"/>
      <c r="R836" s="291"/>
      <c r="S836" s="291"/>
      <c r="T836" s="291"/>
      <c r="U836" s="291"/>
      <c r="V836" s="291"/>
      <c r="W836" s="291"/>
      <c r="X836" s="291"/>
      <c r="Y836" s="291"/>
      <c r="Z836" s="291"/>
      <c r="AA836" s="292"/>
      <c r="AB836" s="292"/>
      <c r="AC836" s="293"/>
      <c r="AD836" s="293"/>
      <c r="AE836" s="294"/>
      <c r="AF836" s="294"/>
      <c r="AG836" s="294"/>
      <c r="AH836" s="294"/>
    </row>
    <row r="837" spans="2:34" s="295" customFormat="1">
      <c r="B837" s="287"/>
      <c r="C837" s="288"/>
      <c r="D837" s="289"/>
      <c r="E837" s="290"/>
      <c r="F837" s="291"/>
      <c r="G837" s="291"/>
      <c r="H837" s="291"/>
      <c r="I837" s="291"/>
      <c r="J837" s="291"/>
      <c r="K837" s="291"/>
      <c r="L837" s="291"/>
      <c r="M837" s="291"/>
      <c r="N837" s="291"/>
      <c r="O837" s="292"/>
      <c r="P837" s="291"/>
      <c r="Q837" s="291"/>
      <c r="R837" s="291"/>
      <c r="S837" s="291"/>
      <c r="T837" s="291"/>
      <c r="U837" s="291"/>
      <c r="V837" s="291"/>
      <c r="W837" s="291"/>
      <c r="X837" s="291"/>
      <c r="Y837" s="291"/>
      <c r="Z837" s="291"/>
      <c r="AA837" s="292"/>
      <c r="AB837" s="292"/>
      <c r="AC837" s="293"/>
      <c r="AD837" s="293"/>
      <c r="AE837" s="294"/>
      <c r="AF837" s="294"/>
      <c r="AG837" s="294"/>
      <c r="AH837" s="294"/>
    </row>
    <row r="838" spans="2:34" s="295" customFormat="1">
      <c r="B838" s="287"/>
      <c r="C838" s="288"/>
      <c r="D838" s="289"/>
      <c r="E838" s="290"/>
      <c r="F838" s="291"/>
      <c r="G838" s="291"/>
      <c r="H838" s="291"/>
      <c r="I838" s="291"/>
      <c r="J838" s="291"/>
      <c r="K838" s="291"/>
      <c r="L838" s="291"/>
      <c r="M838" s="291"/>
      <c r="N838" s="291"/>
      <c r="O838" s="292"/>
      <c r="P838" s="291"/>
      <c r="Q838" s="291"/>
      <c r="R838" s="291"/>
      <c r="S838" s="291"/>
      <c r="T838" s="291"/>
      <c r="U838" s="291"/>
      <c r="V838" s="291"/>
      <c r="W838" s="291"/>
      <c r="X838" s="291"/>
      <c r="Y838" s="291"/>
      <c r="Z838" s="291"/>
      <c r="AA838" s="292"/>
      <c r="AB838" s="292"/>
      <c r="AC838" s="293"/>
      <c r="AD838" s="293"/>
      <c r="AE838" s="294"/>
      <c r="AF838" s="294"/>
      <c r="AG838" s="294"/>
      <c r="AH838" s="294"/>
    </row>
    <row r="839" spans="2:34" s="295" customFormat="1">
      <c r="B839" s="287"/>
      <c r="C839" s="288"/>
      <c r="D839" s="289"/>
      <c r="E839" s="290"/>
      <c r="F839" s="291"/>
      <c r="G839" s="291"/>
      <c r="H839" s="291"/>
      <c r="I839" s="291"/>
      <c r="J839" s="291"/>
      <c r="K839" s="291"/>
      <c r="L839" s="291"/>
      <c r="M839" s="291"/>
      <c r="N839" s="291"/>
      <c r="O839" s="292"/>
      <c r="P839" s="291"/>
      <c r="Q839" s="291"/>
      <c r="R839" s="291"/>
      <c r="S839" s="291"/>
      <c r="T839" s="291"/>
      <c r="U839" s="291"/>
      <c r="V839" s="291"/>
      <c r="W839" s="291"/>
      <c r="X839" s="291"/>
      <c r="Y839" s="291"/>
      <c r="Z839" s="291"/>
      <c r="AA839" s="292"/>
      <c r="AB839" s="292"/>
      <c r="AC839" s="293"/>
      <c r="AD839" s="293"/>
      <c r="AE839" s="294"/>
      <c r="AF839" s="294"/>
      <c r="AG839" s="294"/>
      <c r="AH839" s="294"/>
    </row>
    <row r="840" spans="2:34" s="295" customFormat="1">
      <c r="B840" s="287"/>
      <c r="C840" s="288"/>
      <c r="D840" s="289"/>
      <c r="E840" s="290"/>
      <c r="F840" s="291"/>
      <c r="G840" s="291"/>
      <c r="H840" s="291"/>
      <c r="I840" s="291"/>
      <c r="J840" s="291"/>
      <c r="K840" s="291"/>
      <c r="L840" s="291"/>
      <c r="M840" s="291"/>
      <c r="N840" s="291"/>
      <c r="O840" s="292"/>
      <c r="P840" s="291"/>
      <c r="Q840" s="291"/>
      <c r="R840" s="291"/>
      <c r="S840" s="291"/>
      <c r="T840" s="291"/>
      <c r="U840" s="291"/>
      <c r="V840" s="291"/>
      <c r="W840" s="291"/>
      <c r="X840" s="291"/>
      <c r="Y840" s="291"/>
      <c r="Z840" s="291"/>
      <c r="AA840" s="292"/>
      <c r="AB840" s="292"/>
      <c r="AC840" s="293"/>
      <c r="AD840" s="293"/>
      <c r="AE840" s="294"/>
      <c r="AF840" s="294"/>
      <c r="AG840" s="294"/>
      <c r="AH840" s="294"/>
    </row>
    <row r="841" spans="2:34" s="295" customFormat="1">
      <c r="B841" s="287"/>
      <c r="C841" s="288"/>
      <c r="D841" s="289"/>
      <c r="E841" s="290"/>
      <c r="F841" s="291"/>
      <c r="G841" s="291"/>
      <c r="H841" s="291"/>
      <c r="I841" s="291"/>
      <c r="J841" s="291"/>
      <c r="K841" s="291"/>
      <c r="L841" s="291"/>
      <c r="M841" s="291"/>
      <c r="N841" s="291"/>
      <c r="O841" s="292"/>
      <c r="P841" s="291"/>
      <c r="Q841" s="291"/>
      <c r="R841" s="291"/>
      <c r="S841" s="291"/>
      <c r="T841" s="291"/>
      <c r="U841" s="291"/>
      <c r="V841" s="291"/>
      <c r="W841" s="291"/>
      <c r="X841" s="291"/>
      <c r="Y841" s="291"/>
      <c r="Z841" s="291"/>
      <c r="AA841" s="292"/>
      <c r="AB841" s="292"/>
      <c r="AC841" s="293"/>
      <c r="AD841" s="293"/>
      <c r="AE841" s="294"/>
      <c r="AF841" s="294"/>
      <c r="AG841" s="294"/>
      <c r="AH841" s="294"/>
    </row>
    <row r="842" spans="2:34" s="295" customFormat="1">
      <c r="B842" s="287"/>
      <c r="C842" s="288"/>
      <c r="D842" s="289"/>
      <c r="E842" s="290"/>
      <c r="F842" s="291"/>
      <c r="G842" s="291"/>
      <c r="H842" s="291"/>
      <c r="I842" s="291"/>
      <c r="J842" s="291"/>
      <c r="K842" s="291"/>
      <c r="L842" s="291"/>
      <c r="M842" s="291"/>
      <c r="N842" s="291"/>
      <c r="O842" s="292"/>
      <c r="P842" s="291"/>
      <c r="Q842" s="291"/>
      <c r="R842" s="291"/>
      <c r="S842" s="291"/>
      <c r="T842" s="291"/>
      <c r="U842" s="291"/>
      <c r="V842" s="291"/>
      <c r="W842" s="291"/>
      <c r="X842" s="291"/>
      <c r="Y842" s="291"/>
      <c r="Z842" s="291"/>
      <c r="AA842" s="292"/>
      <c r="AB842" s="292"/>
      <c r="AC842" s="293"/>
      <c r="AD842" s="293"/>
      <c r="AE842" s="294"/>
      <c r="AF842" s="294"/>
      <c r="AG842" s="294"/>
      <c r="AH842" s="294"/>
    </row>
    <row r="843" spans="2:34" s="295" customFormat="1">
      <c r="B843" s="287"/>
      <c r="C843" s="288"/>
      <c r="D843" s="289"/>
      <c r="E843" s="290"/>
      <c r="F843" s="291"/>
      <c r="G843" s="291"/>
      <c r="H843" s="291"/>
      <c r="I843" s="291"/>
      <c r="J843" s="291"/>
      <c r="K843" s="291"/>
      <c r="L843" s="291"/>
      <c r="M843" s="291"/>
      <c r="N843" s="291"/>
      <c r="O843" s="292"/>
      <c r="P843" s="291"/>
      <c r="Q843" s="291"/>
      <c r="R843" s="291"/>
      <c r="S843" s="291"/>
      <c r="T843" s="291"/>
      <c r="U843" s="291"/>
      <c r="V843" s="291"/>
      <c r="W843" s="291"/>
      <c r="X843" s="291"/>
      <c r="Y843" s="291"/>
      <c r="Z843" s="291"/>
      <c r="AA843" s="292"/>
      <c r="AB843" s="292"/>
      <c r="AC843" s="293"/>
      <c r="AD843" s="293"/>
      <c r="AE843" s="294"/>
      <c r="AF843" s="294"/>
      <c r="AG843" s="294"/>
      <c r="AH843" s="294"/>
    </row>
    <row r="844" spans="2:34" s="295" customFormat="1">
      <c r="B844" s="287"/>
      <c r="C844" s="288"/>
      <c r="D844" s="289"/>
      <c r="E844" s="290"/>
      <c r="F844" s="291"/>
      <c r="G844" s="291"/>
      <c r="H844" s="291"/>
      <c r="I844" s="291"/>
      <c r="J844" s="291"/>
      <c r="K844" s="291"/>
      <c r="L844" s="291"/>
      <c r="M844" s="291"/>
      <c r="N844" s="291"/>
      <c r="O844" s="292"/>
      <c r="P844" s="291"/>
      <c r="Q844" s="291"/>
      <c r="R844" s="291"/>
      <c r="S844" s="291"/>
      <c r="T844" s="291"/>
      <c r="U844" s="291"/>
      <c r="V844" s="291"/>
      <c r="W844" s="291"/>
      <c r="X844" s="291"/>
      <c r="Y844" s="291"/>
      <c r="Z844" s="291"/>
      <c r="AA844" s="292"/>
      <c r="AB844" s="292"/>
      <c r="AC844" s="293"/>
      <c r="AD844" s="293"/>
      <c r="AE844" s="294"/>
      <c r="AF844" s="294"/>
      <c r="AG844" s="294"/>
      <c r="AH844" s="294"/>
    </row>
    <row r="845" spans="2:34" s="295" customFormat="1">
      <c r="B845" s="287"/>
      <c r="C845" s="288"/>
      <c r="D845" s="289"/>
      <c r="E845" s="290"/>
      <c r="F845" s="291"/>
      <c r="G845" s="291"/>
      <c r="H845" s="291"/>
      <c r="I845" s="291"/>
      <c r="J845" s="291"/>
      <c r="K845" s="291"/>
      <c r="L845" s="291"/>
      <c r="M845" s="291"/>
      <c r="N845" s="291"/>
      <c r="O845" s="292"/>
      <c r="P845" s="291"/>
      <c r="Q845" s="291"/>
      <c r="R845" s="291"/>
      <c r="S845" s="291"/>
      <c r="T845" s="291"/>
      <c r="U845" s="291"/>
      <c r="V845" s="291"/>
      <c r="W845" s="291"/>
      <c r="X845" s="291"/>
      <c r="Y845" s="291"/>
      <c r="Z845" s="291"/>
      <c r="AA845" s="292"/>
      <c r="AB845" s="292"/>
      <c r="AC845" s="293"/>
      <c r="AD845" s="293"/>
      <c r="AE845" s="294"/>
      <c r="AF845" s="294"/>
      <c r="AG845" s="294"/>
      <c r="AH845" s="294"/>
    </row>
    <row r="846" spans="2:34" s="295" customFormat="1">
      <c r="B846" s="287"/>
      <c r="C846" s="288"/>
      <c r="D846" s="289"/>
      <c r="E846" s="290"/>
      <c r="F846" s="291"/>
      <c r="G846" s="291"/>
      <c r="H846" s="291"/>
      <c r="I846" s="291"/>
      <c r="J846" s="291"/>
      <c r="K846" s="291"/>
      <c r="L846" s="291"/>
      <c r="M846" s="291"/>
      <c r="N846" s="291"/>
      <c r="O846" s="292"/>
      <c r="P846" s="291"/>
      <c r="Q846" s="291"/>
      <c r="R846" s="291"/>
      <c r="S846" s="291"/>
      <c r="T846" s="291"/>
      <c r="U846" s="291"/>
      <c r="V846" s="291"/>
      <c r="W846" s="291"/>
      <c r="X846" s="291"/>
      <c r="Y846" s="291"/>
      <c r="Z846" s="291"/>
      <c r="AA846" s="292"/>
      <c r="AB846" s="292"/>
      <c r="AC846" s="293"/>
      <c r="AD846" s="293"/>
      <c r="AE846" s="294"/>
      <c r="AF846" s="294"/>
      <c r="AG846" s="294"/>
      <c r="AH846" s="294"/>
    </row>
    <row r="847" spans="2:34" s="295" customFormat="1">
      <c r="B847" s="287"/>
      <c r="C847" s="288"/>
      <c r="D847" s="289"/>
      <c r="E847" s="290"/>
      <c r="F847" s="291"/>
      <c r="G847" s="291"/>
      <c r="H847" s="291"/>
      <c r="I847" s="291"/>
      <c r="J847" s="291"/>
      <c r="K847" s="291"/>
      <c r="L847" s="291"/>
      <c r="M847" s="291"/>
      <c r="N847" s="291"/>
      <c r="O847" s="292"/>
      <c r="P847" s="291"/>
      <c r="Q847" s="291"/>
      <c r="R847" s="291"/>
      <c r="S847" s="291"/>
      <c r="T847" s="291"/>
      <c r="U847" s="291"/>
      <c r="V847" s="291"/>
      <c r="W847" s="291"/>
      <c r="X847" s="291"/>
      <c r="Y847" s="291"/>
      <c r="Z847" s="291"/>
      <c r="AA847" s="292"/>
      <c r="AB847" s="292"/>
      <c r="AC847" s="293"/>
      <c r="AD847" s="293"/>
      <c r="AE847" s="294"/>
      <c r="AF847" s="294"/>
      <c r="AG847" s="294"/>
      <c r="AH847" s="294"/>
    </row>
    <row r="848" spans="2:34" s="295" customFormat="1">
      <c r="B848" s="287"/>
      <c r="C848" s="288"/>
      <c r="D848" s="289"/>
      <c r="E848" s="290"/>
      <c r="F848" s="291"/>
      <c r="G848" s="291"/>
      <c r="H848" s="291"/>
      <c r="I848" s="291"/>
      <c r="J848" s="291"/>
      <c r="K848" s="291"/>
      <c r="L848" s="291"/>
      <c r="M848" s="291"/>
      <c r="N848" s="291"/>
      <c r="O848" s="292"/>
      <c r="P848" s="291"/>
      <c r="Q848" s="291"/>
      <c r="R848" s="291"/>
      <c r="S848" s="291"/>
      <c r="T848" s="291"/>
      <c r="U848" s="291"/>
      <c r="V848" s="291"/>
      <c r="W848" s="291"/>
      <c r="X848" s="291"/>
      <c r="Y848" s="291"/>
      <c r="Z848" s="291"/>
      <c r="AA848" s="292"/>
      <c r="AB848" s="292"/>
      <c r="AC848" s="293"/>
      <c r="AD848" s="293"/>
      <c r="AE848" s="294"/>
      <c r="AF848" s="294"/>
      <c r="AG848" s="294"/>
      <c r="AH848" s="294"/>
    </row>
    <row r="849" spans="2:34" s="295" customFormat="1">
      <c r="B849" s="287"/>
      <c r="C849" s="288"/>
      <c r="D849" s="289"/>
      <c r="E849" s="290"/>
      <c r="F849" s="291"/>
      <c r="G849" s="291"/>
      <c r="H849" s="291"/>
      <c r="I849" s="291"/>
      <c r="J849" s="291"/>
      <c r="K849" s="291"/>
      <c r="L849" s="291"/>
      <c r="M849" s="291"/>
      <c r="N849" s="291"/>
      <c r="O849" s="292"/>
      <c r="P849" s="291"/>
      <c r="Q849" s="291"/>
      <c r="R849" s="291"/>
      <c r="S849" s="291"/>
      <c r="T849" s="291"/>
      <c r="U849" s="291"/>
      <c r="V849" s="291"/>
      <c r="W849" s="291"/>
      <c r="X849" s="291"/>
      <c r="Y849" s="291"/>
      <c r="Z849" s="291"/>
      <c r="AA849" s="292"/>
      <c r="AB849" s="292"/>
      <c r="AC849" s="293"/>
      <c r="AD849" s="293"/>
      <c r="AE849" s="294"/>
      <c r="AF849" s="294"/>
      <c r="AG849" s="294"/>
      <c r="AH849" s="294"/>
    </row>
    <row r="850" spans="2:34" s="295" customFormat="1">
      <c r="B850" s="287"/>
      <c r="C850" s="288"/>
      <c r="D850" s="289"/>
      <c r="E850" s="290"/>
      <c r="F850" s="291"/>
      <c r="G850" s="291"/>
      <c r="H850" s="291"/>
      <c r="I850" s="291"/>
      <c r="J850" s="291"/>
      <c r="K850" s="291"/>
      <c r="L850" s="291"/>
      <c r="M850" s="291"/>
      <c r="N850" s="291"/>
      <c r="O850" s="292"/>
      <c r="P850" s="291"/>
      <c r="Q850" s="291"/>
      <c r="R850" s="291"/>
      <c r="S850" s="291"/>
      <c r="T850" s="291"/>
      <c r="U850" s="291"/>
      <c r="V850" s="291"/>
      <c r="W850" s="291"/>
      <c r="X850" s="291"/>
      <c r="Y850" s="291"/>
      <c r="Z850" s="291"/>
      <c r="AA850" s="292"/>
      <c r="AB850" s="292"/>
      <c r="AC850" s="293"/>
      <c r="AD850" s="293"/>
      <c r="AE850" s="294"/>
      <c r="AF850" s="294"/>
      <c r="AG850" s="294"/>
      <c r="AH850" s="294"/>
    </row>
    <row r="851" spans="2:34" s="295" customFormat="1">
      <c r="B851" s="287"/>
      <c r="C851" s="288"/>
      <c r="D851" s="289"/>
      <c r="E851" s="290"/>
      <c r="F851" s="291"/>
      <c r="G851" s="291"/>
      <c r="H851" s="291"/>
      <c r="I851" s="291"/>
      <c r="J851" s="291"/>
      <c r="K851" s="291"/>
      <c r="L851" s="291"/>
      <c r="M851" s="291"/>
      <c r="N851" s="291"/>
      <c r="O851" s="292"/>
      <c r="P851" s="291"/>
      <c r="Q851" s="291"/>
      <c r="R851" s="291"/>
      <c r="S851" s="291"/>
      <c r="T851" s="291"/>
      <c r="U851" s="291"/>
      <c r="V851" s="291"/>
      <c r="W851" s="291"/>
      <c r="X851" s="291"/>
      <c r="Y851" s="291"/>
      <c r="Z851" s="291"/>
      <c r="AA851" s="292"/>
      <c r="AB851" s="292"/>
      <c r="AC851" s="293"/>
      <c r="AD851" s="293"/>
      <c r="AE851" s="294"/>
      <c r="AF851" s="294"/>
      <c r="AG851" s="294"/>
      <c r="AH851" s="294"/>
    </row>
    <row r="852" spans="2:34" s="295" customFormat="1">
      <c r="B852" s="287"/>
      <c r="C852" s="288"/>
      <c r="D852" s="289"/>
      <c r="E852" s="290"/>
      <c r="F852" s="291"/>
      <c r="G852" s="291"/>
      <c r="H852" s="291"/>
      <c r="I852" s="291"/>
      <c r="J852" s="291"/>
      <c r="K852" s="291"/>
      <c r="L852" s="291"/>
      <c r="M852" s="291"/>
      <c r="N852" s="291"/>
      <c r="O852" s="292"/>
      <c r="P852" s="291"/>
      <c r="Q852" s="291"/>
      <c r="R852" s="291"/>
      <c r="S852" s="291"/>
      <c r="T852" s="291"/>
      <c r="U852" s="291"/>
      <c r="V852" s="291"/>
      <c r="W852" s="291"/>
      <c r="X852" s="291"/>
      <c r="Y852" s="291"/>
      <c r="Z852" s="291"/>
      <c r="AA852" s="292"/>
      <c r="AB852" s="292"/>
      <c r="AC852" s="293"/>
      <c r="AD852" s="293"/>
      <c r="AE852" s="294"/>
      <c r="AF852" s="294"/>
      <c r="AG852" s="294"/>
      <c r="AH852" s="294"/>
    </row>
    <row r="853" spans="2:34" s="295" customFormat="1">
      <c r="B853" s="287"/>
      <c r="C853" s="288"/>
      <c r="D853" s="289"/>
      <c r="E853" s="290"/>
      <c r="F853" s="291"/>
      <c r="G853" s="291"/>
      <c r="H853" s="291"/>
      <c r="I853" s="291"/>
      <c r="J853" s="291"/>
      <c r="K853" s="291"/>
      <c r="L853" s="291"/>
      <c r="M853" s="291"/>
      <c r="N853" s="291"/>
      <c r="O853" s="292"/>
      <c r="P853" s="291"/>
      <c r="Q853" s="291"/>
      <c r="R853" s="291"/>
      <c r="S853" s="291"/>
      <c r="T853" s="291"/>
      <c r="U853" s="291"/>
      <c r="V853" s="291"/>
      <c r="W853" s="291"/>
      <c r="X853" s="291"/>
      <c r="Y853" s="291"/>
      <c r="Z853" s="291"/>
      <c r="AA853" s="292"/>
      <c r="AB853" s="292"/>
      <c r="AC853" s="293"/>
      <c r="AD853" s="293"/>
      <c r="AE853" s="294"/>
      <c r="AF853" s="294"/>
      <c r="AG853" s="294"/>
      <c r="AH853" s="294"/>
    </row>
    <row r="854" spans="2:34" s="295" customFormat="1">
      <c r="B854" s="287"/>
      <c r="C854" s="288"/>
      <c r="D854" s="289"/>
      <c r="E854" s="290"/>
      <c r="F854" s="291"/>
      <c r="G854" s="291"/>
      <c r="H854" s="291"/>
      <c r="I854" s="291"/>
      <c r="J854" s="291"/>
      <c r="K854" s="291"/>
      <c r="L854" s="291"/>
      <c r="M854" s="291"/>
      <c r="N854" s="291"/>
      <c r="O854" s="292"/>
      <c r="P854" s="291"/>
      <c r="Q854" s="291"/>
      <c r="R854" s="291"/>
      <c r="S854" s="291"/>
      <c r="T854" s="291"/>
      <c r="U854" s="291"/>
      <c r="V854" s="291"/>
      <c r="W854" s="291"/>
      <c r="X854" s="291"/>
      <c r="Y854" s="291"/>
      <c r="Z854" s="291"/>
      <c r="AA854" s="292"/>
      <c r="AB854" s="292"/>
      <c r="AC854" s="293"/>
      <c r="AD854" s="293"/>
      <c r="AE854" s="294"/>
      <c r="AF854" s="294"/>
      <c r="AG854" s="294"/>
      <c r="AH854" s="294"/>
    </row>
    <row r="855" spans="2:34" s="295" customFormat="1">
      <c r="B855" s="287"/>
      <c r="C855" s="288"/>
      <c r="D855" s="289"/>
      <c r="E855" s="290"/>
      <c r="F855" s="291"/>
      <c r="G855" s="291"/>
      <c r="H855" s="291"/>
      <c r="I855" s="291"/>
      <c r="J855" s="291"/>
      <c r="K855" s="291"/>
      <c r="L855" s="291"/>
      <c r="M855" s="291"/>
      <c r="N855" s="291"/>
      <c r="O855" s="292"/>
      <c r="P855" s="291"/>
      <c r="Q855" s="291"/>
      <c r="R855" s="291"/>
      <c r="S855" s="291"/>
      <c r="T855" s="291"/>
      <c r="U855" s="291"/>
      <c r="V855" s="291"/>
      <c r="W855" s="291"/>
      <c r="X855" s="291"/>
      <c r="Y855" s="291"/>
      <c r="Z855" s="291"/>
      <c r="AA855" s="292"/>
      <c r="AB855" s="292"/>
      <c r="AC855" s="293"/>
      <c r="AD855" s="293"/>
      <c r="AE855" s="294"/>
      <c r="AF855" s="294"/>
      <c r="AG855" s="294"/>
      <c r="AH855" s="294"/>
    </row>
    <row r="856" spans="2:34" s="295" customFormat="1">
      <c r="B856" s="287"/>
      <c r="C856" s="288"/>
      <c r="D856" s="289"/>
      <c r="E856" s="290"/>
      <c r="F856" s="291"/>
      <c r="G856" s="291"/>
      <c r="H856" s="291"/>
      <c r="I856" s="291"/>
      <c r="J856" s="291"/>
      <c r="K856" s="291"/>
      <c r="L856" s="291"/>
      <c r="M856" s="291"/>
      <c r="N856" s="291"/>
      <c r="O856" s="292"/>
      <c r="P856" s="291"/>
      <c r="Q856" s="291"/>
      <c r="R856" s="291"/>
      <c r="S856" s="291"/>
      <c r="T856" s="291"/>
      <c r="U856" s="291"/>
      <c r="V856" s="291"/>
      <c r="W856" s="291"/>
      <c r="X856" s="291"/>
      <c r="Y856" s="291"/>
      <c r="Z856" s="291"/>
      <c r="AA856" s="292"/>
      <c r="AB856" s="292"/>
      <c r="AC856" s="293"/>
      <c r="AD856" s="293"/>
      <c r="AE856" s="294"/>
      <c r="AF856" s="294"/>
      <c r="AG856" s="294"/>
      <c r="AH856" s="294"/>
    </row>
    <row r="857" spans="2:34" s="295" customFormat="1">
      <c r="B857" s="287"/>
      <c r="C857" s="288"/>
      <c r="D857" s="289"/>
      <c r="E857" s="290"/>
      <c r="F857" s="291"/>
      <c r="G857" s="291"/>
      <c r="H857" s="291"/>
      <c r="I857" s="291"/>
      <c r="J857" s="291"/>
      <c r="K857" s="291"/>
      <c r="L857" s="291"/>
      <c r="M857" s="291"/>
      <c r="N857" s="291"/>
      <c r="O857" s="292"/>
      <c r="P857" s="291"/>
      <c r="Q857" s="291"/>
      <c r="R857" s="291"/>
      <c r="S857" s="291"/>
      <c r="T857" s="291"/>
      <c r="U857" s="291"/>
      <c r="V857" s="291"/>
      <c r="W857" s="291"/>
      <c r="X857" s="291"/>
      <c r="Y857" s="291"/>
      <c r="Z857" s="291"/>
      <c r="AA857" s="292"/>
      <c r="AB857" s="292"/>
      <c r="AC857" s="293"/>
      <c r="AD857" s="293"/>
      <c r="AE857" s="294"/>
      <c r="AF857" s="294"/>
      <c r="AG857" s="294"/>
      <c r="AH857" s="294"/>
    </row>
    <row r="858" spans="2:34" s="295" customFormat="1">
      <c r="B858" s="287"/>
      <c r="C858" s="288"/>
      <c r="D858" s="289"/>
      <c r="E858" s="290"/>
      <c r="F858" s="291"/>
      <c r="G858" s="291"/>
      <c r="H858" s="291"/>
      <c r="I858" s="291"/>
      <c r="J858" s="291"/>
      <c r="K858" s="291"/>
      <c r="L858" s="291"/>
      <c r="M858" s="291"/>
      <c r="N858" s="291"/>
      <c r="O858" s="292"/>
      <c r="P858" s="291"/>
      <c r="Q858" s="291"/>
      <c r="R858" s="291"/>
      <c r="S858" s="291"/>
      <c r="T858" s="291"/>
      <c r="U858" s="291"/>
      <c r="V858" s="291"/>
      <c r="W858" s="291"/>
      <c r="X858" s="291"/>
      <c r="Y858" s="291"/>
      <c r="Z858" s="291"/>
      <c r="AA858" s="292"/>
      <c r="AB858" s="292"/>
      <c r="AC858" s="293"/>
      <c r="AD858" s="293"/>
      <c r="AE858" s="294"/>
      <c r="AF858" s="294"/>
      <c r="AG858" s="294"/>
      <c r="AH858" s="294"/>
    </row>
    <row r="859" spans="2:34" s="295" customFormat="1">
      <c r="B859" s="287"/>
      <c r="C859" s="288"/>
      <c r="D859" s="289"/>
      <c r="E859" s="290"/>
      <c r="F859" s="291"/>
      <c r="G859" s="291"/>
      <c r="H859" s="291"/>
      <c r="I859" s="291"/>
      <c r="J859" s="291"/>
      <c r="K859" s="291"/>
      <c r="L859" s="291"/>
      <c r="M859" s="291"/>
      <c r="N859" s="291"/>
      <c r="O859" s="292"/>
      <c r="P859" s="291"/>
      <c r="Q859" s="291"/>
      <c r="R859" s="291"/>
      <c r="S859" s="291"/>
      <c r="T859" s="291"/>
      <c r="U859" s="291"/>
      <c r="V859" s="291"/>
      <c r="W859" s="291"/>
      <c r="X859" s="291"/>
      <c r="Y859" s="291"/>
      <c r="Z859" s="291"/>
      <c r="AA859" s="292"/>
      <c r="AB859" s="292"/>
      <c r="AC859" s="293"/>
      <c r="AD859" s="293"/>
      <c r="AE859" s="294"/>
      <c r="AF859" s="294"/>
      <c r="AG859" s="294"/>
      <c r="AH859" s="294"/>
    </row>
    <row r="860" spans="2:34" s="295" customFormat="1">
      <c r="B860" s="287"/>
      <c r="C860" s="288"/>
      <c r="D860" s="289"/>
      <c r="E860" s="290"/>
      <c r="F860" s="291"/>
      <c r="G860" s="291"/>
      <c r="H860" s="291"/>
      <c r="I860" s="291"/>
      <c r="J860" s="291"/>
      <c r="K860" s="291"/>
      <c r="L860" s="291"/>
      <c r="M860" s="291"/>
      <c r="N860" s="291"/>
      <c r="O860" s="292"/>
      <c r="P860" s="291"/>
      <c r="Q860" s="291"/>
      <c r="R860" s="291"/>
      <c r="S860" s="291"/>
      <c r="T860" s="291"/>
      <c r="U860" s="291"/>
      <c r="V860" s="291"/>
      <c r="W860" s="291"/>
      <c r="X860" s="291"/>
      <c r="Y860" s="291"/>
      <c r="Z860" s="291"/>
      <c r="AA860" s="292"/>
      <c r="AB860" s="292"/>
      <c r="AC860" s="293"/>
      <c r="AD860" s="293"/>
      <c r="AE860" s="294"/>
      <c r="AF860" s="294"/>
      <c r="AG860" s="294"/>
      <c r="AH860" s="294"/>
    </row>
    <row r="861" spans="2:34" s="295" customFormat="1">
      <c r="B861" s="287"/>
      <c r="C861" s="288"/>
      <c r="D861" s="289"/>
      <c r="E861" s="290"/>
      <c r="F861" s="291"/>
      <c r="G861" s="291"/>
      <c r="H861" s="291"/>
      <c r="I861" s="291"/>
      <c r="J861" s="291"/>
      <c r="K861" s="291"/>
      <c r="L861" s="291"/>
      <c r="M861" s="291"/>
      <c r="N861" s="291"/>
      <c r="O861" s="292"/>
      <c r="P861" s="291"/>
      <c r="Q861" s="291"/>
      <c r="R861" s="291"/>
      <c r="S861" s="291"/>
      <c r="T861" s="291"/>
      <c r="U861" s="291"/>
      <c r="V861" s="291"/>
      <c r="W861" s="291"/>
      <c r="X861" s="291"/>
      <c r="Y861" s="291"/>
      <c r="Z861" s="291"/>
      <c r="AA861" s="292"/>
      <c r="AB861" s="292"/>
      <c r="AC861" s="293"/>
      <c r="AD861" s="293"/>
      <c r="AE861" s="294"/>
      <c r="AF861" s="294"/>
      <c r="AG861" s="294"/>
      <c r="AH861" s="294"/>
    </row>
    <row r="862" spans="2:34" s="295" customFormat="1">
      <c r="B862" s="287"/>
      <c r="C862" s="288"/>
      <c r="D862" s="289"/>
      <c r="E862" s="290"/>
      <c r="F862" s="291"/>
      <c r="G862" s="291"/>
      <c r="H862" s="291"/>
      <c r="I862" s="291"/>
      <c r="J862" s="291"/>
      <c r="K862" s="291"/>
      <c r="L862" s="291"/>
      <c r="M862" s="291"/>
      <c r="N862" s="291"/>
      <c r="O862" s="292"/>
      <c r="P862" s="291"/>
      <c r="Q862" s="291"/>
      <c r="R862" s="291"/>
      <c r="S862" s="291"/>
      <c r="T862" s="291"/>
      <c r="U862" s="291"/>
      <c r="V862" s="291"/>
      <c r="W862" s="291"/>
      <c r="X862" s="291"/>
      <c r="Y862" s="291"/>
      <c r="Z862" s="291"/>
      <c r="AA862" s="292"/>
      <c r="AB862" s="292"/>
      <c r="AC862" s="293"/>
      <c r="AD862" s="293"/>
      <c r="AE862" s="294"/>
      <c r="AF862" s="294"/>
      <c r="AG862" s="294"/>
      <c r="AH862" s="294"/>
    </row>
    <row r="863" spans="2:34" s="295" customFormat="1">
      <c r="B863" s="287"/>
      <c r="C863" s="288"/>
      <c r="D863" s="289"/>
      <c r="E863" s="290"/>
      <c r="F863" s="291"/>
      <c r="G863" s="291"/>
      <c r="H863" s="291"/>
      <c r="I863" s="291"/>
      <c r="J863" s="291"/>
      <c r="K863" s="291"/>
      <c r="L863" s="291"/>
      <c r="M863" s="291"/>
      <c r="N863" s="291"/>
      <c r="O863" s="292"/>
      <c r="P863" s="291"/>
      <c r="Q863" s="291"/>
      <c r="R863" s="291"/>
      <c r="S863" s="291"/>
      <c r="T863" s="291"/>
      <c r="U863" s="291"/>
      <c r="V863" s="291"/>
      <c r="W863" s="291"/>
      <c r="X863" s="291"/>
      <c r="Y863" s="291"/>
      <c r="Z863" s="291"/>
      <c r="AA863" s="292"/>
      <c r="AB863" s="292"/>
      <c r="AC863" s="293"/>
      <c r="AD863" s="293"/>
      <c r="AE863" s="294"/>
      <c r="AF863" s="294"/>
      <c r="AG863" s="294"/>
      <c r="AH863" s="294"/>
    </row>
    <row r="864" spans="2:34" s="295" customFormat="1">
      <c r="B864" s="287"/>
      <c r="C864" s="288"/>
      <c r="D864" s="289"/>
      <c r="E864" s="290"/>
      <c r="F864" s="291"/>
      <c r="G864" s="291"/>
      <c r="H864" s="291"/>
      <c r="I864" s="291"/>
      <c r="J864" s="291"/>
      <c r="K864" s="291"/>
      <c r="L864" s="291"/>
      <c r="M864" s="291"/>
      <c r="N864" s="291"/>
      <c r="O864" s="292"/>
      <c r="P864" s="291"/>
      <c r="Q864" s="291"/>
      <c r="R864" s="291"/>
      <c r="S864" s="291"/>
      <c r="T864" s="291"/>
      <c r="U864" s="291"/>
      <c r="V864" s="291"/>
      <c r="W864" s="291"/>
      <c r="X864" s="291"/>
      <c r="Y864" s="291"/>
      <c r="Z864" s="291"/>
      <c r="AA864" s="292"/>
      <c r="AB864" s="292"/>
      <c r="AC864" s="293"/>
      <c r="AD864" s="293"/>
      <c r="AE864" s="294"/>
      <c r="AF864" s="294"/>
      <c r="AG864" s="294"/>
      <c r="AH864" s="294"/>
    </row>
    <row r="865" spans="2:34" s="295" customFormat="1">
      <c r="B865" s="287"/>
      <c r="C865" s="288"/>
      <c r="D865" s="289"/>
      <c r="E865" s="290"/>
      <c r="F865" s="291"/>
      <c r="G865" s="291"/>
      <c r="H865" s="291"/>
      <c r="I865" s="291"/>
      <c r="J865" s="291"/>
      <c r="K865" s="291"/>
      <c r="L865" s="291"/>
      <c r="M865" s="291"/>
      <c r="N865" s="291"/>
      <c r="O865" s="292"/>
      <c r="P865" s="291"/>
      <c r="Q865" s="291"/>
      <c r="R865" s="291"/>
      <c r="S865" s="291"/>
      <c r="T865" s="291"/>
      <c r="U865" s="291"/>
      <c r="V865" s="291"/>
      <c r="W865" s="291"/>
      <c r="X865" s="291"/>
      <c r="Y865" s="291"/>
      <c r="Z865" s="291"/>
      <c r="AA865" s="292"/>
      <c r="AB865" s="292"/>
      <c r="AC865" s="293"/>
      <c r="AD865" s="293"/>
      <c r="AE865" s="294"/>
      <c r="AF865" s="294"/>
      <c r="AG865" s="294"/>
      <c r="AH865" s="294"/>
    </row>
    <row r="866" spans="2:34" s="295" customFormat="1">
      <c r="B866" s="287"/>
      <c r="C866" s="288"/>
      <c r="D866" s="289"/>
      <c r="E866" s="290"/>
      <c r="F866" s="291"/>
      <c r="G866" s="291"/>
      <c r="H866" s="291"/>
      <c r="I866" s="291"/>
      <c r="J866" s="291"/>
      <c r="K866" s="291"/>
      <c r="L866" s="291"/>
      <c r="M866" s="291"/>
      <c r="N866" s="291"/>
      <c r="O866" s="292"/>
      <c r="P866" s="291"/>
      <c r="Q866" s="291"/>
      <c r="R866" s="291"/>
      <c r="S866" s="291"/>
      <c r="T866" s="291"/>
      <c r="U866" s="291"/>
      <c r="V866" s="291"/>
      <c r="W866" s="291"/>
      <c r="X866" s="291"/>
      <c r="Y866" s="291"/>
      <c r="Z866" s="291"/>
      <c r="AA866" s="292"/>
      <c r="AB866" s="292"/>
      <c r="AC866" s="293"/>
      <c r="AD866" s="293"/>
      <c r="AE866" s="294"/>
      <c r="AF866" s="294"/>
      <c r="AG866" s="294"/>
      <c r="AH866" s="294"/>
    </row>
    <row r="867" spans="2:34" s="295" customFormat="1">
      <c r="B867" s="287"/>
      <c r="C867" s="288"/>
      <c r="D867" s="289"/>
      <c r="E867" s="290"/>
      <c r="F867" s="291"/>
      <c r="G867" s="291"/>
      <c r="H867" s="291"/>
      <c r="I867" s="291"/>
      <c r="J867" s="291"/>
      <c r="K867" s="291"/>
      <c r="L867" s="291"/>
      <c r="M867" s="291"/>
      <c r="N867" s="291"/>
      <c r="O867" s="292"/>
      <c r="P867" s="291"/>
      <c r="Q867" s="291"/>
      <c r="R867" s="291"/>
      <c r="S867" s="291"/>
      <c r="T867" s="291"/>
      <c r="U867" s="291"/>
      <c r="V867" s="291"/>
      <c r="W867" s="291"/>
      <c r="X867" s="291"/>
      <c r="Y867" s="291"/>
      <c r="Z867" s="291"/>
      <c r="AA867" s="292"/>
      <c r="AB867" s="292"/>
      <c r="AC867" s="293"/>
      <c r="AD867" s="293"/>
      <c r="AE867" s="294"/>
      <c r="AF867" s="294"/>
      <c r="AG867" s="294"/>
      <c r="AH867" s="294"/>
    </row>
    <row r="868" spans="2:34" s="295" customFormat="1">
      <c r="B868" s="287"/>
      <c r="C868" s="288"/>
      <c r="D868" s="289"/>
      <c r="E868" s="290"/>
      <c r="F868" s="291"/>
      <c r="G868" s="291"/>
      <c r="H868" s="291"/>
      <c r="I868" s="291"/>
      <c r="J868" s="291"/>
      <c r="K868" s="291"/>
      <c r="L868" s="291"/>
      <c r="M868" s="291"/>
      <c r="N868" s="291"/>
      <c r="O868" s="292"/>
      <c r="P868" s="291"/>
      <c r="Q868" s="291"/>
      <c r="R868" s="291"/>
      <c r="S868" s="291"/>
      <c r="T868" s="291"/>
      <c r="U868" s="291"/>
      <c r="V868" s="291"/>
      <c r="W868" s="291"/>
      <c r="X868" s="291"/>
      <c r="Y868" s="291"/>
      <c r="Z868" s="291"/>
      <c r="AA868" s="292"/>
      <c r="AB868" s="292"/>
      <c r="AC868" s="293"/>
      <c r="AD868" s="293"/>
      <c r="AE868" s="294"/>
      <c r="AF868" s="294"/>
      <c r="AG868" s="294"/>
      <c r="AH868" s="294"/>
    </row>
    <row r="869" spans="2:34" s="295" customFormat="1">
      <c r="B869" s="287"/>
      <c r="C869" s="288"/>
      <c r="D869" s="289"/>
      <c r="E869" s="290"/>
      <c r="F869" s="291"/>
      <c r="G869" s="291"/>
      <c r="H869" s="291"/>
      <c r="I869" s="291"/>
      <c r="J869" s="291"/>
      <c r="K869" s="291"/>
      <c r="L869" s="291"/>
      <c r="M869" s="291"/>
      <c r="N869" s="291"/>
      <c r="O869" s="292"/>
      <c r="P869" s="291"/>
      <c r="Q869" s="291"/>
      <c r="R869" s="291"/>
      <c r="S869" s="291"/>
      <c r="T869" s="291"/>
      <c r="U869" s="291"/>
      <c r="V869" s="291"/>
      <c r="W869" s="291"/>
      <c r="X869" s="291"/>
      <c r="Y869" s="291"/>
      <c r="Z869" s="291"/>
      <c r="AA869" s="292"/>
      <c r="AB869" s="292"/>
      <c r="AC869" s="293"/>
      <c r="AD869" s="293"/>
      <c r="AE869" s="294"/>
      <c r="AF869" s="294"/>
      <c r="AG869" s="294"/>
      <c r="AH869" s="294"/>
    </row>
    <row r="870" spans="2:34" s="295" customFormat="1">
      <c r="B870" s="287"/>
      <c r="C870" s="288"/>
      <c r="D870" s="289"/>
      <c r="E870" s="290"/>
      <c r="F870" s="291"/>
      <c r="G870" s="291"/>
      <c r="H870" s="291"/>
      <c r="I870" s="291"/>
      <c r="J870" s="291"/>
      <c r="K870" s="291"/>
      <c r="L870" s="291"/>
      <c r="M870" s="291"/>
      <c r="N870" s="291"/>
      <c r="O870" s="292"/>
      <c r="P870" s="291"/>
      <c r="Q870" s="291"/>
      <c r="R870" s="291"/>
      <c r="S870" s="291"/>
      <c r="T870" s="291"/>
      <c r="U870" s="291"/>
      <c r="V870" s="291"/>
      <c r="W870" s="291"/>
      <c r="X870" s="291"/>
      <c r="Y870" s="291"/>
      <c r="Z870" s="291"/>
      <c r="AA870" s="292"/>
      <c r="AB870" s="292"/>
      <c r="AC870" s="293"/>
      <c r="AD870" s="293"/>
      <c r="AE870" s="294"/>
      <c r="AF870" s="294"/>
      <c r="AG870" s="294"/>
      <c r="AH870" s="294"/>
    </row>
    <row r="871" spans="2:34" s="295" customFormat="1">
      <c r="B871" s="287"/>
      <c r="C871" s="288"/>
      <c r="D871" s="289"/>
      <c r="E871" s="290"/>
      <c r="F871" s="291"/>
      <c r="G871" s="291"/>
      <c r="H871" s="291"/>
      <c r="I871" s="291"/>
      <c r="J871" s="291"/>
      <c r="K871" s="291"/>
      <c r="L871" s="291"/>
      <c r="M871" s="291"/>
      <c r="N871" s="291"/>
      <c r="O871" s="292"/>
      <c r="P871" s="291"/>
      <c r="Q871" s="291"/>
      <c r="R871" s="291"/>
      <c r="S871" s="291"/>
      <c r="T871" s="291"/>
      <c r="U871" s="291"/>
      <c r="V871" s="291"/>
      <c r="W871" s="291"/>
      <c r="X871" s="291"/>
      <c r="Y871" s="291"/>
      <c r="Z871" s="291"/>
      <c r="AA871" s="292"/>
      <c r="AB871" s="292"/>
      <c r="AC871" s="293"/>
      <c r="AD871" s="293"/>
      <c r="AE871" s="294"/>
      <c r="AF871" s="294"/>
      <c r="AG871" s="294"/>
      <c r="AH871" s="294"/>
    </row>
    <row r="872" spans="2:34" s="295" customFormat="1">
      <c r="B872" s="287"/>
      <c r="C872" s="288"/>
      <c r="D872" s="289"/>
      <c r="E872" s="290"/>
      <c r="F872" s="291"/>
      <c r="G872" s="291"/>
      <c r="H872" s="291"/>
      <c r="I872" s="291"/>
      <c r="J872" s="291"/>
      <c r="K872" s="291"/>
      <c r="L872" s="291"/>
      <c r="M872" s="291"/>
      <c r="N872" s="291"/>
      <c r="O872" s="292"/>
      <c r="P872" s="291"/>
      <c r="Q872" s="291"/>
      <c r="R872" s="291"/>
      <c r="S872" s="291"/>
      <c r="T872" s="291"/>
      <c r="U872" s="291"/>
      <c r="V872" s="291"/>
      <c r="W872" s="291"/>
      <c r="X872" s="291"/>
      <c r="Y872" s="291"/>
      <c r="Z872" s="291"/>
      <c r="AA872" s="292"/>
      <c r="AB872" s="292"/>
      <c r="AC872" s="293"/>
      <c r="AD872" s="293"/>
      <c r="AE872" s="294"/>
      <c r="AF872" s="294"/>
      <c r="AG872" s="294"/>
      <c r="AH872" s="294"/>
    </row>
    <row r="873" spans="2:34" s="295" customFormat="1">
      <c r="B873" s="287"/>
      <c r="C873" s="288"/>
      <c r="D873" s="289"/>
      <c r="E873" s="290"/>
      <c r="F873" s="291"/>
      <c r="G873" s="291"/>
      <c r="H873" s="291"/>
      <c r="I873" s="291"/>
      <c r="J873" s="291"/>
      <c r="K873" s="291"/>
      <c r="L873" s="291"/>
      <c r="M873" s="291"/>
      <c r="N873" s="291"/>
      <c r="O873" s="292"/>
      <c r="P873" s="291"/>
      <c r="Q873" s="291"/>
      <c r="R873" s="291"/>
      <c r="S873" s="291"/>
      <c r="T873" s="291"/>
      <c r="U873" s="291"/>
      <c r="V873" s="291"/>
      <c r="W873" s="291"/>
      <c r="X873" s="291"/>
      <c r="Y873" s="291"/>
      <c r="Z873" s="291"/>
      <c r="AA873" s="292"/>
      <c r="AB873" s="292"/>
      <c r="AC873" s="293"/>
      <c r="AD873" s="293"/>
      <c r="AE873" s="294"/>
      <c r="AF873" s="294"/>
      <c r="AG873" s="294"/>
      <c r="AH873" s="294"/>
    </row>
    <row r="874" spans="2:34" s="295" customFormat="1">
      <c r="B874" s="287"/>
      <c r="C874" s="288"/>
      <c r="D874" s="289"/>
      <c r="E874" s="290"/>
      <c r="F874" s="291"/>
      <c r="G874" s="291"/>
      <c r="H874" s="291"/>
      <c r="I874" s="291"/>
      <c r="J874" s="291"/>
      <c r="K874" s="291"/>
      <c r="L874" s="291"/>
      <c r="M874" s="291"/>
      <c r="N874" s="291"/>
      <c r="O874" s="292"/>
      <c r="P874" s="291"/>
      <c r="Q874" s="291"/>
      <c r="R874" s="291"/>
      <c r="S874" s="291"/>
      <c r="T874" s="291"/>
      <c r="U874" s="291"/>
      <c r="V874" s="291"/>
      <c r="W874" s="291"/>
      <c r="X874" s="291"/>
      <c r="Y874" s="291"/>
      <c r="Z874" s="291"/>
      <c r="AA874" s="292"/>
      <c r="AB874" s="292"/>
      <c r="AC874" s="293"/>
      <c r="AD874" s="293"/>
      <c r="AE874" s="294"/>
      <c r="AF874" s="294"/>
      <c r="AG874" s="294"/>
      <c r="AH874" s="294"/>
    </row>
    <row r="875" spans="2:34" s="295" customFormat="1">
      <c r="B875" s="287"/>
      <c r="C875" s="288"/>
      <c r="D875" s="289"/>
      <c r="E875" s="290"/>
      <c r="F875" s="291"/>
      <c r="G875" s="291"/>
      <c r="H875" s="291"/>
      <c r="I875" s="291"/>
      <c r="J875" s="291"/>
      <c r="K875" s="291"/>
      <c r="L875" s="291"/>
      <c r="M875" s="291"/>
      <c r="N875" s="291"/>
      <c r="O875" s="292"/>
      <c r="P875" s="291"/>
      <c r="Q875" s="291"/>
      <c r="R875" s="291"/>
      <c r="S875" s="291"/>
      <c r="T875" s="291"/>
      <c r="U875" s="291"/>
      <c r="V875" s="291"/>
      <c r="W875" s="291"/>
      <c r="X875" s="291"/>
      <c r="Y875" s="291"/>
      <c r="Z875" s="291"/>
      <c r="AA875" s="292"/>
      <c r="AB875" s="292"/>
      <c r="AC875" s="293"/>
      <c r="AD875" s="293"/>
      <c r="AE875" s="294"/>
      <c r="AF875" s="294"/>
      <c r="AG875" s="294"/>
      <c r="AH875" s="294"/>
    </row>
    <row r="876" spans="2:34" s="295" customFormat="1">
      <c r="B876" s="287"/>
      <c r="C876" s="288"/>
      <c r="D876" s="289"/>
      <c r="E876" s="290"/>
      <c r="F876" s="291"/>
      <c r="G876" s="291"/>
      <c r="H876" s="291"/>
      <c r="I876" s="291"/>
      <c r="J876" s="291"/>
      <c r="K876" s="291"/>
      <c r="L876" s="291"/>
      <c r="M876" s="291"/>
      <c r="N876" s="291"/>
      <c r="O876" s="292"/>
      <c r="P876" s="291"/>
      <c r="Q876" s="291"/>
      <c r="R876" s="291"/>
      <c r="S876" s="291"/>
      <c r="T876" s="291"/>
      <c r="U876" s="291"/>
      <c r="V876" s="291"/>
      <c r="W876" s="291"/>
      <c r="X876" s="291"/>
      <c r="Y876" s="291"/>
      <c r="Z876" s="291"/>
      <c r="AA876" s="292"/>
      <c r="AB876" s="292"/>
      <c r="AC876" s="293"/>
      <c r="AD876" s="293"/>
      <c r="AE876" s="294"/>
      <c r="AF876" s="294"/>
      <c r="AG876" s="294"/>
      <c r="AH876" s="294"/>
    </row>
    <row r="877" spans="2:34" s="295" customFormat="1">
      <c r="B877" s="287"/>
      <c r="C877" s="288"/>
      <c r="D877" s="289"/>
      <c r="E877" s="290"/>
      <c r="F877" s="291"/>
      <c r="G877" s="291"/>
      <c r="H877" s="291"/>
      <c r="I877" s="291"/>
      <c r="J877" s="291"/>
      <c r="K877" s="291"/>
      <c r="L877" s="291"/>
      <c r="M877" s="291"/>
      <c r="N877" s="291"/>
      <c r="O877" s="292"/>
      <c r="P877" s="291"/>
      <c r="Q877" s="291"/>
      <c r="R877" s="291"/>
      <c r="S877" s="291"/>
      <c r="T877" s="291"/>
      <c r="U877" s="291"/>
      <c r="V877" s="291"/>
      <c r="W877" s="291"/>
      <c r="X877" s="291"/>
      <c r="Y877" s="291"/>
      <c r="Z877" s="291"/>
      <c r="AA877" s="292"/>
      <c r="AB877" s="292"/>
      <c r="AC877" s="293"/>
      <c r="AD877" s="293"/>
      <c r="AE877" s="294"/>
      <c r="AF877" s="294"/>
      <c r="AG877" s="294"/>
      <c r="AH877" s="294"/>
    </row>
    <row r="878" spans="2:34" s="295" customFormat="1">
      <c r="B878" s="287"/>
      <c r="C878" s="288"/>
      <c r="D878" s="289"/>
      <c r="E878" s="290"/>
      <c r="F878" s="291"/>
      <c r="G878" s="291"/>
      <c r="H878" s="291"/>
      <c r="I878" s="291"/>
      <c r="J878" s="291"/>
      <c r="K878" s="291"/>
      <c r="L878" s="291"/>
      <c r="M878" s="291"/>
      <c r="N878" s="291"/>
      <c r="O878" s="292"/>
      <c r="P878" s="291"/>
      <c r="Q878" s="291"/>
      <c r="R878" s="291"/>
      <c r="S878" s="291"/>
      <c r="T878" s="291"/>
      <c r="U878" s="291"/>
      <c r="V878" s="291"/>
      <c r="W878" s="291"/>
      <c r="X878" s="291"/>
      <c r="Y878" s="291"/>
      <c r="Z878" s="291"/>
      <c r="AA878" s="292"/>
      <c r="AB878" s="292"/>
      <c r="AC878" s="293"/>
      <c r="AD878" s="293"/>
      <c r="AE878" s="294"/>
      <c r="AF878" s="294"/>
      <c r="AG878" s="294"/>
      <c r="AH878" s="294"/>
    </row>
    <row r="879" spans="2:34" s="295" customFormat="1">
      <c r="B879" s="287"/>
      <c r="C879" s="288"/>
      <c r="D879" s="289"/>
      <c r="E879" s="290"/>
      <c r="F879" s="291"/>
      <c r="G879" s="291"/>
      <c r="H879" s="291"/>
      <c r="I879" s="291"/>
      <c r="J879" s="291"/>
      <c r="K879" s="291"/>
      <c r="L879" s="291"/>
      <c r="M879" s="291"/>
      <c r="N879" s="291"/>
      <c r="O879" s="292"/>
      <c r="P879" s="291"/>
      <c r="Q879" s="291"/>
      <c r="R879" s="291"/>
      <c r="S879" s="291"/>
      <c r="T879" s="291"/>
      <c r="U879" s="291"/>
      <c r="V879" s="291"/>
      <c r="W879" s="291"/>
      <c r="X879" s="291"/>
      <c r="Y879" s="291"/>
      <c r="Z879" s="291"/>
      <c r="AA879" s="292"/>
      <c r="AB879" s="292"/>
      <c r="AC879" s="293"/>
      <c r="AD879" s="293"/>
      <c r="AE879" s="294"/>
      <c r="AF879" s="294"/>
      <c r="AG879" s="294"/>
      <c r="AH879" s="294"/>
    </row>
    <row r="880" spans="2:34" s="295" customFormat="1">
      <c r="B880" s="287"/>
      <c r="C880" s="288"/>
      <c r="D880" s="289"/>
      <c r="E880" s="290"/>
      <c r="F880" s="291"/>
      <c r="G880" s="291"/>
      <c r="H880" s="291"/>
      <c r="I880" s="291"/>
      <c r="J880" s="291"/>
      <c r="K880" s="291"/>
      <c r="L880" s="291"/>
      <c r="M880" s="291"/>
      <c r="N880" s="291"/>
      <c r="O880" s="292"/>
      <c r="P880" s="291"/>
      <c r="Q880" s="291"/>
      <c r="R880" s="291"/>
      <c r="S880" s="291"/>
      <c r="T880" s="291"/>
      <c r="U880" s="291"/>
      <c r="V880" s="291"/>
      <c r="W880" s="291"/>
      <c r="X880" s="291"/>
      <c r="Y880" s="291"/>
      <c r="Z880" s="291"/>
      <c r="AA880" s="292"/>
      <c r="AB880" s="292"/>
      <c r="AC880" s="293"/>
      <c r="AD880" s="293"/>
      <c r="AE880" s="294"/>
      <c r="AF880" s="294"/>
      <c r="AG880" s="294"/>
      <c r="AH880" s="294"/>
    </row>
    <row r="881" spans="2:34" s="295" customFormat="1">
      <c r="B881" s="287"/>
      <c r="C881" s="288"/>
      <c r="D881" s="289"/>
      <c r="E881" s="290"/>
      <c r="F881" s="291"/>
      <c r="G881" s="291"/>
      <c r="H881" s="291"/>
      <c r="I881" s="291"/>
      <c r="J881" s="291"/>
      <c r="K881" s="291"/>
      <c r="L881" s="291"/>
      <c r="M881" s="291"/>
      <c r="N881" s="291"/>
      <c r="O881" s="292"/>
      <c r="P881" s="291"/>
      <c r="Q881" s="291"/>
      <c r="R881" s="291"/>
      <c r="S881" s="291"/>
      <c r="T881" s="291"/>
      <c r="U881" s="291"/>
      <c r="V881" s="291"/>
      <c r="W881" s="291"/>
      <c r="X881" s="291"/>
      <c r="Y881" s="291"/>
      <c r="Z881" s="291"/>
      <c r="AA881" s="292"/>
      <c r="AB881" s="292"/>
      <c r="AC881" s="293"/>
      <c r="AD881" s="293"/>
      <c r="AE881" s="294"/>
      <c r="AF881" s="294"/>
      <c r="AG881" s="294"/>
      <c r="AH881" s="294"/>
    </row>
    <row r="882" spans="2:34" s="295" customFormat="1">
      <c r="B882" s="287"/>
      <c r="C882" s="288"/>
      <c r="D882" s="289"/>
      <c r="E882" s="290"/>
      <c r="F882" s="291"/>
      <c r="G882" s="291"/>
      <c r="H882" s="291"/>
      <c r="I882" s="291"/>
      <c r="J882" s="291"/>
      <c r="K882" s="291"/>
      <c r="L882" s="291"/>
      <c r="M882" s="291"/>
      <c r="N882" s="291"/>
      <c r="O882" s="292"/>
      <c r="P882" s="291"/>
      <c r="Q882" s="291"/>
      <c r="R882" s="291"/>
      <c r="S882" s="291"/>
      <c r="T882" s="291"/>
      <c r="U882" s="291"/>
      <c r="V882" s="291"/>
      <c r="W882" s="291"/>
      <c r="X882" s="291"/>
      <c r="Y882" s="291"/>
      <c r="Z882" s="291"/>
      <c r="AA882" s="292"/>
      <c r="AB882" s="292"/>
      <c r="AC882" s="293"/>
      <c r="AD882" s="293"/>
      <c r="AE882" s="294"/>
      <c r="AF882" s="294"/>
      <c r="AG882" s="294"/>
      <c r="AH882" s="294"/>
    </row>
    <row r="883" spans="2:34" s="295" customFormat="1">
      <c r="B883" s="287"/>
      <c r="C883" s="288"/>
      <c r="D883" s="289"/>
      <c r="E883" s="290"/>
      <c r="F883" s="291"/>
      <c r="G883" s="291"/>
      <c r="H883" s="291"/>
      <c r="I883" s="291"/>
      <c r="J883" s="291"/>
      <c r="K883" s="291"/>
      <c r="L883" s="291"/>
      <c r="M883" s="291"/>
      <c r="N883" s="291"/>
      <c r="O883" s="292"/>
      <c r="P883" s="291"/>
      <c r="Q883" s="291"/>
      <c r="R883" s="291"/>
      <c r="S883" s="291"/>
      <c r="T883" s="291"/>
      <c r="U883" s="291"/>
      <c r="V883" s="291"/>
      <c r="W883" s="291"/>
      <c r="X883" s="291"/>
      <c r="Y883" s="291"/>
      <c r="Z883" s="291"/>
      <c r="AA883" s="292"/>
      <c r="AB883" s="292"/>
      <c r="AC883" s="293"/>
      <c r="AD883" s="293"/>
      <c r="AE883" s="294"/>
      <c r="AF883" s="294"/>
      <c r="AG883" s="294"/>
      <c r="AH883" s="294"/>
    </row>
    <row r="884" spans="2:34" s="295" customFormat="1">
      <c r="B884" s="287"/>
      <c r="C884" s="288"/>
      <c r="D884" s="289"/>
      <c r="E884" s="290"/>
      <c r="F884" s="291"/>
      <c r="G884" s="291"/>
      <c r="H884" s="291"/>
      <c r="I884" s="291"/>
      <c r="J884" s="291"/>
      <c r="K884" s="291"/>
      <c r="L884" s="291"/>
      <c r="M884" s="291"/>
      <c r="N884" s="291"/>
      <c r="O884" s="292"/>
      <c r="P884" s="291"/>
      <c r="Q884" s="291"/>
      <c r="R884" s="291"/>
      <c r="S884" s="291"/>
      <c r="T884" s="291"/>
      <c r="U884" s="291"/>
      <c r="V884" s="291"/>
      <c r="W884" s="291"/>
      <c r="X884" s="291"/>
      <c r="Y884" s="291"/>
      <c r="Z884" s="291"/>
      <c r="AA884" s="292"/>
      <c r="AB884" s="292"/>
      <c r="AC884" s="293"/>
      <c r="AD884" s="293"/>
      <c r="AE884" s="294"/>
      <c r="AF884" s="294"/>
      <c r="AG884" s="294"/>
      <c r="AH884" s="294"/>
    </row>
    <row r="885" spans="2:34" s="295" customFormat="1">
      <c r="B885" s="287"/>
      <c r="C885" s="288"/>
      <c r="D885" s="289"/>
      <c r="E885" s="290"/>
      <c r="F885" s="291"/>
      <c r="G885" s="291"/>
      <c r="H885" s="291"/>
      <c r="I885" s="291"/>
      <c r="J885" s="291"/>
      <c r="K885" s="291"/>
      <c r="L885" s="291"/>
      <c r="M885" s="291"/>
      <c r="N885" s="291"/>
      <c r="O885" s="292"/>
      <c r="P885" s="291"/>
      <c r="Q885" s="291"/>
      <c r="R885" s="291"/>
      <c r="S885" s="291"/>
      <c r="T885" s="291"/>
      <c r="U885" s="291"/>
      <c r="V885" s="291"/>
      <c r="W885" s="291"/>
      <c r="X885" s="291"/>
      <c r="Y885" s="291"/>
      <c r="Z885" s="291"/>
      <c r="AA885" s="292"/>
      <c r="AB885" s="292"/>
      <c r="AC885" s="293"/>
      <c r="AD885" s="293"/>
      <c r="AE885" s="294"/>
      <c r="AF885" s="294"/>
      <c r="AG885" s="294"/>
      <c r="AH885" s="294"/>
    </row>
    <row r="886" spans="2:34" s="295" customFormat="1">
      <c r="B886" s="287"/>
      <c r="C886" s="288"/>
      <c r="D886" s="289"/>
      <c r="E886" s="290"/>
      <c r="F886" s="291"/>
      <c r="G886" s="291"/>
      <c r="H886" s="291"/>
      <c r="I886" s="291"/>
      <c r="J886" s="291"/>
      <c r="K886" s="291"/>
      <c r="L886" s="291"/>
      <c r="M886" s="291"/>
      <c r="N886" s="291"/>
      <c r="O886" s="292"/>
      <c r="P886" s="291"/>
      <c r="Q886" s="291"/>
      <c r="R886" s="291"/>
      <c r="S886" s="291"/>
      <c r="T886" s="291"/>
      <c r="U886" s="291"/>
      <c r="V886" s="291"/>
      <c r="W886" s="291"/>
      <c r="X886" s="291"/>
      <c r="Y886" s="291"/>
      <c r="Z886" s="291"/>
      <c r="AA886" s="292"/>
      <c r="AB886" s="292"/>
      <c r="AC886" s="293"/>
      <c r="AD886" s="293"/>
      <c r="AE886" s="294"/>
      <c r="AF886" s="294"/>
      <c r="AG886" s="294"/>
      <c r="AH886" s="294"/>
    </row>
    <row r="887" spans="2:34" s="295" customFormat="1">
      <c r="B887" s="287"/>
      <c r="C887" s="288"/>
      <c r="D887" s="289"/>
      <c r="E887" s="290"/>
      <c r="F887" s="291"/>
      <c r="G887" s="291"/>
      <c r="H887" s="291"/>
      <c r="I887" s="291"/>
      <c r="J887" s="291"/>
      <c r="K887" s="291"/>
      <c r="L887" s="291"/>
      <c r="M887" s="291"/>
      <c r="N887" s="291"/>
      <c r="O887" s="292"/>
      <c r="P887" s="291"/>
      <c r="Q887" s="291"/>
      <c r="R887" s="291"/>
      <c r="S887" s="291"/>
      <c r="T887" s="291"/>
      <c r="U887" s="291"/>
      <c r="V887" s="291"/>
      <c r="W887" s="291"/>
      <c r="X887" s="291"/>
      <c r="Y887" s="291"/>
      <c r="Z887" s="291"/>
      <c r="AA887" s="292"/>
      <c r="AB887" s="292"/>
      <c r="AC887" s="293"/>
      <c r="AD887" s="293"/>
      <c r="AE887" s="294"/>
      <c r="AF887" s="294"/>
      <c r="AG887" s="294"/>
      <c r="AH887" s="294"/>
    </row>
    <row r="888" spans="2:34" s="295" customFormat="1">
      <c r="B888" s="287"/>
      <c r="C888" s="288"/>
      <c r="D888" s="289"/>
      <c r="E888" s="290"/>
      <c r="F888" s="291"/>
      <c r="G888" s="291"/>
      <c r="H888" s="291"/>
      <c r="I888" s="291"/>
      <c r="J888" s="291"/>
      <c r="K888" s="291"/>
      <c r="L888" s="291"/>
      <c r="M888" s="291"/>
      <c r="N888" s="291"/>
      <c r="O888" s="292"/>
      <c r="P888" s="291"/>
      <c r="Q888" s="291"/>
      <c r="R888" s="291"/>
      <c r="S888" s="291"/>
      <c r="T888" s="291"/>
      <c r="U888" s="291"/>
      <c r="V888" s="291"/>
      <c r="W888" s="291"/>
      <c r="X888" s="291"/>
      <c r="Y888" s="291"/>
      <c r="Z888" s="291"/>
      <c r="AA888" s="292"/>
      <c r="AB888" s="292"/>
      <c r="AC888" s="293"/>
      <c r="AD888" s="293"/>
      <c r="AE888" s="294"/>
      <c r="AF888" s="294"/>
      <c r="AG888" s="294"/>
      <c r="AH888" s="294"/>
    </row>
    <row r="889" spans="2:34" s="295" customFormat="1">
      <c r="B889" s="287"/>
      <c r="C889" s="288"/>
      <c r="D889" s="289"/>
      <c r="E889" s="290"/>
      <c r="F889" s="291"/>
      <c r="G889" s="291"/>
      <c r="H889" s="291"/>
      <c r="I889" s="291"/>
      <c r="J889" s="291"/>
      <c r="K889" s="291"/>
      <c r="L889" s="291"/>
      <c r="M889" s="291"/>
      <c r="N889" s="291"/>
      <c r="O889" s="292"/>
      <c r="P889" s="291"/>
      <c r="Q889" s="291"/>
      <c r="R889" s="291"/>
      <c r="S889" s="291"/>
      <c r="T889" s="291"/>
      <c r="U889" s="291"/>
      <c r="V889" s="291"/>
      <c r="W889" s="291"/>
      <c r="X889" s="291"/>
      <c r="Y889" s="291"/>
      <c r="Z889" s="291"/>
      <c r="AA889" s="292"/>
      <c r="AB889" s="292"/>
      <c r="AC889" s="293"/>
      <c r="AD889" s="293"/>
      <c r="AE889" s="294"/>
      <c r="AF889" s="294"/>
      <c r="AG889" s="294"/>
      <c r="AH889" s="294"/>
    </row>
    <row r="890" spans="2:34" s="295" customFormat="1">
      <c r="B890" s="287"/>
      <c r="C890" s="288"/>
      <c r="D890" s="289"/>
      <c r="E890" s="290"/>
      <c r="F890" s="291"/>
      <c r="G890" s="291"/>
      <c r="H890" s="291"/>
      <c r="I890" s="291"/>
      <c r="J890" s="291"/>
      <c r="K890" s="291"/>
      <c r="L890" s="291"/>
      <c r="M890" s="291"/>
      <c r="N890" s="291"/>
      <c r="O890" s="292"/>
      <c r="P890" s="291"/>
      <c r="Q890" s="291"/>
      <c r="R890" s="291"/>
      <c r="S890" s="291"/>
      <c r="T890" s="291"/>
      <c r="U890" s="291"/>
      <c r="V890" s="291"/>
      <c r="W890" s="291"/>
      <c r="X890" s="291"/>
      <c r="Y890" s="291"/>
      <c r="Z890" s="291"/>
      <c r="AA890" s="292"/>
      <c r="AB890" s="292"/>
      <c r="AC890" s="293"/>
      <c r="AD890" s="293"/>
      <c r="AE890" s="294"/>
      <c r="AF890" s="294"/>
      <c r="AG890" s="294"/>
      <c r="AH890" s="294"/>
    </row>
    <row r="891" spans="2:34" s="295" customFormat="1">
      <c r="B891" s="287"/>
      <c r="C891" s="288"/>
      <c r="D891" s="289"/>
      <c r="E891" s="290"/>
      <c r="F891" s="291"/>
      <c r="G891" s="291"/>
      <c r="H891" s="291"/>
      <c r="I891" s="291"/>
      <c r="J891" s="291"/>
      <c r="K891" s="291"/>
      <c r="L891" s="291"/>
      <c r="M891" s="291"/>
      <c r="N891" s="291"/>
      <c r="O891" s="292"/>
      <c r="P891" s="291"/>
      <c r="Q891" s="291"/>
      <c r="R891" s="291"/>
      <c r="S891" s="291"/>
      <c r="T891" s="291"/>
      <c r="U891" s="291"/>
      <c r="V891" s="291"/>
      <c r="W891" s="291"/>
      <c r="X891" s="291"/>
      <c r="Y891" s="291"/>
      <c r="Z891" s="291"/>
      <c r="AA891" s="292"/>
      <c r="AB891" s="292"/>
      <c r="AC891" s="293"/>
      <c r="AD891" s="293"/>
      <c r="AE891" s="294"/>
      <c r="AF891" s="294"/>
      <c r="AG891" s="294"/>
      <c r="AH891" s="294"/>
    </row>
    <row r="892" spans="2:34" s="295" customFormat="1">
      <c r="B892" s="287"/>
      <c r="C892" s="288"/>
      <c r="D892" s="289"/>
      <c r="E892" s="290"/>
      <c r="F892" s="291"/>
      <c r="G892" s="291"/>
      <c r="H892" s="291"/>
      <c r="I892" s="291"/>
      <c r="J892" s="291"/>
      <c r="K892" s="291"/>
      <c r="L892" s="291"/>
      <c r="M892" s="291"/>
      <c r="N892" s="291"/>
      <c r="O892" s="292"/>
      <c r="P892" s="291"/>
      <c r="Q892" s="291"/>
      <c r="R892" s="291"/>
      <c r="S892" s="291"/>
      <c r="T892" s="291"/>
      <c r="U892" s="291"/>
      <c r="V892" s="291"/>
      <c r="W892" s="291"/>
      <c r="X892" s="291"/>
      <c r="Y892" s="291"/>
      <c r="Z892" s="291"/>
      <c r="AA892" s="292"/>
      <c r="AB892" s="292"/>
      <c r="AC892" s="293"/>
      <c r="AD892" s="293"/>
      <c r="AE892" s="294"/>
      <c r="AF892" s="294"/>
      <c r="AG892" s="294"/>
      <c r="AH892" s="294"/>
    </row>
    <row r="893" spans="2:34" s="295" customFormat="1">
      <c r="B893" s="287"/>
      <c r="C893" s="288"/>
      <c r="D893" s="289"/>
      <c r="E893" s="290"/>
      <c r="F893" s="291"/>
      <c r="G893" s="291"/>
      <c r="H893" s="291"/>
      <c r="I893" s="291"/>
      <c r="J893" s="291"/>
      <c r="K893" s="291"/>
      <c r="L893" s="291"/>
      <c r="M893" s="291"/>
      <c r="N893" s="291"/>
      <c r="O893" s="292"/>
      <c r="P893" s="291"/>
      <c r="Q893" s="291"/>
      <c r="R893" s="291"/>
      <c r="S893" s="291"/>
      <c r="T893" s="291"/>
      <c r="U893" s="291"/>
      <c r="V893" s="291"/>
      <c r="W893" s="291"/>
      <c r="X893" s="291"/>
      <c r="Y893" s="291"/>
      <c r="Z893" s="291"/>
      <c r="AA893" s="292"/>
      <c r="AB893" s="292"/>
      <c r="AC893" s="293"/>
      <c r="AD893" s="293"/>
      <c r="AE893" s="294"/>
      <c r="AF893" s="294"/>
      <c r="AG893" s="294"/>
      <c r="AH893" s="294"/>
    </row>
    <row r="894" spans="2:34" s="295" customFormat="1">
      <c r="B894" s="287"/>
      <c r="C894" s="288"/>
      <c r="D894" s="289"/>
      <c r="E894" s="290"/>
      <c r="F894" s="291"/>
      <c r="G894" s="291"/>
      <c r="H894" s="291"/>
      <c r="I894" s="291"/>
      <c r="J894" s="291"/>
      <c r="K894" s="291"/>
      <c r="L894" s="291"/>
      <c r="M894" s="291"/>
      <c r="N894" s="291"/>
      <c r="O894" s="292"/>
      <c r="P894" s="291"/>
      <c r="Q894" s="291"/>
      <c r="R894" s="291"/>
      <c r="S894" s="291"/>
      <c r="T894" s="291"/>
      <c r="U894" s="291"/>
      <c r="V894" s="291"/>
      <c r="W894" s="291"/>
      <c r="X894" s="291"/>
      <c r="Y894" s="291"/>
      <c r="Z894" s="291"/>
      <c r="AA894" s="292"/>
      <c r="AB894" s="292"/>
      <c r="AC894" s="293"/>
      <c r="AD894" s="293"/>
      <c r="AE894" s="294"/>
      <c r="AF894" s="294"/>
      <c r="AG894" s="294"/>
      <c r="AH894" s="294"/>
    </row>
    <row r="895" spans="2:34" s="295" customFormat="1">
      <c r="B895" s="287"/>
      <c r="C895" s="288"/>
      <c r="D895" s="289"/>
      <c r="E895" s="290"/>
      <c r="F895" s="291"/>
      <c r="G895" s="291"/>
      <c r="H895" s="291"/>
      <c r="I895" s="291"/>
      <c r="J895" s="291"/>
      <c r="K895" s="291"/>
      <c r="L895" s="291"/>
      <c r="M895" s="291"/>
      <c r="N895" s="291"/>
      <c r="O895" s="292"/>
      <c r="P895" s="291"/>
      <c r="Q895" s="291"/>
      <c r="R895" s="291"/>
      <c r="S895" s="291"/>
      <c r="T895" s="291"/>
      <c r="U895" s="291"/>
      <c r="V895" s="291"/>
      <c r="W895" s="291"/>
      <c r="X895" s="291"/>
      <c r="Y895" s="291"/>
      <c r="Z895" s="291"/>
      <c r="AA895" s="292"/>
      <c r="AB895" s="292"/>
      <c r="AC895" s="293"/>
      <c r="AD895" s="293"/>
      <c r="AE895" s="294"/>
      <c r="AF895" s="294"/>
      <c r="AG895" s="294"/>
      <c r="AH895" s="294"/>
    </row>
    <row r="896" spans="2:34" s="295" customFormat="1">
      <c r="B896" s="287"/>
      <c r="C896" s="288"/>
      <c r="D896" s="289"/>
      <c r="E896" s="290"/>
      <c r="F896" s="291"/>
      <c r="G896" s="291"/>
      <c r="H896" s="291"/>
      <c r="I896" s="291"/>
      <c r="J896" s="291"/>
      <c r="K896" s="291"/>
      <c r="L896" s="291"/>
      <c r="M896" s="291"/>
      <c r="N896" s="291"/>
      <c r="O896" s="292"/>
      <c r="P896" s="291"/>
      <c r="Q896" s="291"/>
      <c r="R896" s="291"/>
      <c r="S896" s="291"/>
      <c r="T896" s="291"/>
      <c r="U896" s="291"/>
      <c r="V896" s="291"/>
      <c r="W896" s="291"/>
      <c r="X896" s="291"/>
      <c r="Y896" s="291"/>
      <c r="Z896" s="291"/>
      <c r="AA896" s="292"/>
      <c r="AB896" s="292"/>
      <c r="AC896" s="293"/>
      <c r="AD896" s="293"/>
      <c r="AE896" s="294"/>
      <c r="AF896" s="294"/>
      <c r="AG896" s="294"/>
      <c r="AH896" s="294"/>
    </row>
    <row r="897" spans="2:34" s="295" customFormat="1">
      <c r="B897" s="287"/>
      <c r="C897" s="288"/>
      <c r="D897" s="289"/>
      <c r="E897" s="290"/>
      <c r="F897" s="291"/>
      <c r="G897" s="291"/>
      <c r="H897" s="291"/>
      <c r="I897" s="291"/>
      <c r="J897" s="291"/>
      <c r="K897" s="291"/>
      <c r="L897" s="291"/>
      <c r="M897" s="291"/>
      <c r="N897" s="291"/>
      <c r="O897" s="292"/>
      <c r="P897" s="291"/>
      <c r="Q897" s="291"/>
      <c r="R897" s="291"/>
      <c r="S897" s="291"/>
      <c r="T897" s="291"/>
      <c r="U897" s="291"/>
      <c r="V897" s="291"/>
      <c r="W897" s="291"/>
      <c r="X897" s="291"/>
      <c r="Y897" s="291"/>
      <c r="Z897" s="291"/>
      <c r="AA897" s="292"/>
      <c r="AB897" s="292"/>
      <c r="AC897" s="293"/>
      <c r="AD897" s="293"/>
      <c r="AE897" s="294"/>
      <c r="AF897" s="294"/>
      <c r="AG897" s="294"/>
      <c r="AH897" s="294"/>
    </row>
    <row r="898" spans="2:34" s="295" customFormat="1">
      <c r="B898" s="287"/>
      <c r="C898" s="288"/>
      <c r="D898" s="289"/>
      <c r="E898" s="290"/>
      <c r="F898" s="291"/>
      <c r="G898" s="291"/>
      <c r="H898" s="291"/>
      <c r="I898" s="291"/>
      <c r="J898" s="291"/>
      <c r="K898" s="291"/>
      <c r="L898" s="291"/>
      <c r="M898" s="291"/>
      <c r="N898" s="291"/>
      <c r="O898" s="292"/>
      <c r="P898" s="291"/>
      <c r="Q898" s="291"/>
      <c r="R898" s="291"/>
      <c r="S898" s="291"/>
      <c r="T898" s="291"/>
      <c r="U898" s="291"/>
      <c r="V898" s="291"/>
      <c r="W898" s="291"/>
      <c r="X898" s="291"/>
      <c r="Y898" s="291"/>
      <c r="Z898" s="291"/>
      <c r="AA898" s="292"/>
      <c r="AB898" s="292"/>
      <c r="AC898" s="293"/>
      <c r="AD898" s="293"/>
      <c r="AE898" s="294"/>
      <c r="AF898" s="294"/>
      <c r="AG898" s="294"/>
      <c r="AH898" s="294"/>
    </row>
    <row r="899" spans="2:34" s="295" customFormat="1">
      <c r="B899" s="287"/>
      <c r="C899" s="288"/>
      <c r="D899" s="289"/>
      <c r="E899" s="290"/>
      <c r="F899" s="291"/>
      <c r="G899" s="291"/>
      <c r="H899" s="291"/>
      <c r="I899" s="291"/>
      <c r="J899" s="291"/>
      <c r="K899" s="291"/>
      <c r="L899" s="291"/>
      <c r="M899" s="291"/>
      <c r="N899" s="291"/>
      <c r="O899" s="292"/>
      <c r="P899" s="291"/>
      <c r="Q899" s="291"/>
      <c r="R899" s="291"/>
      <c r="S899" s="291"/>
      <c r="T899" s="291"/>
      <c r="U899" s="291"/>
      <c r="V899" s="291"/>
      <c r="W899" s="291"/>
      <c r="X899" s="291"/>
      <c r="Y899" s="291"/>
      <c r="Z899" s="291"/>
      <c r="AA899" s="292"/>
      <c r="AB899" s="292"/>
      <c r="AC899" s="293"/>
      <c r="AD899" s="293"/>
      <c r="AE899" s="294"/>
      <c r="AF899" s="294"/>
      <c r="AG899" s="294"/>
      <c r="AH899" s="294"/>
    </row>
    <row r="900" spans="2:34" s="295" customFormat="1">
      <c r="B900" s="287"/>
      <c r="C900" s="288"/>
      <c r="D900" s="289"/>
      <c r="E900" s="290"/>
      <c r="F900" s="291"/>
      <c r="G900" s="291"/>
      <c r="H900" s="291"/>
      <c r="I900" s="291"/>
      <c r="J900" s="291"/>
      <c r="K900" s="291"/>
      <c r="L900" s="291"/>
      <c r="M900" s="291"/>
      <c r="N900" s="291"/>
      <c r="O900" s="292"/>
      <c r="P900" s="291"/>
      <c r="Q900" s="291"/>
      <c r="R900" s="291"/>
      <c r="S900" s="291"/>
      <c r="T900" s="291"/>
      <c r="U900" s="291"/>
      <c r="V900" s="291"/>
      <c r="W900" s="291"/>
      <c r="X900" s="291"/>
      <c r="Y900" s="291"/>
      <c r="Z900" s="291"/>
      <c r="AA900" s="292"/>
      <c r="AB900" s="292"/>
      <c r="AC900" s="293"/>
      <c r="AD900" s="293"/>
      <c r="AE900" s="294"/>
      <c r="AF900" s="294"/>
      <c r="AG900" s="294"/>
      <c r="AH900" s="294"/>
    </row>
    <row r="901" spans="2:34" s="295" customFormat="1">
      <c r="B901" s="287"/>
      <c r="C901" s="288"/>
      <c r="D901" s="289"/>
      <c r="E901" s="290"/>
      <c r="F901" s="291"/>
      <c r="G901" s="291"/>
      <c r="H901" s="291"/>
      <c r="I901" s="291"/>
      <c r="J901" s="291"/>
      <c r="K901" s="291"/>
      <c r="L901" s="291"/>
      <c r="M901" s="291"/>
      <c r="N901" s="291"/>
      <c r="O901" s="292"/>
      <c r="P901" s="291"/>
      <c r="Q901" s="291"/>
      <c r="R901" s="291"/>
      <c r="S901" s="291"/>
      <c r="T901" s="291"/>
      <c r="U901" s="291"/>
      <c r="V901" s="291"/>
      <c r="W901" s="291"/>
      <c r="X901" s="291"/>
      <c r="Y901" s="291"/>
      <c r="Z901" s="291"/>
      <c r="AA901" s="292"/>
      <c r="AB901" s="292"/>
      <c r="AC901" s="293"/>
      <c r="AD901" s="293"/>
      <c r="AE901" s="294"/>
      <c r="AF901" s="294"/>
      <c r="AG901" s="294"/>
      <c r="AH901" s="294"/>
    </row>
    <row r="902" spans="2:34" s="295" customFormat="1">
      <c r="B902" s="287"/>
      <c r="C902" s="288"/>
      <c r="D902" s="289"/>
      <c r="E902" s="290"/>
      <c r="F902" s="291"/>
      <c r="G902" s="291"/>
      <c r="H902" s="291"/>
      <c r="I902" s="291"/>
      <c r="J902" s="291"/>
      <c r="K902" s="291"/>
      <c r="L902" s="291"/>
      <c r="M902" s="291"/>
      <c r="N902" s="291"/>
      <c r="O902" s="292"/>
      <c r="P902" s="291"/>
      <c r="Q902" s="291"/>
      <c r="R902" s="291"/>
      <c r="S902" s="291"/>
      <c r="T902" s="291"/>
      <c r="U902" s="291"/>
      <c r="V902" s="291"/>
      <c r="W902" s="291"/>
      <c r="X902" s="291"/>
      <c r="Y902" s="291"/>
      <c r="Z902" s="291"/>
      <c r="AA902" s="292"/>
      <c r="AB902" s="292"/>
      <c r="AC902" s="293"/>
      <c r="AD902" s="293"/>
      <c r="AE902" s="294"/>
      <c r="AF902" s="294"/>
      <c r="AG902" s="294"/>
      <c r="AH902" s="294"/>
    </row>
    <row r="903" spans="2:34" s="295" customFormat="1">
      <c r="B903" s="287"/>
      <c r="C903" s="288"/>
      <c r="D903" s="289"/>
      <c r="E903" s="290"/>
      <c r="F903" s="291"/>
      <c r="G903" s="291"/>
      <c r="H903" s="291"/>
      <c r="I903" s="291"/>
      <c r="J903" s="291"/>
      <c r="K903" s="291"/>
      <c r="L903" s="291"/>
      <c r="M903" s="291"/>
      <c r="N903" s="291"/>
      <c r="O903" s="292"/>
      <c r="P903" s="291"/>
      <c r="Q903" s="291"/>
      <c r="R903" s="291"/>
      <c r="S903" s="291"/>
      <c r="T903" s="291"/>
      <c r="U903" s="291"/>
      <c r="V903" s="291"/>
      <c r="W903" s="291"/>
      <c r="X903" s="291"/>
      <c r="Y903" s="291"/>
      <c r="Z903" s="291"/>
      <c r="AA903" s="292"/>
      <c r="AB903" s="292"/>
      <c r="AC903" s="293"/>
      <c r="AD903" s="293"/>
      <c r="AE903" s="294"/>
      <c r="AF903" s="294"/>
      <c r="AG903" s="294"/>
      <c r="AH903" s="294"/>
    </row>
    <row r="904" spans="2:34" s="295" customFormat="1">
      <c r="B904" s="287"/>
      <c r="C904" s="288"/>
      <c r="D904" s="289"/>
      <c r="E904" s="290"/>
      <c r="F904" s="291"/>
      <c r="G904" s="291"/>
      <c r="H904" s="291"/>
      <c r="I904" s="291"/>
      <c r="J904" s="291"/>
      <c r="K904" s="291"/>
      <c r="L904" s="291"/>
      <c r="M904" s="291"/>
      <c r="N904" s="291"/>
      <c r="O904" s="292"/>
      <c r="P904" s="291"/>
      <c r="Q904" s="291"/>
      <c r="R904" s="291"/>
      <c r="S904" s="291"/>
      <c r="T904" s="291"/>
      <c r="U904" s="291"/>
      <c r="V904" s="291"/>
      <c r="W904" s="291"/>
      <c r="X904" s="291"/>
      <c r="Y904" s="291"/>
      <c r="Z904" s="291"/>
      <c r="AA904" s="292"/>
      <c r="AB904" s="292"/>
      <c r="AC904" s="293"/>
      <c r="AD904" s="293"/>
      <c r="AE904" s="294"/>
      <c r="AF904" s="294"/>
      <c r="AG904" s="294"/>
      <c r="AH904" s="294"/>
    </row>
    <row r="905" spans="2:34" s="295" customFormat="1">
      <c r="B905" s="287"/>
      <c r="C905" s="288"/>
      <c r="D905" s="289"/>
      <c r="E905" s="290"/>
      <c r="F905" s="291"/>
      <c r="G905" s="291"/>
      <c r="H905" s="291"/>
      <c r="I905" s="291"/>
      <c r="J905" s="291"/>
      <c r="K905" s="291"/>
      <c r="L905" s="291"/>
      <c r="M905" s="291"/>
      <c r="N905" s="291"/>
      <c r="O905" s="292"/>
      <c r="P905" s="291"/>
      <c r="Q905" s="291"/>
      <c r="R905" s="291"/>
      <c r="S905" s="291"/>
      <c r="T905" s="291"/>
      <c r="U905" s="291"/>
      <c r="V905" s="291"/>
      <c r="W905" s="291"/>
      <c r="X905" s="291"/>
      <c r="Y905" s="291"/>
      <c r="Z905" s="291"/>
      <c r="AA905" s="292"/>
      <c r="AB905" s="292"/>
      <c r="AC905" s="293"/>
      <c r="AD905" s="293"/>
      <c r="AE905" s="294"/>
      <c r="AF905" s="294"/>
      <c r="AG905" s="294"/>
      <c r="AH905" s="294"/>
    </row>
    <row r="906" spans="2:34" s="295" customFormat="1">
      <c r="B906" s="287"/>
      <c r="C906" s="288"/>
      <c r="D906" s="289"/>
      <c r="E906" s="290"/>
      <c r="F906" s="291"/>
      <c r="G906" s="291"/>
      <c r="H906" s="291"/>
      <c r="I906" s="291"/>
      <c r="J906" s="291"/>
      <c r="K906" s="291"/>
      <c r="L906" s="291"/>
      <c r="M906" s="291"/>
      <c r="N906" s="291"/>
      <c r="O906" s="292"/>
      <c r="P906" s="291"/>
      <c r="Q906" s="291"/>
      <c r="R906" s="291"/>
      <c r="S906" s="291"/>
      <c r="T906" s="291"/>
      <c r="U906" s="291"/>
      <c r="V906" s="291"/>
      <c r="W906" s="291"/>
      <c r="X906" s="291"/>
      <c r="Y906" s="291"/>
      <c r="Z906" s="291"/>
      <c r="AA906" s="292"/>
      <c r="AB906" s="292"/>
      <c r="AC906" s="293"/>
      <c r="AD906" s="293"/>
      <c r="AE906" s="294"/>
      <c r="AF906" s="294"/>
      <c r="AG906" s="294"/>
      <c r="AH906" s="294"/>
    </row>
    <row r="907" spans="2:34" s="295" customFormat="1">
      <c r="B907" s="287"/>
      <c r="C907" s="288"/>
      <c r="D907" s="289"/>
      <c r="E907" s="290"/>
      <c r="F907" s="291"/>
      <c r="G907" s="291"/>
      <c r="H907" s="291"/>
      <c r="I907" s="291"/>
      <c r="J907" s="291"/>
      <c r="K907" s="291"/>
      <c r="L907" s="291"/>
      <c r="M907" s="291"/>
      <c r="N907" s="291"/>
      <c r="O907" s="292"/>
      <c r="P907" s="291"/>
      <c r="Q907" s="291"/>
      <c r="R907" s="291"/>
      <c r="S907" s="291"/>
      <c r="T907" s="291"/>
      <c r="U907" s="291"/>
      <c r="V907" s="291"/>
      <c r="W907" s="291"/>
      <c r="X907" s="291"/>
      <c r="Y907" s="291"/>
      <c r="Z907" s="291"/>
      <c r="AA907" s="292"/>
      <c r="AB907" s="292"/>
      <c r="AC907" s="293"/>
      <c r="AD907" s="293"/>
      <c r="AE907" s="294"/>
      <c r="AF907" s="294"/>
      <c r="AG907" s="294"/>
      <c r="AH907" s="294"/>
    </row>
    <row r="908" spans="2:34" s="295" customFormat="1">
      <c r="B908" s="287"/>
      <c r="C908" s="288"/>
      <c r="D908" s="289"/>
      <c r="E908" s="290"/>
      <c r="F908" s="291"/>
      <c r="G908" s="291"/>
      <c r="H908" s="291"/>
      <c r="I908" s="291"/>
      <c r="J908" s="291"/>
      <c r="K908" s="291"/>
      <c r="L908" s="291"/>
      <c r="M908" s="291"/>
      <c r="N908" s="291"/>
      <c r="O908" s="292"/>
      <c r="P908" s="291"/>
      <c r="Q908" s="291"/>
      <c r="R908" s="291"/>
      <c r="S908" s="291"/>
      <c r="T908" s="291"/>
      <c r="U908" s="291"/>
      <c r="V908" s="291"/>
      <c r="W908" s="291"/>
      <c r="X908" s="291"/>
      <c r="Y908" s="291"/>
      <c r="Z908" s="291"/>
      <c r="AA908" s="292"/>
      <c r="AB908" s="292"/>
      <c r="AC908" s="293"/>
      <c r="AD908" s="293"/>
      <c r="AE908" s="294"/>
      <c r="AF908" s="294"/>
      <c r="AG908" s="294"/>
      <c r="AH908" s="294"/>
    </row>
    <row r="909" spans="2:34" s="295" customFormat="1">
      <c r="B909" s="287"/>
      <c r="C909" s="288"/>
      <c r="D909" s="289"/>
      <c r="E909" s="290"/>
      <c r="F909" s="291"/>
      <c r="G909" s="291"/>
      <c r="H909" s="291"/>
      <c r="I909" s="291"/>
      <c r="J909" s="291"/>
      <c r="K909" s="291"/>
      <c r="L909" s="291"/>
      <c r="M909" s="291"/>
      <c r="N909" s="291"/>
      <c r="O909" s="292"/>
      <c r="P909" s="291"/>
      <c r="Q909" s="291"/>
      <c r="R909" s="291"/>
      <c r="S909" s="291"/>
      <c r="T909" s="291"/>
      <c r="U909" s="291"/>
      <c r="V909" s="291"/>
      <c r="W909" s="291"/>
      <c r="X909" s="291"/>
      <c r="Y909" s="291"/>
      <c r="Z909" s="291"/>
      <c r="AA909" s="292"/>
      <c r="AB909" s="292"/>
      <c r="AC909" s="293"/>
      <c r="AD909" s="293"/>
      <c r="AE909" s="294"/>
      <c r="AF909" s="294"/>
      <c r="AG909" s="294"/>
      <c r="AH909" s="294"/>
    </row>
    <row r="910" spans="2:34" s="295" customFormat="1">
      <c r="B910" s="287"/>
      <c r="C910" s="288"/>
      <c r="D910" s="289"/>
      <c r="E910" s="290"/>
      <c r="F910" s="291"/>
      <c r="G910" s="291"/>
      <c r="H910" s="291"/>
      <c r="I910" s="291"/>
      <c r="J910" s="291"/>
      <c r="K910" s="291"/>
      <c r="L910" s="291"/>
      <c r="M910" s="291"/>
      <c r="N910" s="291"/>
      <c r="O910" s="292"/>
      <c r="P910" s="291"/>
      <c r="Q910" s="291"/>
      <c r="R910" s="291"/>
      <c r="S910" s="291"/>
      <c r="T910" s="291"/>
      <c r="U910" s="291"/>
      <c r="V910" s="291"/>
      <c r="W910" s="291"/>
      <c r="X910" s="291"/>
      <c r="Y910" s="291"/>
      <c r="Z910" s="291"/>
      <c r="AA910" s="292"/>
      <c r="AB910" s="292"/>
      <c r="AC910" s="293"/>
      <c r="AD910" s="293"/>
      <c r="AE910" s="294"/>
      <c r="AF910" s="294"/>
      <c r="AG910" s="294"/>
      <c r="AH910" s="294"/>
    </row>
    <row r="911" spans="2:34" s="295" customFormat="1">
      <c r="B911" s="287"/>
      <c r="C911" s="288"/>
      <c r="D911" s="289"/>
      <c r="E911" s="290"/>
      <c r="F911" s="291"/>
      <c r="G911" s="291"/>
      <c r="H911" s="291"/>
      <c r="I911" s="291"/>
      <c r="J911" s="291"/>
      <c r="K911" s="291"/>
      <c r="L911" s="291"/>
      <c r="M911" s="291"/>
      <c r="N911" s="291"/>
      <c r="O911" s="292"/>
      <c r="P911" s="291"/>
      <c r="Q911" s="291"/>
      <c r="R911" s="291"/>
      <c r="S911" s="291"/>
      <c r="T911" s="291"/>
      <c r="U911" s="291"/>
      <c r="V911" s="291"/>
      <c r="W911" s="291"/>
      <c r="X911" s="291"/>
      <c r="Y911" s="291"/>
      <c r="Z911" s="291"/>
      <c r="AA911" s="292"/>
      <c r="AB911" s="292"/>
      <c r="AC911" s="293"/>
      <c r="AD911" s="293"/>
      <c r="AE911" s="294"/>
      <c r="AF911" s="294"/>
      <c r="AG911" s="294"/>
      <c r="AH911" s="294"/>
    </row>
    <row r="912" spans="2:34" s="295" customFormat="1">
      <c r="B912" s="287"/>
      <c r="C912" s="288"/>
      <c r="D912" s="289"/>
      <c r="E912" s="290"/>
      <c r="F912" s="291"/>
      <c r="G912" s="291"/>
      <c r="H912" s="291"/>
      <c r="I912" s="291"/>
      <c r="J912" s="291"/>
      <c r="K912" s="291"/>
      <c r="L912" s="291"/>
      <c r="M912" s="291"/>
      <c r="N912" s="291"/>
      <c r="O912" s="292"/>
      <c r="P912" s="291"/>
      <c r="Q912" s="291"/>
      <c r="R912" s="291"/>
      <c r="S912" s="291"/>
      <c r="T912" s="291"/>
      <c r="U912" s="291"/>
      <c r="V912" s="291"/>
      <c r="W912" s="291"/>
      <c r="X912" s="291"/>
      <c r="Y912" s="291"/>
      <c r="Z912" s="291"/>
      <c r="AA912" s="292"/>
      <c r="AB912" s="292"/>
      <c r="AC912" s="293"/>
      <c r="AD912" s="293"/>
      <c r="AE912" s="294"/>
      <c r="AF912" s="294"/>
      <c r="AG912" s="294"/>
      <c r="AH912" s="294"/>
    </row>
    <row r="913" spans="2:34" s="295" customFormat="1">
      <c r="B913" s="287"/>
      <c r="C913" s="288"/>
      <c r="D913" s="289"/>
      <c r="E913" s="290"/>
      <c r="F913" s="291"/>
      <c r="G913" s="291"/>
      <c r="H913" s="291"/>
      <c r="I913" s="291"/>
      <c r="J913" s="291"/>
      <c r="K913" s="291"/>
      <c r="L913" s="291"/>
      <c r="M913" s="291"/>
      <c r="N913" s="291"/>
      <c r="O913" s="292"/>
      <c r="P913" s="291"/>
      <c r="Q913" s="291"/>
      <c r="R913" s="291"/>
      <c r="S913" s="291"/>
      <c r="T913" s="291"/>
      <c r="U913" s="291"/>
      <c r="V913" s="291"/>
      <c r="W913" s="291"/>
      <c r="X913" s="291"/>
      <c r="Y913" s="291"/>
      <c r="Z913" s="291"/>
      <c r="AA913" s="292"/>
      <c r="AB913" s="292"/>
      <c r="AC913" s="293"/>
      <c r="AD913" s="293"/>
      <c r="AE913" s="294"/>
      <c r="AF913" s="294"/>
      <c r="AG913" s="294"/>
      <c r="AH913" s="294"/>
    </row>
    <row r="914" spans="2:34" s="295" customFormat="1">
      <c r="B914" s="287"/>
      <c r="C914" s="288"/>
      <c r="D914" s="289"/>
      <c r="E914" s="290"/>
      <c r="F914" s="291"/>
      <c r="G914" s="291"/>
      <c r="H914" s="291"/>
      <c r="I914" s="291"/>
      <c r="J914" s="291"/>
      <c r="K914" s="291"/>
      <c r="L914" s="291"/>
      <c r="M914" s="291"/>
      <c r="N914" s="291"/>
      <c r="O914" s="292"/>
      <c r="P914" s="291"/>
      <c r="Q914" s="291"/>
      <c r="R914" s="291"/>
      <c r="S914" s="291"/>
      <c r="T914" s="291"/>
      <c r="U914" s="291"/>
      <c r="V914" s="291"/>
      <c r="W914" s="291"/>
      <c r="X914" s="291"/>
      <c r="Y914" s="291"/>
      <c r="Z914" s="291"/>
      <c r="AA914" s="292"/>
      <c r="AB914" s="292"/>
      <c r="AC914" s="293"/>
      <c r="AD914" s="293"/>
      <c r="AE914" s="294"/>
      <c r="AF914" s="294"/>
      <c r="AG914" s="294"/>
      <c r="AH914" s="294"/>
    </row>
    <row r="915" spans="2:34" s="295" customFormat="1">
      <c r="B915" s="287"/>
      <c r="C915" s="288"/>
      <c r="D915" s="289"/>
      <c r="E915" s="290"/>
      <c r="F915" s="291"/>
      <c r="G915" s="291"/>
      <c r="H915" s="291"/>
      <c r="I915" s="291"/>
      <c r="J915" s="291"/>
      <c r="K915" s="291"/>
      <c r="L915" s="291"/>
      <c r="M915" s="291"/>
      <c r="N915" s="291"/>
      <c r="O915" s="292"/>
      <c r="P915" s="291"/>
      <c r="Q915" s="291"/>
      <c r="R915" s="291"/>
      <c r="S915" s="291"/>
      <c r="T915" s="291"/>
      <c r="U915" s="291"/>
      <c r="V915" s="291"/>
      <c r="W915" s="291"/>
      <c r="X915" s="291"/>
      <c r="Y915" s="291"/>
      <c r="Z915" s="291"/>
      <c r="AA915" s="292"/>
      <c r="AB915" s="292"/>
      <c r="AC915" s="293"/>
      <c r="AD915" s="293"/>
      <c r="AE915" s="294"/>
      <c r="AF915" s="294"/>
      <c r="AG915" s="294"/>
      <c r="AH915" s="294"/>
    </row>
    <row r="916" spans="2:34" s="295" customFormat="1">
      <c r="B916" s="287"/>
      <c r="C916" s="288"/>
      <c r="D916" s="289"/>
      <c r="E916" s="290"/>
      <c r="F916" s="291"/>
      <c r="G916" s="291"/>
      <c r="H916" s="291"/>
      <c r="I916" s="291"/>
      <c r="J916" s="291"/>
      <c r="K916" s="291"/>
      <c r="L916" s="291"/>
      <c r="M916" s="291"/>
      <c r="N916" s="291"/>
      <c r="O916" s="292"/>
      <c r="P916" s="291"/>
      <c r="Q916" s="291"/>
      <c r="R916" s="291"/>
      <c r="S916" s="291"/>
      <c r="T916" s="291"/>
      <c r="U916" s="291"/>
      <c r="V916" s="291"/>
      <c r="W916" s="291"/>
      <c r="X916" s="291"/>
      <c r="Y916" s="291"/>
      <c r="Z916" s="291"/>
      <c r="AA916" s="292"/>
      <c r="AB916" s="292"/>
      <c r="AC916" s="293"/>
      <c r="AD916" s="293"/>
      <c r="AE916" s="294"/>
      <c r="AF916" s="294"/>
      <c r="AG916" s="294"/>
      <c r="AH916" s="294"/>
    </row>
    <row r="917" spans="2:34" s="295" customFormat="1">
      <c r="B917" s="287"/>
      <c r="C917" s="288"/>
      <c r="D917" s="289"/>
      <c r="E917" s="290"/>
      <c r="F917" s="291"/>
      <c r="G917" s="291"/>
      <c r="H917" s="291"/>
      <c r="I917" s="291"/>
      <c r="J917" s="291"/>
      <c r="K917" s="291"/>
      <c r="L917" s="291"/>
      <c r="M917" s="291"/>
      <c r="N917" s="291"/>
      <c r="O917" s="292"/>
      <c r="P917" s="291"/>
      <c r="Q917" s="291"/>
      <c r="R917" s="291"/>
      <c r="S917" s="291"/>
      <c r="T917" s="291"/>
      <c r="U917" s="291"/>
      <c r="V917" s="291"/>
      <c r="W917" s="291"/>
      <c r="X917" s="291"/>
      <c r="Y917" s="291"/>
      <c r="Z917" s="291"/>
      <c r="AA917" s="292"/>
      <c r="AB917" s="292"/>
      <c r="AC917" s="293"/>
      <c r="AD917" s="293"/>
      <c r="AE917" s="294"/>
      <c r="AF917" s="294"/>
      <c r="AG917" s="294"/>
      <c r="AH917" s="294"/>
    </row>
    <row r="918" spans="2:34" s="295" customFormat="1">
      <c r="B918" s="287"/>
      <c r="C918" s="288"/>
      <c r="D918" s="289"/>
      <c r="E918" s="290"/>
      <c r="F918" s="291"/>
      <c r="G918" s="291"/>
      <c r="H918" s="291"/>
      <c r="I918" s="291"/>
      <c r="J918" s="291"/>
      <c r="K918" s="291"/>
      <c r="L918" s="291"/>
      <c r="M918" s="291"/>
      <c r="N918" s="291"/>
      <c r="O918" s="292"/>
      <c r="P918" s="291"/>
      <c r="Q918" s="291"/>
      <c r="R918" s="291"/>
      <c r="S918" s="291"/>
      <c r="T918" s="291"/>
      <c r="U918" s="291"/>
      <c r="V918" s="291"/>
      <c r="W918" s="291"/>
      <c r="X918" s="291"/>
      <c r="Y918" s="291"/>
      <c r="Z918" s="291"/>
      <c r="AA918" s="292"/>
      <c r="AB918" s="292"/>
      <c r="AC918" s="293"/>
      <c r="AD918" s="293"/>
      <c r="AE918" s="294"/>
      <c r="AF918" s="294"/>
      <c r="AG918" s="294"/>
      <c r="AH918" s="294"/>
    </row>
    <row r="919" spans="2:34" s="295" customFormat="1">
      <c r="B919" s="287"/>
      <c r="C919" s="288"/>
      <c r="D919" s="289"/>
      <c r="E919" s="290"/>
      <c r="F919" s="291"/>
      <c r="G919" s="291"/>
      <c r="H919" s="291"/>
      <c r="I919" s="291"/>
      <c r="J919" s="291"/>
      <c r="K919" s="291"/>
      <c r="L919" s="291"/>
      <c r="M919" s="291"/>
      <c r="N919" s="291"/>
      <c r="O919" s="292"/>
      <c r="P919" s="291"/>
      <c r="Q919" s="291"/>
      <c r="R919" s="291"/>
      <c r="S919" s="291"/>
      <c r="T919" s="291"/>
      <c r="U919" s="291"/>
      <c r="V919" s="291"/>
      <c r="W919" s="291"/>
      <c r="X919" s="291"/>
      <c r="Y919" s="291"/>
      <c r="Z919" s="291"/>
      <c r="AA919" s="292"/>
      <c r="AB919" s="292"/>
      <c r="AC919" s="293"/>
      <c r="AD919" s="293"/>
      <c r="AE919" s="294"/>
      <c r="AF919" s="294"/>
      <c r="AG919" s="294"/>
      <c r="AH919" s="294"/>
    </row>
    <row r="920" spans="2:34" s="295" customFormat="1">
      <c r="B920" s="287"/>
      <c r="C920" s="288"/>
      <c r="D920" s="289"/>
      <c r="E920" s="290"/>
      <c r="F920" s="291"/>
      <c r="G920" s="291"/>
      <c r="H920" s="291"/>
      <c r="I920" s="291"/>
      <c r="J920" s="291"/>
      <c r="K920" s="291"/>
      <c r="L920" s="291"/>
      <c r="M920" s="291"/>
      <c r="N920" s="291"/>
      <c r="O920" s="292"/>
      <c r="P920" s="291"/>
      <c r="Q920" s="291"/>
      <c r="R920" s="291"/>
      <c r="S920" s="291"/>
      <c r="T920" s="291"/>
      <c r="U920" s="291"/>
      <c r="V920" s="291"/>
      <c r="W920" s="291"/>
      <c r="X920" s="291"/>
      <c r="Y920" s="291"/>
      <c r="Z920" s="291"/>
      <c r="AA920" s="292"/>
      <c r="AB920" s="292"/>
      <c r="AC920" s="293"/>
      <c r="AD920" s="293"/>
      <c r="AE920" s="294"/>
      <c r="AF920" s="294"/>
      <c r="AG920" s="294"/>
      <c r="AH920" s="294"/>
    </row>
    <row r="921" spans="2:34" s="295" customFormat="1">
      <c r="B921" s="287"/>
      <c r="C921" s="288"/>
      <c r="D921" s="289"/>
      <c r="E921" s="290"/>
      <c r="F921" s="291"/>
      <c r="G921" s="291"/>
      <c r="H921" s="291"/>
      <c r="I921" s="291"/>
      <c r="J921" s="291"/>
      <c r="K921" s="291"/>
      <c r="L921" s="291"/>
      <c r="M921" s="291"/>
      <c r="N921" s="291"/>
      <c r="O921" s="292"/>
      <c r="P921" s="291"/>
      <c r="Q921" s="291"/>
      <c r="R921" s="291"/>
      <c r="S921" s="291"/>
      <c r="T921" s="291"/>
      <c r="U921" s="291"/>
      <c r="V921" s="291"/>
      <c r="W921" s="291"/>
      <c r="X921" s="291"/>
      <c r="Y921" s="291"/>
      <c r="Z921" s="291"/>
      <c r="AA921" s="292"/>
      <c r="AB921" s="292"/>
      <c r="AC921" s="293"/>
      <c r="AD921" s="293"/>
      <c r="AE921" s="294"/>
      <c r="AF921" s="294"/>
      <c r="AG921" s="294"/>
      <c r="AH921" s="294"/>
    </row>
    <row r="922" spans="2:34" s="295" customFormat="1">
      <c r="B922" s="287"/>
      <c r="C922" s="288"/>
      <c r="D922" s="289"/>
      <c r="E922" s="290"/>
      <c r="F922" s="291"/>
      <c r="G922" s="291"/>
      <c r="H922" s="291"/>
      <c r="I922" s="291"/>
      <c r="J922" s="291"/>
      <c r="K922" s="291"/>
      <c r="L922" s="291"/>
      <c r="M922" s="291"/>
      <c r="N922" s="291"/>
      <c r="O922" s="292"/>
      <c r="P922" s="291"/>
      <c r="Q922" s="291"/>
      <c r="R922" s="291"/>
      <c r="S922" s="291"/>
      <c r="T922" s="291"/>
      <c r="U922" s="291"/>
      <c r="V922" s="291"/>
      <c r="W922" s="291"/>
      <c r="X922" s="291"/>
      <c r="Y922" s="291"/>
      <c r="Z922" s="291"/>
      <c r="AA922" s="292"/>
      <c r="AB922" s="292"/>
      <c r="AC922" s="293"/>
      <c r="AD922" s="293"/>
      <c r="AE922" s="294"/>
      <c r="AF922" s="294"/>
      <c r="AG922" s="294"/>
      <c r="AH922" s="294"/>
    </row>
    <row r="923" spans="2:34" s="295" customFormat="1">
      <c r="B923" s="287"/>
      <c r="C923" s="288"/>
      <c r="D923" s="289"/>
      <c r="E923" s="290"/>
      <c r="F923" s="291"/>
      <c r="G923" s="291"/>
      <c r="H923" s="291"/>
      <c r="I923" s="291"/>
      <c r="J923" s="291"/>
      <c r="K923" s="291"/>
      <c r="L923" s="291"/>
      <c r="M923" s="291"/>
      <c r="N923" s="291"/>
      <c r="O923" s="292"/>
      <c r="P923" s="291"/>
      <c r="Q923" s="291"/>
      <c r="R923" s="291"/>
      <c r="S923" s="291"/>
      <c r="T923" s="291"/>
      <c r="U923" s="291"/>
      <c r="V923" s="291"/>
      <c r="W923" s="291"/>
      <c r="X923" s="291"/>
      <c r="Y923" s="291"/>
      <c r="Z923" s="291"/>
      <c r="AA923" s="292"/>
      <c r="AB923" s="292"/>
      <c r="AC923" s="293"/>
      <c r="AD923" s="293"/>
      <c r="AE923" s="294"/>
      <c r="AF923" s="294"/>
      <c r="AG923" s="294"/>
      <c r="AH923" s="294"/>
    </row>
    <row r="924" spans="2:34" s="295" customFormat="1">
      <c r="B924" s="287"/>
      <c r="C924" s="288"/>
      <c r="D924" s="289"/>
      <c r="E924" s="290"/>
      <c r="F924" s="291"/>
      <c r="G924" s="291"/>
      <c r="H924" s="291"/>
      <c r="I924" s="291"/>
      <c r="J924" s="291"/>
      <c r="K924" s="291"/>
      <c r="L924" s="291"/>
      <c r="M924" s="291"/>
      <c r="N924" s="291"/>
      <c r="O924" s="292"/>
      <c r="P924" s="291"/>
      <c r="Q924" s="291"/>
      <c r="R924" s="291"/>
      <c r="S924" s="291"/>
      <c r="T924" s="291"/>
      <c r="U924" s="291"/>
      <c r="V924" s="291"/>
      <c r="W924" s="291"/>
      <c r="X924" s="291"/>
      <c r="Y924" s="291"/>
      <c r="Z924" s="291"/>
      <c r="AA924" s="292"/>
      <c r="AB924" s="292"/>
      <c r="AC924" s="293"/>
      <c r="AD924" s="293"/>
      <c r="AE924" s="294"/>
      <c r="AF924" s="294"/>
      <c r="AG924" s="294"/>
      <c r="AH924" s="294"/>
    </row>
    <row r="925" spans="2:34" s="295" customFormat="1">
      <c r="B925" s="287"/>
      <c r="C925" s="288"/>
      <c r="D925" s="289"/>
      <c r="E925" s="290"/>
      <c r="F925" s="291"/>
      <c r="G925" s="291"/>
      <c r="H925" s="291"/>
      <c r="I925" s="291"/>
      <c r="J925" s="291"/>
      <c r="K925" s="291"/>
      <c r="L925" s="291"/>
      <c r="M925" s="291"/>
      <c r="N925" s="291"/>
      <c r="O925" s="292"/>
      <c r="P925" s="291"/>
      <c r="Q925" s="291"/>
      <c r="R925" s="291"/>
      <c r="S925" s="291"/>
      <c r="T925" s="291"/>
      <c r="U925" s="291"/>
      <c r="V925" s="291"/>
      <c r="W925" s="291"/>
      <c r="X925" s="291"/>
      <c r="Y925" s="291"/>
      <c r="Z925" s="291"/>
      <c r="AA925" s="292"/>
      <c r="AB925" s="292"/>
      <c r="AC925" s="293"/>
      <c r="AD925" s="293"/>
      <c r="AE925" s="294"/>
      <c r="AF925" s="294"/>
      <c r="AG925" s="294"/>
      <c r="AH925" s="294"/>
    </row>
    <row r="926" spans="2:34" s="295" customFormat="1">
      <c r="B926" s="287"/>
      <c r="C926" s="288"/>
      <c r="D926" s="289"/>
      <c r="E926" s="290"/>
      <c r="F926" s="291"/>
      <c r="G926" s="291"/>
      <c r="H926" s="291"/>
      <c r="I926" s="291"/>
      <c r="J926" s="291"/>
      <c r="K926" s="291"/>
      <c r="L926" s="291"/>
      <c r="M926" s="291"/>
      <c r="N926" s="291"/>
      <c r="O926" s="292"/>
      <c r="P926" s="291"/>
      <c r="Q926" s="291"/>
      <c r="R926" s="291"/>
      <c r="S926" s="291"/>
      <c r="T926" s="291"/>
      <c r="U926" s="291"/>
      <c r="V926" s="291"/>
      <c r="W926" s="291"/>
      <c r="X926" s="291"/>
      <c r="Y926" s="291"/>
      <c r="Z926" s="291"/>
      <c r="AA926" s="292"/>
      <c r="AB926" s="292"/>
      <c r="AC926" s="293"/>
      <c r="AD926" s="293"/>
      <c r="AE926" s="294"/>
      <c r="AF926" s="294"/>
      <c r="AG926" s="294"/>
      <c r="AH926" s="294"/>
    </row>
    <row r="927" spans="2:34" s="295" customFormat="1">
      <c r="B927" s="287"/>
      <c r="C927" s="288"/>
      <c r="D927" s="289"/>
      <c r="E927" s="290"/>
      <c r="F927" s="291"/>
      <c r="G927" s="291"/>
      <c r="H927" s="291"/>
      <c r="I927" s="291"/>
      <c r="J927" s="291"/>
      <c r="K927" s="291"/>
      <c r="L927" s="291"/>
      <c r="M927" s="291"/>
      <c r="N927" s="291"/>
      <c r="O927" s="292"/>
      <c r="P927" s="291"/>
      <c r="Q927" s="291"/>
      <c r="R927" s="291"/>
      <c r="S927" s="291"/>
      <c r="T927" s="291"/>
      <c r="U927" s="291"/>
      <c r="V927" s="291"/>
      <c r="W927" s="291"/>
      <c r="X927" s="291"/>
      <c r="Y927" s="291"/>
      <c r="Z927" s="291"/>
      <c r="AA927" s="292"/>
      <c r="AB927" s="292"/>
      <c r="AC927" s="293"/>
      <c r="AD927" s="293"/>
      <c r="AE927" s="294"/>
      <c r="AF927" s="294"/>
      <c r="AG927" s="294"/>
      <c r="AH927" s="294"/>
    </row>
    <row r="928" spans="2:34" s="295" customFormat="1">
      <c r="B928" s="287"/>
      <c r="C928" s="288"/>
      <c r="D928" s="289"/>
      <c r="E928" s="290"/>
      <c r="F928" s="291"/>
      <c r="G928" s="291"/>
      <c r="H928" s="291"/>
      <c r="I928" s="291"/>
      <c r="J928" s="291"/>
      <c r="K928" s="291"/>
      <c r="L928" s="291"/>
      <c r="M928" s="291"/>
      <c r="N928" s="291"/>
      <c r="O928" s="292"/>
      <c r="P928" s="291"/>
      <c r="Q928" s="291"/>
      <c r="R928" s="291"/>
      <c r="S928" s="291"/>
      <c r="T928" s="291"/>
      <c r="U928" s="291"/>
      <c r="V928" s="291"/>
      <c r="W928" s="291"/>
      <c r="X928" s="291"/>
      <c r="Y928" s="291"/>
      <c r="Z928" s="291"/>
      <c r="AA928" s="292"/>
      <c r="AB928" s="292"/>
      <c r="AC928" s="293"/>
      <c r="AD928" s="293"/>
      <c r="AE928" s="294"/>
      <c r="AF928" s="294"/>
      <c r="AG928" s="294"/>
      <c r="AH928" s="294"/>
    </row>
    <row r="929" spans="2:34" s="295" customFormat="1">
      <c r="B929" s="287"/>
      <c r="C929" s="288"/>
      <c r="D929" s="289"/>
      <c r="E929" s="290"/>
      <c r="F929" s="291"/>
      <c r="G929" s="291"/>
      <c r="H929" s="291"/>
      <c r="I929" s="291"/>
      <c r="J929" s="291"/>
      <c r="K929" s="291"/>
      <c r="L929" s="291"/>
      <c r="M929" s="291"/>
      <c r="N929" s="291"/>
      <c r="O929" s="292"/>
      <c r="P929" s="291"/>
      <c r="Q929" s="291"/>
      <c r="R929" s="291"/>
      <c r="S929" s="291"/>
      <c r="T929" s="291"/>
      <c r="U929" s="291"/>
      <c r="V929" s="291"/>
      <c r="W929" s="291"/>
      <c r="X929" s="291"/>
      <c r="Y929" s="291"/>
      <c r="Z929" s="291"/>
      <c r="AA929" s="292"/>
      <c r="AB929" s="292"/>
      <c r="AC929" s="293"/>
      <c r="AD929" s="293"/>
      <c r="AE929" s="294"/>
      <c r="AF929" s="294"/>
      <c r="AG929" s="294"/>
      <c r="AH929" s="294"/>
    </row>
    <row r="930" spans="2:34" s="295" customFormat="1">
      <c r="B930" s="287"/>
      <c r="C930" s="288"/>
      <c r="D930" s="289"/>
      <c r="E930" s="290"/>
      <c r="F930" s="291"/>
      <c r="G930" s="291"/>
      <c r="H930" s="291"/>
      <c r="I930" s="291"/>
      <c r="J930" s="291"/>
      <c r="K930" s="291"/>
      <c r="L930" s="291"/>
      <c r="M930" s="291"/>
      <c r="N930" s="291"/>
      <c r="O930" s="292"/>
      <c r="P930" s="291"/>
      <c r="Q930" s="291"/>
      <c r="R930" s="291"/>
      <c r="S930" s="291"/>
      <c r="T930" s="291"/>
      <c r="U930" s="291"/>
      <c r="V930" s="291"/>
      <c r="W930" s="291"/>
      <c r="X930" s="291"/>
      <c r="Y930" s="291"/>
      <c r="Z930" s="291"/>
      <c r="AA930" s="292"/>
      <c r="AB930" s="292"/>
      <c r="AC930" s="293"/>
      <c r="AD930" s="293"/>
      <c r="AE930" s="294"/>
      <c r="AF930" s="294"/>
      <c r="AG930" s="294"/>
      <c r="AH930" s="294"/>
    </row>
    <row r="931" spans="2:34" s="295" customFormat="1">
      <c r="B931" s="287"/>
      <c r="C931" s="288"/>
      <c r="D931" s="289"/>
      <c r="E931" s="290"/>
      <c r="F931" s="291"/>
      <c r="G931" s="291"/>
      <c r="H931" s="291"/>
      <c r="I931" s="291"/>
      <c r="J931" s="291"/>
      <c r="K931" s="291"/>
      <c r="L931" s="291"/>
      <c r="M931" s="291"/>
      <c r="N931" s="291"/>
      <c r="O931" s="292"/>
      <c r="P931" s="291"/>
      <c r="Q931" s="291"/>
      <c r="R931" s="291"/>
      <c r="S931" s="291"/>
      <c r="T931" s="291"/>
      <c r="U931" s="291"/>
      <c r="V931" s="291"/>
      <c r="W931" s="291"/>
      <c r="X931" s="291"/>
      <c r="Y931" s="291"/>
      <c r="Z931" s="291"/>
      <c r="AA931" s="292"/>
      <c r="AB931" s="292"/>
      <c r="AC931" s="293"/>
      <c r="AD931" s="293"/>
      <c r="AE931" s="294"/>
      <c r="AF931" s="294"/>
      <c r="AG931" s="294"/>
      <c r="AH931" s="294"/>
    </row>
    <row r="932" spans="2:34" s="295" customFormat="1">
      <c r="B932" s="287"/>
      <c r="C932" s="288"/>
      <c r="D932" s="289"/>
      <c r="E932" s="290"/>
      <c r="F932" s="291"/>
      <c r="G932" s="291"/>
      <c r="H932" s="291"/>
      <c r="I932" s="291"/>
      <c r="J932" s="291"/>
      <c r="K932" s="291"/>
      <c r="L932" s="291"/>
      <c r="M932" s="291"/>
      <c r="N932" s="291"/>
      <c r="O932" s="292"/>
      <c r="P932" s="291"/>
      <c r="Q932" s="291"/>
      <c r="R932" s="291"/>
      <c r="S932" s="291"/>
      <c r="T932" s="291"/>
      <c r="U932" s="291"/>
      <c r="V932" s="291"/>
      <c r="W932" s="291"/>
      <c r="X932" s="291"/>
      <c r="Y932" s="291"/>
      <c r="Z932" s="291"/>
      <c r="AA932" s="292"/>
      <c r="AB932" s="292"/>
      <c r="AC932" s="293"/>
      <c r="AD932" s="293"/>
      <c r="AE932" s="294"/>
      <c r="AF932" s="294"/>
      <c r="AG932" s="294"/>
      <c r="AH932" s="294"/>
    </row>
    <row r="933" spans="2:34" s="295" customFormat="1">
      <c r="B933" s="287"/>
      <c r="C933" s="288"/>
      <c r="D933" s="289"/>
      <c r="E933" s="290"/>
      <c r="F933" s="291"/>
      <c r="G933" s="291"/>
      <c r="H933" s="291"/>
      <c r="I933" s="291"/>
      <c r="J933" s="291"/>
      <c r="K933" s="291"/>
      <c r="L933" s="291"/>
      <c r="M933" s="291"/>
      <c r="N933" s="291"/>
      <c r="O933" s="292"/>
      <c r="P933" s="291"/>
      <c r="Q933" s="291"/>
      <c r="R933" s="291"/>
      <c r="S933" s="291"/>
      <c r="T933" s="291"/>
      <c r="U933" s="291"/>
      <c r="V933" s="291"/>
      <c r="W933" s="291"/>
      <c r="X933" s="291"/>
      <c r="Y933" s="291"/>
      <c r="Z933" s="291"/>
      <c r="AA933" s="292"/>
      <c r="AB933" s="292"/>
      <c r="AC933" s="293"/>
      <c r="AD933" s="293"/>
      <c r="AE933" s="294"/>
      <c r="AF933" s="294"/>
      <c r="AG933" s="294"/>
      <c r="AH933" s="294"/>
    </row>
    <row r="934" spans="2:34" s="295" customFormat="1">
      <c r="B934" s="287"/>
      <c r="C934" s="288"/>
      <c r="D934" s="289"/>
      <c r="E934" s="290"/>
      <c r="F934" s="291"/>
      <c r="G934" s="291"/>
      <c r="H934" s="291"/>
      <c r="I934" s="291"/>
      <c r="J934" s="291"/>
      <c r="K934" s="291"/>
      <c r="L934" s="291"/>
      <c r="M934" s="291"/>
      <c r="N934" s="291"/>
      <c r="O934" s="292"/>
      <c r="P934" s="291"/>
      <c r="Q934" s="291"/>
      <c r="R934" s="291"/>
      <c r="S934" s="291"/>
      <c r="T934" s="291"/>
      <c r="U934" s="291"/>
      <c r="V934" s="291"/>
      <c r="W934" s="291"/>
      <c r="X934" s="291"/>
      <c r="Y934" s="291"/>
      <c r="Z934" s="291"/>
      <c r="AA934" s="292"/>
      <c r="AB934" s="292"/>
      <c r="AC934" s="293"/>
      <c r="AD934" s="293"/>
      <c r="AE934" s="294"/>
      <c r="AF934" s="294"/>
      <c r="AG934" s="294"/>
      <c r="AH934" s="294"/>
    </row>
    <row r="935" spans="2:34" s="295" customFormat="1">
      <c r="B935" s="287"/>
      <c r="C935" s="288"/>
      <c r="D935" s="289"/>
      <c r="E935" s="290"/>
      <c r="F935" s="291"/>
      <c r="G935" s="291"/>
      <c r="H935" s="291"/>
      <c r="I935" s="291"/>
      <c r="J935" s="291"/>
      <c r="K935" s="291"/>
      <c r="L935" s="291"/>
      <c r="M935" s="291"/>
      <c r="N935" s="291"/>
      <c r="O935" s="292"/>
      <c r="P935" s="291"/>
      <c r="Q935" s="291"/>
      <c r="R935" s="291"/>
      <c r="S935" s="291"/>
      <c r="T935" s="291"/>
      <c r="U935" s="291"/>
      <c r="V935" s="291"/>
      <c r="W935" s="291"/>
      <c r="X935" s="291"/>
      <c r="Y935" s="291"/>
      <c r="Z935" s="291"/>
      <c r="AA935" s="292"/>
      <c r="AB935" s="292"/>
      <c r="AC935" s="293"/>
      <c r="AD935" s="293"/>
      <c r="AE935" s="294"/>
      <c r="AF935" s="294"/>
      <c r="AG935" s="294"/>
      <c r="AH935" s="294"/>
    </row>
    <row r="936" spans="2:34" s="295" customFormat="1">
      <c r="B936" s="287"/>
      <c r="C936" s="288"/>
      <c r="D936" s="289"/>
      <c r="E936" s="290"/>
      <c r="F936" s="291"/>
      <c r="G936" s="291"/>
      <c r="H936" s="291"/>
      <c r="I936" s="291"/>
      <c r="J936" s="291"/>
      <c r="K936" s="291"/>
      <c r="L936" s="291"/>
      <c r="M936" s="291"/>
      <c r="N936" s="291"/>
      <c r="O936" s="292"/>
      <c r="P936" s="291"/>
      <c r="Q936" s="291"/>
      <c r="R936" s="291"/>
      <c r="S936" s="291"/>
      <c r="T936" s="291"/>
      <c r="U936" s="291"/>
      <c r="V936" s="291"/>
      <c r="W936" s="291"/>
      <c r="X936" s="291"/>
      <c r="Y936" s="291"/>
      <c r="Z936" s="291"/>
      <c r="AA936" s="292"/>
      <c r="AB936" s="292"/>
      <c r="AC936" s="293"/>
      <c r="AD936" s="293"/>
      <c r="AE936" s="294"/>
      <c r="AF936" s="294"/>
      <c r="AG936" s="294"/>
      <c r="AH936" s="294"/>
    </row>
    <row r="937" spans="2:34" s="295" customFormat="1">
      <c r="B937" s="287"/>
      <c r="C937" s="288"/>
      <c r="D937" s="289"/>
      <c r="E937" s="290"/>
      <c r="F937" s="291"/>
      <c r="G937" s="291"/>
      <c r="H937" s="291"/>
      <c r="I937" s="291"/>
      <c r="J937" s="291"/>
      <c r="K937" s="291"/>
      <c r="L937" s="291"/>
      <c r="M937" s="291"/>
      <c r="N937" s="291"/>
      <c r="O937" s="292"/>
      <c r="P937" s="291"/>
      <c r="Q937" s="291"/>
      <c r="R937" s="291"/>
      <c r="S937" s="291"/>
      <c r="T937" s="291"/>
      <c r="U937" s="291"/>
      <c r="V937" s="291"/>
      <c r="W937" s="291"/>
      <c r="X937" s="291"/>
      <c r="Y937" s="291"/>
      <c r="Z937" s="291"/>
      <c r="AA937" s="292"/>
      <c r="AB937" s="292"/>
      <c r="AC937" s="293"/>
      <c r="AD937" s="293"/>
      <c r="AE937" s="294"/>
      <c r="AF937" s="294"/>
      <c r="AG937" s="294"/>
      <c r="AH937" s="294"/>
    </row>
    <row r="938" spans="2:34" s="295" customFormat="1">
      <c r="B938" s="287"/>
      <c r="C938" s="288"/>
      <c r="D938" s="289"/>
      <c r="E938" s="290"/>
      <c r="F938" s="291"/>
      <c r="G938" s="291"/>
      <c r="H938" s="291"/>
      <c r="I938" s="291"/>
      <c r="J938" s="291"/>
      <c r="K938" s="291"/>
      <c r="L938" s="291"/>
      <c r="M938" s="291"/>
      <c r="N938" s="291"/>
      <c r="O938" s="292"/>
      <c r="P938" s="291"/>
      <c r="Q938" s="291"/>
      <c r="R938" s="291"/>
      <c r="S938" s="291"/>
      <c r="T938" s="291"/>
      <c r="U938" s="291"/>
      <c r="V938" s="291"/>
      <c r="W938" s="291"/>
      <c r="X938" s="291"/>
      <c r="Y938" s="291"/>
      <c r="Z938" s="291"/>
      <c r="AA938" s="292"/>
      <c r="AB938" s="292"/>
      <c r="AC938" s="293"/>
      <c r="AD938" s="293"/>
      <c r="AE938" s="294"/>
      <c r="AF938" s="294"/>
      <c r="AG938" s="294"/>
      <c r="AH938" s="294"/>
    </row>
    <row r="939" spans="2:34" s="295" customFormat="1">
      <c r="B939" s="287"/>
      <c r="C939" s="288"/>
      <c r="D939" s="289"/>
      <c r="E939" s="290"/>
      <c r="F939" s="291"/>
      <c r="G939" s="291"/>
      <c r="H939" s="291"/>
      <c r="I939" s="291"/>
      <c r="J939" s="291"/>
      <c r="K939" s="291"/>
      <c r="L939" s="291"/>
      <c r="M939" s="291"/>
      <c r="N939" s="291"/>
      <c r="O939" s="292"/>
      <c r="P939" s="291"/>
      <c r="Q939" s="291"/>
      <c r="R939" s="291"/>
      <c r="S939" s="291"/>
      <c r="T939" s="291"/>
      <c r="U939" s="291"/>
      <c r="V939" s="291"/>
      <c r="W939" s="291"/>
      <c r="X939" s="291"/>
      <c r="Y939" s="291"/>
      <c r="Z939" s="291"/>
      <c r="AA939" s="292"/>
      <c r="AB939" s="292"/>
      <c r="AC939" s="293"/>
      <c r="AD939" s="293"/>
      <c r="AE939" s="294"/>
      <c r="AF939" s="294"/>
      <c r="AG939" s="294"/>
      <c r="AH939" s="294"/>
    </row>
    <row r="940" spans="2:34" s="295" customFormat="1">
      <c r="B940" s="287"/>
      <c r="C940" s="288"/>
      <c r="D940" s="289"/>
      <c r="E940" s="290"/>
      <c r="F940" s="291"/>
      <c r="G940" s="291"/>
      <c r="H940" s="291"/>
      <c r="I940" s="291"/>
      <c r="J940" s="291"/>
      <c r="K940" s="291"/>
      <c r="L940" s="291"/>
      <c r="M940" s="291"/>
      <c r="N940" s="291"/>
      <c r="O940" s="292"/>
      <c r="P940" s="291"/>
      <c r="Q940" s="291"/>
      <c r="R940" s="291"/>
      <c r="S940" s="291"/>
      <c r="T940" s="291"/>
      <c r="U940" s="291"/>
      <c r="V940" s="291"/>
      <c r="W940" s="291"/>
      <c r="X940" s="291"/>
      <c r="Y940" s="291"/>
      <c r="Z940" s="291"/>
      <c r="AA940" s="292"/>
      <c r="AB940" s="292"/>
      <c r="AC940" s="293"/>
      <c r="AD940" s="293"/>
      <c r="AE940" s="294"/>
      <c r="AF940" s="294"/>
      <c r="AG940" s="294"/>
      <c r="AH940" s="294"/>
    </row>
    <row r="941" spans="2:34" s="295" customFormat="1">
      <c r="B941" s="287"/>
      <c r="C941" s="288"/>
      <c r="D941" s="289"/>
      <c r="E941" s="290"/>
      <c r="F941" s="291"/>
      <c r="G941" s="291"/>
      <c r="H941" s="291"/>
      <c r="I941" s="291"/>
      <c r="J941" s="291"/>
      <c r="K941" s="291"/>
      <c r="L941" s="291"/>
      <c r="M941" s="291"/>
      <c r="N941" s="291"/>
      <c r="O941" s="292"/>
      <c r="P941" s="291"/>
      <c r="Q941" s="291"/>
      <c r="R941" s="291"/>
      <c r="S941" s="291"/>
      <c r="T941" s="291"/>
      <c r="U941" s="291"/>
      <c r="V941" s="291"/>
      <c r="W941" s="291"/>
      <c r="X941" s="291"/>
      <c r="Y941" s="291"/>
      <c r="Z941" s="291"/>
      <c r="AA941" s="292"/>
      <c r="AB941" s="292"/>
      <c r="AC941" s="293"/>
      <c r="AD941" s="293"/>
      <c r="AE941" s="294"/>
      <c r="AF941" s="294"/>
      <c r="AG941" s="294"/>
      <c r="AH941" s="294"/>
    </row>
    <row r="942" spans="2:34" s="295" customFormat="1">
      <c r="B942" s="287"/>
      <c r="C942" s="288"/>
      <c r="D942" s="289"/>
      <c r="E942" s="290"/>
      <c r="F942" s="291"/>
      <c r="G942" s="291"/>
      <c r="H942" s="291"/>
      <c r="I942" s="291"/>
      <c r="J942" s="291"/>
      <c r="K942" s="291"/>
      <c r="L942" s="291"/>
      <c r="M942" s="291"/>
      <c r="N942" s="291"/>
      <c r="O942" s="292"/>
      <c r="P942" s="291"/>
      <c r="Q942" s="291"/>
      <c r="R942" s="291"/>
      <c r="S942" s="291"/>
      <c r="T942" s="291"/>
      <c r="U942" s="291"/>
      <c r="V942" s="291"/>
      <c r="W942" s="291"/>
      <c r="X942" s="291"/>
      <c r="Y942" s="291"/>
      <c r="Z942" s="291"/>
      <c r="AA942" s="292"/>
      <c r="AB942" s="292"/>
      <c r="AC942" s="293"/>
      <c r="AD942" s="293"/>
      <c r="AE942" s="294"/>
      <c r="AF942" s="294"/>
      <c r="AG942" s="294"/>
      <c r="AH942" s="294"/>
    </row>
    <row r="943" spans="2:34" s="295" customFormat="1">
      <c r="B943" s="287"/>
      <c r="C943" s="288"/>
      <c r="D943" s="289"/>
      <c r="E943" s="290"/>
      <c r="F943" s="291"/>
      <c r="G943" s="291"/>
      <c r="H943" s="291"/>
      <c r="I943" s="291"/>
      <c r="J943" s="291"/>
      <c r="K943" s="291"/>
      <c r="L943" s="291"/>
      <c r="M943" s="291"/>
      <c r="N943" s="291"/>
      <c r="O943" s="292"/>
      <c r="P943" s="291"/>
      <c r="Q943" s="291"/>
      <c r="R943" s="291"/>
      <c r="S943" s="291"/>
      <c r="T943" s="291"/>
      <c r="U943" s="291"/>
      <c r="V943" s="291"/>
      <c r="W943" s="291"/>
      <c r="X943" s="291"/>
      <c r="Y943" s="291"/>
      <c r="Z943" s="291"/>
      <c r="AA943" s="292"/>
      <c r="AB943" s="292"/>
      <c r="AC943" s="293"/>
      <c r="AD943" s="293"/>
      <c r="AE943" s="294"/>
      <c r="AF943" s="294"/>
      <c r="AG943" s="294"/>
      <c r="AH943" s="294"/>
    </row>
    <row r="944" spans="2:34" s="295" customFormat="1">
      <c r="B944" s="287"/>
      <c r="C944" s="288"/>
      <c r="D944" s="289"/>
      <c r="E944" s="290"/>
      <c r="F944" s="291"/>
      <c r="G944" s="291"/>
      <c r="H944" s="291"/>
      <c r="I944" s="291"/>
      <c r="J944" s="291"/>
      <c r="K944" s="291"/>
      <c r="L944" s="291"/>
      <c r="M944" s="291"/>
      <c r="N944" s="291"/>
      <c r="O944" s="292"/>
      <c r="P944" s="291"/>
      <c r="Q944" s="291"/>
      <c r="R944" s="291"/>
      <c r="S944" s="291"/>
      <c r="T944" s="291"/>
      <c r="U944" s="291"/>
      <c r="V944" s="291"/>
      <c r="W944" s="291"/>
      <c r="X944" s="291"/>
      <c r="Y944" s="291"/>
      <c r="Z944" s="291"/>
      <c r="AA944" s="292"/>
      <c r="AB944" s="292"/>
      <c r="AC944" s="293"/>
      <c r="AD944" s="293"/>
      <c r="AE944" s="294"/>
      <c r="AF944" s="294"/>
      <c r="AG944" s="294"/>
      <c r="AH944" s="294"/>
    </row>
    <row r="945" spans="2:34" s="295" customFormat="1">
      <c r="B945" s="287"/>
      <c r="C945" s="288"/>
      <c r="D945" s="289"/>
      <c r="E945" s="290"/>
      <c r="F945" s="291"/>
      <c r="G945" s="291"/>
      <c r="H945" s="291"/>
      <c r="I945" s="291"/>
      <c r="J945" s="291"/>
      <c r="K945" s="291"/>
      <c r="L945" s="291"/>
      <c r="M945" s="291"/>
      <c r="N945" s="291"/>
      <c r="O945" s="292"/>
      <c r="P945" s="291"/>
      <c r="Q945" s="291"/>
      <c r="R945" s="291"/>
      <c r="S945" s="291"/>
      <c r="T945" s="291"/>
      <c r="U945" s="291"/>
      <c r="V945" s="291"/>
      <c r="W945" s="291"/>
      <c r="X945" s="291"/>
      <c r="Y945" s="291"/>
      <c r="Z945" s="291"/>
      <c r="AA945" s="292"/>
      <c r="AB945" s="292"/>
      <c r="AC945" s="293"/>
      <c r="AD945" s="293"/>
      <c r="AE945" s="294"/>
      <c r="AF945" s="294"/>
      <c r="AG945" s="294"/>
      <c r="AH945" s="294"/>
    </row>
    <row r="946" spans="2:34" s="295" customFormat="1">
      <c r="B946" s="287"/>
      <c r="C946" s="288"/>
      <c r="D946" s="289"/>
      <c r="E946" s="290"/>
      <c r="F946" s="291"/>
      <c r="G946" s="291"/>
      <c r="H946" s="291"/>
      <c r="I946" s="291"/>
      <c r="J946" s="291"/>
      <c r="K946" s="291"/>
      <c r="L946" s="291"/>
      <c r="M946" s="291"/>
      <c r="N946" s="291"/>
      <c r="O946" s="292"/>
      <c r="P946" s="291"/>
      <c r="Q946" s="291"/>
      <c r="R946" s="291"/>
      <c r="S946" s="291"/>
      <c r="T946" s="291"/>
      <c r="U946" s="291"/>
      <c r="V946" s="291"/>
      <c r="W946" s="291"/>
      <c r="X946" s="291"/>
      <c r="Y946" s="291"/>
      <c r="Z946" s="291"/>
      <c r="AA946" s="292"/>
      <c r="AB946" s="292"/>
      <c r="AC946" s="293"/>
      <c r="AD946" s="293"/>
      <c r="AE946" s="294"/>
      <c r="AF946" s="294"/>
      <c r="AG946" s="294"/>
      <c r="AH946" s="294"/>
    </row>
    <row r="947" spans="2:34" s="295" customFormat="1">
      <c r="B947" s="287"/>
      <c r="C947" s="288"/>
      <c r="D947" s="289"/>
      <c r="E947" s="290"/>
      <c r="F947" s="291"/>
      <c r="G947" s="291"/>
      <c r="H947" s="291"/>
      <c r="I947" s="291"/>
      <c r="J947" s="291"/>
      <c r="K947" s="291"/>
      <c r="L947" s="291"/>
      <c r="M947" s="291"/>
      <c r="N947" s="291"/>
      <c r="O947" s="292"/>
      <c r="P947" s="291"/>
      <c r="Q947" s="291"/>
      <c r="R947" s="291"/>
      <c r="S947" s="291"/>
      <c r="T947" s="291"/>
      <c r="U947" s="291"/>
      <c r="V947" s="291"/>
      <c r="W947" s="291"/>
      <c r="X947" s="291"/>
      <c r="Y947" s="291"/>
      <c r="Z947" s="291"/>
      <c r="AA947" s="292"/>
      <c r="AB947" s="292"/>
      <c r="AC947" s="293"/>
      <c r="AD947" s="293"/>
      <c r="AE947" s="294"/>
      <c r="AF947" s="294"/>
      <c r="AG947" s="294"/>
      <c r="AH947" s="294"/>
    </row>
    <row r="948" spans="2:34" s="295" customFormat="1">
      <c r="B948" s="287"/>
      <c r="C948" s="288"/>
      <c r="D948" s="289"/>
      <c r="E948" s="290"/>
      <c r="F948" s="291"/>
      <c r="G948" s="291"/>
      <c r="H948" s="291"/>
      <c r="I948" s="291"/>
      <c r="J948" s="291"/>
      <c r="K948" s="291"/>
      <c r="L948" s="291"/>
      <c r="M948" s="291"/>
      <c r="N948" s="291"/>
      <c r="O948" s="292"/>
      <c r="P948" s="291"/>
      <c r="Q948" s="291"/>
      <c r="R948" s="291"/>
      <c r="S948" s="291"/>
      <c r="T948" s="291"/>
      <c r="U948" s="291"/>
      <c r="V948" s="291"/>
      <c r="W948" s="291"/>
      <c r="X948" s="291"/>
      <c r="Y948" s="291"/>
      <c r="Z948" s="291"/>
      <c r="AA948" s="292"/>
      <c r="AB948" s="292"/>
      <c r="AC948" s="293"/>
      <c r="AD948" s="293"/>
      <c r="AE948" s="294"/>
      <c r="AF948" s="294"/>
      <c r="AG948" s="294"/>
      <c r="AH948" s="294"/>
    </row>
    <row r="949" spans="2:34" s="295" customFormat="1">
      <c r="B949" s="287"/>
      <c r="C949" s="288"/>
      <c r="D949" s="289"/>
      <c r="E949" s="290"/>
      <c r="F949" s="291"/>
      <c r="G949" s="291"/>
      <c r="H949" s="291"/>
      <c r="I949" s="291"/>
      <c r="J949" s="291"/>
      <c r="K949" s="291"/>
      <c r="L949" s="291"/>
      <c r="M949" s="291"/>
      <c r="N949" s="291"/>
      <c r="O949" s="292"/>
      <c r="P949" s="291"/>
      <c r="Q949" s="291"/>
      <c r="R949" s="291"/>
      <c r="S949" s="291"/>
      <c r="T949" s="291"/>
      <c r="U949" s="291"/>
      <c r="V949" s="291"/>
      <c r="W949" s="291"/>
      <c r="X949" s="291"/>
      <c r="Y949" s="291"/>
      <c r="Z949" s="291"/>
      <c r="AA949" s="292"/>
      <c r="AB949" s="292"/>
      <c r="AC949" s="293"/>
      <c r="AD949" s="293"/>
      <c r="AE949" s="294"/>
      <c r="AF949" s="294"/>
      <c r="AG949" s="294"/>
      <c r="AH949" s="294"/>
    </row>
    <row r="950" spans="2:34" s="295" customFormat="1">
      <c r="B950" s="287"/>
      <c r="C950" s="288"/>
      <c r="D950" s="289"/>
      <c r="E950" s="290"/>
      <c r="F950" s="291"/>
      <c r="G950" s="291"/>
      <c r="H950" s="291"/>
      <c r="I950" s="291"/>
      <c r="J950" s="291"/>
      <c r="K950" s="291"/>
      <c r="L950" s="291"/>
      <c r="M950" s="291"/>
      <c r="N950" s="291"/>
      <c r="O950" s="292"/>
      <c r="P950" s="291"/>
      <c r="Q950" s="291"/>
      <c r="R950" s="291"/>
      <c r="S950" s="291"/>
      <c r="T950" s="291"/>
      <c r="U950" s="291"/>
      <c r="V950" s="291"/>
      <c r="W950" s="291"/>
      <c r="X950" s="291"/>
      <c r="Y950" s="291"/>
      <c r="Z950" s="291"/>
      <c r="AA950" s="292"/>
      <c r="AB950" s="292"/>
      <c r="AC950" s="293"/>
      <c r="AD950" s="293"/>
      <c r="AE950" s="294"/>
      <c r="AF950" s="294"/>
      <c r="AG950" s="294"/>
      <c r="AH950" s="294"/>
    </row>
    <row r="951" spans="2:34" s="295" customFormat="1">
      <c r="B951" s="287"/>
      <c r="C951" s="288"/>
      <c r="D951" s="289"/>
      <c r="E951" s="290"/>
      <c r="F951" s="291"/>
      <c r="G951" s="291"/>
      <c r="H951" s="291"/>
      <c r="I951" s="291"/>
      <c r="J951" s="291"/>
      <c r="K951" s="291"/>
      <c r="L951" s="291"/>
      <c r="M951" s="291"/>
      <c r="N951" s="291"/>
      <c r="O951" s="292"/>
      <c r="P951" s="291"/>
      <c r="Q951" s="291"/>
      <c r="R951" s="291"/>
      <c r="S951" s="291"/>
      <c r="T951" s="291"/>
      <c r="U951" s="291"/>
      <c r="V951" s="291"/>
      <c r="W951" s="291"/>
      <c r="X951" s="291"/>
      <c r="Y951" s="291"/>
      <c r="Z951" s="291"/>
      <c r="AA951" s="292"/>
      <c r="AB951" s="292"/>
      <c r="AC951" s="293"/>
      <c r="AD951" s="293"/>
      <c r="AE951" s="294"/>
      <c r="AF951" s="294"/>
      <c r="AG951" s="294"/>
      <c r="AH951" s="294"/>
    </row>
    <row r="952" spans="2:34" s="295" customFormat="1">
      <c r="B952" s="287"/>
      <c r="C952" s="288"/>
      <c r="D952" s="289"/>
      <c r="E952" s="290"/>
      <c r="F952" s="291"/>
      <c r="G952" s="291"/>
      <c r="H952" s="291"/>
      <c r="I952" s="291"/>
      <c r="J952" s="291"/>
      <c r="K952" s="291"/>
      <c r="L952" s="291"/>
      <c r="M952" s="291"/>
      <c r="N952" s="291"/>
      <c r="O952" s="292"/>
      <c r="P952" s="291"/>
      <c r="Q952" s="291"/>
      <c r="R952" s="291"/>
      <c r="S952" s="291"/>
      <c r="T952" s="291"/>
      <c r="U952" s="291"/>
      <c r="V952" s="291"/>
      <c r="W952" s="291"/>
      <c r="X952" s="291"/>
      <c r="Y952" s="291"/>
      <c r="Z952" s="291"/>
      <c r="AA952" s="292"/>
      <c r="AB952" s="292"/>
      <c r="AC952" s="293"/>
      <c r="AD952" s="293"/>
      <c r="AE952" s="294"/>
      <c r="AF952" s="294"/>
      <c r="AG952" s="294"/>
      <c r="AH952" s="294"/>
    </row>
    <row r="953" spans="2:34" s="295" customFormat="1">
      <c r="B953" s="287"/>
      <c r="C953" s="288"/>
      <c r="D953" s="289"/>
      <c r="E953" s="290"/>
      <c r="F953" s="291"/>
      <c r="G953" s="291"/>
      <c r="H953" s="291"/>
      <c r="I953" s="291"/>
      <c r="J953" s="291"/>
      <c r="K953" s="291"/>
      <c r="L953" s="291"/>
      <c r="M953" s="291"/>
      <c r="N953" s="291"/>
      <c r="O953" s="292"/>
      <c r="P953" s="291"/>
      <c r="Q953" s="291"/>
      <c r="R953" s="291"/>
      <c r="S953" s="291"/>
      <c r="T953" s="291"/>
      <c r="U953" s="291"/>
      <c r="V953" s="291"/>
      <c r="W953" s="291"/>
      <c r="X953" s="291"/>
      <c r="Y953" s="291"/>
      <c r="Z953" s="291"/>
      <c r="AA953" s="292"/>
      <c r="AB953" s="292"/>
      <c r="AC953" s="293"/>
      <c r="AD953" s="293"/>
      <c r="AE953" s="294"/>
      <c r="AF953" s="294"/>
      <c r="AG953" s="294"/>
      <c r="AH953" s="294"/>
    </row>
    <row r="954" spans="2:34" s="295" customFormat="1">
      <c r="B954" s="287"/>
      <c r="C954" s="288"/>
      <c r="D954" s="289"/>
      <c r="E954" s="290"/>
      <c r="F954" s="291"/>
      <c r="G954" s="291"/>
      <c r="H954" s="291"/>
      <c r="I954" s="291"/>
      <c r="J954" s="291"/>
      <c r="K954" s="291"/>
      <c r="L954" s="291"/>
      <c r="M954" s="291"/>
      <c r="N954" s="291"/>
      <c r="O954" s="292"/>
      <c r="P954" s="291"/>
      <c r="Q954" s="291"/>
      <c r="R954" s="291"/>
      <c r="S954" s="291"/>
      <c r="T954" s="291"/>
      <c r="U954" s="291"/>
      <c r="V954" s="291"/>
      <c r="W954" s="291"/>
      <c r="X954" s="291"/>
      <c r="Y954" s="291"/>
      <c r="Z954" s="291"/>
      <c r="AA954" s="292"/>
      <c r="AB954" s="292"/>
      <c r="AC954" s="293"/>
      <c r="AD954" s="293"/>
      <c r="AE954" s="294"/>
      <c r="AF954" s="294"/>
      <c r="AG954" s="294"/>
      <c r="AH954" s="294"/>
    </row>
    <row r="955" spans="2:34" s="295" customFormat="1">
      <c r="B955" s="287"/>
      <c r="C955" s="288"/>
      <c r="D955" s="289"/>
      <c r="E955" s="290"/>
      <c r="F955" s="291"/>
      <c r="G955" s="291"/>
      <c r="H955" s="291"/>
      <c r="I955" s="291"/>
      <c r="J955" s="291"/>
      <c r="K955" s="291"/>
      <c r="L955" s="291"/>
      <c r="M955" s="291"/>
      <c r="N955" s="291"/>
      <c r="O955" s="292"/>
      <c r="P955" s="291"/>
      <c r="Q955" s="291"/>
      <c r="R955" s="291"/>
      <c r="S955" s="291"/>
      <c r="T955" s="291"/>
      <c r="U955" s="291"/>
      <c r="V955" s="291"/>
      <c r="W955" s="291"/>
      <c r="X955" s="291"/>
      <c r="Y955" s="291"/>
      <c r="Z955" s="291"/>
      <c r="AA955" s="292"/>
      <c r="AB955" s="292"/>
      <c r="AC955" s="293"/>
      <c r="AD955" s="293"/>
      <c r="AE955" s="294"/>
      <c r="AF955" s="294"/>
      <c r="AG955" s="294"/>
      <c r="AH955" s="294"/>
    </row>
    <row r="956" spans="2:34" s="295" customFormat="1">
      <c r="B956" s="287"/>
      <c r="C956" s="288"/>
      <c r="D956" s="289"/>
      <c r="E956" s="290"/>
      <c r="F956" s="291"/>
      <c r="G956" s="291"/>
      <c r="H956" s="291"/>
      <c r="I956" s="291"/>
      <c r="J956" s="291"/>
      <c r="K956" s="291"/>
      <c r="L956" s="291"/>
      <c r="M956" s="291"/>
      <c r="N956" s="291"/>
      <c r="O956" s="292"/>
      <c r="P956" s="291"/>
      <c r="Q956" s="291"/>
      <c r="R956" s="291"/>
      <c r="S956" s="291"/>
      <c r="T956" s="291"/>
      <c r="U956" s="291"/>
      <c r="V956" s="291"/>
      <c r="W956" s="291"/>
      <c r="X956" s="291"/>
      <c r="Y956" s="291"/>
      <c r="Z956" s="291"/>
      <c r="AA956" s="292"/>
      <c r="AB956" s="292"/>
      <c r="AC956" s="293"/>
      <c r="AD956" s="293"/>
      <c r="AE956" s="294"/>
      <c r="AF956" s="294"/>
      <c r="AG956" s="294"/>
      <c r="AH956" s="294"/>
    </row>
    <row r="957" spans="2:34" s="295" customFormat="1">
      <c r="B957" s="287"/>
      <c r="C957" s="288"/>
      <c r="D957" s="289"/>
      <c r="E957" s="290"/>
      <c r="F957" s="291"/>
      <c r="G957" s="291"/>
      <c r="H957" s="291"/>
      <c r="I957" s="291"/>
      <c r="J957" s="291"/>
      <c r="K957" s="291"/>
      <c r="L957" s="291"/>
      <c r="M957" s="291"/>
      <c r="N957" s="291"/>
      <c r="O957" s="292"/>
      <c r="P957" s="291"/>
      <c r="Q957" s="291"/>
      <c r="R957" s="291"/>
      <c r="S957" s="291"/>
      <c r="T957" s="291"/>
      <c r="U957" s="291"/>
      <c r="V957" s="291"/>
      <c r="W957" s="291"/>
      <c r="X957" s="291"/>
      <c r="Y957" s="291"/>
      <c r="Z957" s="291"/>
      <c r="AA957" s="292"/>
      <c r="AB957" s="292"/>
      <c r="AC957" s="293"/>
      <c r="AD957" s="293"/>
      <c r="AE957" s="294"/>
      <c r="AF957" s="294"/>
      <c r="AG957" s="294"/>
      <c r="AH957" s="294"/>
    </row>
    <row r="958" spans="2:34" s="295" customFormat="1">
      <c r="B958" s="287"/>
      <c r="C958" s="288"/>
      <c r="D958" s="289"/>
      <c r="E958" s="290"/>
      <c r="F958" s="291"/>
      <c r="G958" s="291"/>
      <c r="H958" s="291"/>
      <c r="I958" s="291"/>
      <c r="J958" s="291"/>
      <c r="K958" s="291"/>
      <c r="L958" s="291"/>
      <c r="M958" s="291"/>
      <c r="N958" s="291"/>
      <c r="O958" s="292"/>
      <c r="P958" s="291"/>
      <c r="Q958" s="291"/>
      <c r="R958" s="291"/>
      <c r="S958" s="291"/>
      <c r="T958" s="291"/>
      <c r="U958" s="291"/>
      <c r="V958" s="291"/>
      <c r="W958" s="291"/>
      <c r="X958" s="291"/>
      <c r="Y958" s="291"/>
      <c r="Z958" s="291"/>
      <c r="AA958" s="292"/>
      <c r="AB958" s="292"/>
      <c r="AC958" s="293"/>
      <c r="AD958" s="293"/>
      <c r="AE958" s="294"/>
      <c r="AF958" s="294"/>
      <c r="AG958" s="294"/>
      <c r="AH958" s="294"/>
    </row>
    <row r="959" spans="2:34" s="295" customFormat="1">
      <c r="B959" s="287"/>
      <c r="C959" s="288"/>
      <c r="D959" s="289"/>
      <c r="E959" s="290"/>
      <c r="F959" s="291"/>
      <c r="G959" s="291"/>
      <c r="H959" s="291"/>
      <c r="I959" s="291"/>
      <c r="J959" s="291"/>
      <c r="K959" s="291"/>
      <c r="L959" s="291"/>
      <c r="M959" s="291"/>
      <c r="N959" s="291"/>
      <c r="O959" s="292"/>
      <c r="P959" s="291"/>
      <c r="Q959" s="291"/>
      <c r="R959" s="291"/>
      <c r="S959" s="291"/>
      <c r="T959" s="291"/>
      <c r="U959" s="291"/>
      <c r="V959" s="291"/>
      <c r="W959" s="291"/>
      <c r="X959" s="291"/>
      <c r="Y959" s="291"/>
      <c r="Z959" s="291"/>
      <c r="AA959" s="292"/>
      <c r="AB959" s="292"/>
      <c r="AC959" s="293"/>
      <c r="AD959" s="293"/>
      <c r="AE959" s="294"/>
      <c r="AF959" s="294"/>
      <c r="AG959" s="294"/>
      <c r="AH959" s="294"/>
    </row>
    <row r="960" spans="2:34" s="295" customFormat="1">
      <c r="B960" s="287"/>
      <c r="C960" s="288"/>
      <c r="D960" s="289"/>
      <c r="E960" s="290"/>
      <c r="F960" s="291"/>
      <c r="G960" s="291"/>
      <c r="H960" s="291"/>
      <c r="I960" s="291"/>
      <c r="J960" s="291"/>
      <c r="K960" s="291"/>
      <c r="L960" s="291"/>
      <c r="M960" s="291"/>
      <c r="N960" s="291"/>
      <c r="O960" s="292"/>
      <c r="P960" s="291"/>
      <c r="Q960" s="291"/>
      <c r="R960" s="291"/>
      <c r="S960" s="291"/>
      <c r="T960" s="291"/>
      <c r="U960" s="291"/>
      <c r="V960" s="291"/>
      <c r="W960" s="291"/>
      <c r="X960" s="291"/>
      <c r="Y960" s="291"/>
      <c r="Z960" s="291"/>
      <c r="AA960" s="292"/>
      <c r="AB960" s="292"/>
      <c r="AC960" s="293"/>
      <c r="AD960" s="293"/>
      <c r="AE960" s="294"/>
      <c r="AF960" s="294"/>
      <c r="AG960" s="294"/>
      <c r="AH960" s="294"/>
    </row>
    <row r="961" spans="2:34" s="295" customFormat="1">
      <c r="B961" s="287"/>
      <c r="C961" s="288"/>
      <c r="D961" s="289"/>
      <c r="E961" s="290"/>
      <c r="F961" s="291"/>
      <c r="G961" s="291"/>
      <c r="H961" s="291"/>
      <c r="I961" s="291"/>
      <c r="J961" s="291"/>
      <c r="K961" s="291"/>
      <c r="L961" s="291"/>
      <c r="M961" s="291"/>
      <c r="N961" s="291"/>
      <c r="O961" s="292"/>
      <c r="P961" s="291"/>
      <c r="Q961" s="291"/>
      <c r="R961" s="291"/>
      <c r="S961" s="291"/>
      <c r="T961" s="291"/>
      <c r="U961" s="291"/>
      <c r="V961" s="291"/>
      <c r="W961" s="291"/>
      <c r="X961" s="291"/>
      <c r="Y961" s="291"/>
      <c r="Z961" s="291"/>
      <c r="AA961" s="292"/>
      <c r="AB961" s="292"/>
      <c r="AC961" s="293"/>
      <c r="AD961" s="293"/>
      <c r="AE961" s="294"/>
      <c r="AF961" s="294"/>
      <c r="AG961" s="294"/>
      <c r="AH961" s="294"/>
    </row>
    <row r="962" spans="2:34" s="295" customFormat="1">
      <c r="B962" s="287"/>
      <c r="C962" s="288"/>
      <c r="D962" s="289"/>
      <c r="E962" s="290"/>
      <c r="F962" s="291"/>
      <c r="G962" s="291"/>
      <c r="H962" s="291"/>
      <c r="I962" s="291"/>
      <c r="J962" s="291"/>
      <c r="K962" s="291"/>
      <c r="L962" s="291"/>
      <c r="M962" s="291"/>
      <c r="N962" s="291"/>
      <c r="O962" s="292"/>
      <c r="P962" s="291"/>
      <c r="Q962" s="291"/>
      <c r="R962" s="291"/>
      <c r="S962" s="291"/>
      <c r="T962" s="291"/>
      <c r="U962" s="291"/>
      <c r="V962" s="291"/>
      <c r="W962" s="291"/>
      <c r="X962" s="291"/>
      <c r="Y962" s="291"/>
      <c r="Z962" s="291"/>
      <c r="AA962" s="292"/>
      <c r="AB962" s="292"/>
      <c r="AC962" s="293"/>
      <c r="AD962" s="293"/>
      <c r="AE962" s="294"/>
      <c r="AF962" s="294"/>
      <c r="AG962" s="294"/>
      <c r="AH962" s="294"/>
    </row>
    <row r="963" spans="2:34" s="295" customFormat="1">
      <c r="B963" s="287"/>
      <c r="C963" s="288"/>
      <c r="D963" s="289"/>
      <c r="E963" s="290"/>
      <c r="F963" s="291"/>
      <c r="G963" s="291"/>
      <c r="H963" s="291"/>
      <c r="I963" s="291"/>
      <c r="J963" s="291"/>
      <c r="K963" s="291"/>
      <c r="L963" s="291"/>
      <c r="M963" s="291"/>
      <c r="N963" s="291"/>
      <c r="O963" s="292"/>
      <c r="P963" s="291"/>
      <c r="Q963" s="291"/>
      <c r="R963" s="291"/>
      <c r="S963" s="291"/>
      <c r="T963" s="291"/>
      <c r="U963" s="291"/>
      <c r="V963" s="291"/>
      <c r="W963" s="291"/>
      <c r="X963" s="291"/>
      <c r="Y963" s="291"/>
      <c r="Z963" s="291"/>
      <c r="AA963" s="292"/>
      <c r="AB963" s="292"/>
      <c r="AC963" s="293"/>
      <c r="AD963" s="293"/>
      <c r="AE963" s="294"/>
      <c r="AF963" s="294"/>
      <c r="AG963" s="294"/>
      <c r="AH963" s="294"/>
    </row>
    <row r="964" spans="2:34" s="295" customFormat="1">
      <c r="B964" s="287"/>
      <c r="C964" s="288"/>
      <c r="D964" s="289"/>
      <c r="E964" s="290"/>
      <c r="F964" s="291"/>
      <c r="G964" s="291"/>
      <c r="H964" s="291"/>
      <c r="I964" s="291"/>
      <c r="J964" s="291"/>
      <c r="K964" s="291"/>
      <c r="L964" s="291"/>
      <c r="M964" s="291"/>
      <c r="N964" s="291"/>
      <c r="O964" s="292"/>
      <c r="P964" s="291"/>
      <c r="Q964" s="291"/>
      <c r="R964" s="291"/>
      <c r="S964" s="291"/>
      <c r="T964" s="291"/>
      <c r="U964" s="291"/>
      <c r="V964" s="291"/>
      <c r="W964" s="291"/>
      <c r="X964" s="291"/>
      <c r="Y964" s="291"/>
      <c r="Z964" s="291"/>
      <c r="AA964" s="292"/>
      <c r="AB964" s="292"/>
      <c r="AC964" s="293"/>
      <c r="AD964" s="293"/>
      <c r="AE964" s="294"/>
      <c r="AF964" s="294"/>
      <c r="AG964" s="294"/>
      <c r="AH964" s="294"/>
    </row>
    <row r="965" spans="2:34" s="295" customFormat="1">
      <c r="B965" s="287"/>
      <c r="C965" s="288"/>
      <c r="D965" s="289"/>
      <c r="E965" s="290"/>
      <c r="F965" s="291"/>
      <c r="G965" s="291"/>
      <c r="H965" s="291"/>
      <c r="I965" s="291"/>
      <c r="J965" s="291"/>
      <c r="K965" s="291"/>
      <c r="L965" s="291"/>
      <c r="M965" s="291"/>
      <c r="N965" s="291"/>
      <c r="O965" s="292"/>
      <c r="P965" s="291"/>
      <c r="Q965" s="291"/>
      <c r="R965" s="291"/>
      <c r="S965" s="291"/>
      <c r="T965" s="291"/>
      <c r="U965" s="291"/>
      <c r="V965" s="291"/>
      <c r="W965" s="291"/>
      <c r="X965" s="291"/>
      <c r="Y965" s="291"/>
      <c r="Z965" s="291"/>
      <c r="AA965" s="292"/>
      <c r="AB965" s="292"/>
      <c r="AC965" s="293"/>
      <c r="AD965" s="293"/>
      <c r="AE965" s="294"/>
      <c r="AF965" s="294"/>
      <c r="AG965" s="294"/>
      <c r="AH965" s="294"/>
    </row>
    <row r="966" spans="2:34" s="295" customFormat="1">
      <c r="B966" s="287"/>
      <c r="C966" s="288"/>
      <c r="D966" s="289"/>
      <c r="E966" s="290"/>
      <c r="F966" s="291"/>
      <c r="G966" s="291"/>
      <c r="H966" s="291"/>
      <c r="I966" s="291"/>
      <c r="J966" s="291"/>
      <c r="K966" s="291"/>
      <c r="L966" s="291"/>
      <c r="M966" s="291"/>
      <c r="N966" s="291"/>
      <c r="O966" s="292"/>
      <c r="P966" s="291"/>
      <c r="Q966" s="291"/>
      <c r="R966" s="291"/>
      <c r="S966" s="291"/>
      <c r="T966" s="291"/>
      <c r="U966" s="291"/>
      <c r="V966" s="291"/>
      <c r="W966" s="291"/>
      <c r="X966" s="291"/>
      <c r="Y966" s="291"/>
      <c r="Z966" s="291"/>
      <c r="AA966" s="292"/>
      <c r="AB966" s="292"/>
      <c r="AC966" s="293"/>
      <c r="AD966" s="293"/>
      <c r="AE966" s="294"/>
      <c r="AF966" s="294"/>
      <c r="AG966" s="294"/>
      <c r="AH966" s="294"/>
    </row>
    <row r="967" spans="2:34" s="295" customFormat="1">
      <c r="B967" s="287"/>
      <c r="C967" s="288"/>
      <c r="D967" s="289"/>
      <c r="E967" s="290"/>
      <c r="F967" s="291"/>
      <c r="G967" s="291"/>
      <c r="H967" s="291"/>
      <c r="I967" s="291"/>
      <c r="J967" s="291"/>
      <c r="K967" s="291"/>
      <c r="L967" s="291"/>
      <c r="M967" s="291"/>
      <c r="N967" s="291"/>
      <c r="O967" s="292"/>
      <c r="P967" s="291"/>
      <c r="Q967" s="291"/>
      <c r="R967" s="291"/>
      <c r="S967" s="291"/>
      <c r="T967" s="291"/>
      <c r="U967" s="291"/>
      <c r="V967" s="291"/>
      <c r="W967" s="291"/>
      <c r="X967" s="291"/>
      <c r="Y967" s="291"/>
      <c r="Z967" s="291"/>
      <c r="AA967" s="292"/>
      <c r="AB967" s="292"/>
      <c r="AC967" s="293"/>
      <c r="AD967" s="293"/>
      <c r="AE967" s="294"/>
      <c r="AF967" s="294"/>
      <c r="AG967" s="294"/>
      <c r="AH967" s="294"/>
    </row>
    <row r="968" spans="2:34" s="295" customFormat="1">
      <c r="B968" s="287"/>
      <c r="C968" s="288"/>
      <c r="D968" s="289"/>
      <c r="E968" s="290"/>
      <c r="F968" s="291"/>
      <c r="G968" s="291"/>
      <c r="H968" s="291"/>
      <c r="I968" s="291"/>
      <c r="J968" s="291"/>
      <c r="K968" s="291"/>
      <c r="L968" s="291"/>
      <c r="M968" s="291"/>
      <c r="N968" s="291"/>
      <c r="O968" s="292"/>
      <c r="P968" s="291"/>
      <c r="Q968" s="291"/>
      <c r="R968" s="291"/>
      <c r="S968" s="291"/>
      <c r="T968" s="291"/>
      <c r="U968" s="291"/>
      <c r="V968" s="291"/>
      <c r="W968" s="291"/>
      <c r="X968" s="291"/>
      <c r="Y968" s="291"/>
      <c r="Z968" s="291"/>
      <c r="AA968" s="292"/>
      <c r="AB968" s="292"/>
      <c r="AC968" s="293"/>
      <c r="AD968" s="293"/>
      <c r="AE968" s="294"/>
      <c r="AF968" s="294"/>
      <c r="AG968" s="294"/>
      <c r="AH968" s="294"/>
    </row>
    <row r="969" spans="2:34" s="295" customFormat="1">
      <c r="B969" s="287"/>
      <c r="C969" s="288"/>
      <c r="D969" s="289"/>
      <c r="E969" s="290"/>
      <c r="F969" s="291"/>
      <c r="G969" s="291"/>
      <c r="H969" s="291"/>
      <c r="I969" s="291"/>
      <c r="J969" s="291"/>
      <c r="K969" s="291"/>
      <c r="L969" s="291"/>
      <c r="M969" s="291"/>
      <c r="N969" s="291"/>
      <c r="O969" s="292"/>
      <c r="P969" s="291"/>
      <c r="Q969" s="291"/>
      <c r="R969" s="291"/>
      <c r="S969" s="291"/>
      <c r="T969" s="291"/>
      <c r="U969" s="291"/>
      <c r="V969" s="291"/>
      <c r="W969" s="291"/>
      <c r="X969" s="291"/>
      <c r="Y969" s="291"/>
      <c r="Z969" s="291"/>
      <c r="AA969" s="292"/>
      <c r="AB969" s="292"/>
      <c r="AC969" s="293"/>
      <c r="AD969" s="293"/>
      <c r="AE969" s="294"/>
      <c r="AF969" s="294"/>
      <c r="AG969" s="294"/>
      <c r="AH969" s="294"/>
    </row>
    <row r="970" spans="2:34" s="295" customFormat="1">
      <c r="B970" s="287"/>
      <c r="C970" s="288"/>
      <c r="D970" s="289"/>
      <c r="E970" s="290"/>
      <c r="F970" s="291"/>
      <c r="G970" s="291"/>
      <c r="H970" s="291"/>
      <c r="I970" s="291"/>
      <c r="J970" s="291"/>
      <c r="K970" s="291"/>
      <c r="L970" s="291"/>
      <c r="M970" s="291"/>
      <c r="N970" s="291"/>
      <c r="O970" s="292"/>
      <c r="P970" s="291"/>
      <c r="Q970" s="291"/>
      <c r="R970" s="291"/>
      <c r="S970" s="291"/>
      <c r="T970" s="291"/>
      <c r="U970" s="291"/>
      <c r="V970" s="291"/>
      <c r="W970" s="291"/>
      <c r="X970" s="291"/>
      <c r="Y970" s="291"/>
      <c r="Z970" s="291"/>
      <c r="AA970" s="292"/>
      <c r="AB970" s="292"/>
      <c r="AC970" s="293"/>
      <c r="AD970" s="293"/>
      <c r="AE970" s="294"/>
      <c r="AF970" s="294"/>
      <c r="AG970" s="294"/>
      <c r="AH970" s="294"/>
    </row>
    <row r="971" spans="2:34" s="295" customFormat="1">
      <c r="B971" s="287"/>
      <c r="C971" s="288"/>
      <c r="D971" s="289"/>
      <c r="E971" s="290"/>
      <c r="F971" s="291"/>
      <c r="G971" s="291"/>
      <c r="H971" s="291"/>
      <c r="I971" s="291"/>
      <c r="J971" s="291"/>
      <c r="K971" s="291"/>
      <c r="L971" s="291"/>
      <c r="M971" s="291"/>
      <c r="N971" s="291"/>
      <c r="O971" s="292"/>
      <c r="P971" s="291"/>
      <c r="Q971" s="291"/>
      <c r="R971" s="291"/>
      <c r="S971" s="291"/>
      <c r="T971" s="291"/>
      <c r="U971" s="291"/>
      <c r="V971" s="291"/>
      <c r="W971" s="291"/>
      <c r="X971" s="291"/>
      <c r="Y971" s="291"/>
      <c r="Z971" s="291"/>
      <c r="AA971" s="292"/>
      <c r="AB971" s="292"/>
      <c r="AC971" s="293"/>
      <c r="AD971" s="293"/>
      <c r="AE971" s="294"/>
      <c r="AF971" s="294"/>
      <c r="AG971" s="294"/>
      <c r="AH971" s="294"/>
    </row>
    <row r="972" spans="2:34" s="295" customFormat="1">
      <c r="B972" s="287"/>
      <c r="C972" s="288"/>
      <c r="D972" s="289"/>
      <c r="E972" s="290"/>
      <c r="F972" s="291"/>
      <c r="G972" s="291"/>
      <c r="H972" s="291"/>
      <c r="I972" s="291"/>
      <c r="J972" s="291"/>
      <c r="K972" s="291"/>
      <c r="L972" s="291"/>
      <c r="M972" s="291"/>
      <c r="N972" s="291"/>
      <c r="O972" s="292"/>
      <c r="P972" s="291"/>
      <c r="Q972" s="291"/>
      <c r="R972" s="291"/>
      <c r="S972" s="291"/>
      <c r="T972" s="291"/>
      <c r="U972" s="291"/>
      <c r="V972" s="291"/>
      <c r="W972" s="291"/>
      <c r="X972" s="291"/>
      <c r="Y972" s="291"/>
      <c r="Z972" s="291"/>
      <c r="AA972" s="292"/>
      <c r="AB972" s="292"/>
      <c r="AC972" s="293"/>
      <c r="AD972" s="293"/>
      <c r="AE972" s="294"/>
      <c r="AF972" s="294"/>
      <c r="AG972" s="294"/>
      <c r="AH972" s="294"/>
    </row>
    <row r="973" spans="2:34" s="295" customFormat="1">
      <c r="B973" s="287"/>
      <c r="C973" s="288"/>
      <c r="D973" s="289"/>
      <c r="E973" s="290"/>
      <c r="F973" s="291"/>
      <c r="G973" s="291"/>
      <c r="H973" s="291"/>
      <c r="I973" s="291"/>
      <c r="J973" s="291"/>
      <c r="K973" s="291"/>
      <c r="L973" s="291"/>
      <c r="M973" s="291"/>
      <c r="N973" s="291"/>
      <c r="O973" s="292"/>
      <c r="P973" s="291"/>
      <c r="Q973" s="291"/>
      <c r="R973" s="291"/>
      <c r="S973" s="291"/>
      <c r="T973" s="291"/>
      <c r="U973" s="291"/>
      <c r="V973" s="291"/>
      <c r="W973" s="291"/>
      <c r="X973" s="291"/>
      <c r="Y973" s="291"/>
      <c r="Z973" s="291"/>
      <c r="AA973" s="292"/>
      <c r="AB973" s="292"/>
      <c r="AC973" s="293"/>
      <c r="AD973" s="293"/>
      <c r="AE973" s="294"/>
      <c r="AF973" s="294"/>
      <c r="AG973" s="294"/>
      <c r="AH973" s="294"/>
    </row>
    <row r="974" spans="2:34" s="295" customFormat="1">
      <c r="B974" s="287"/>
      <c r="C974" s="288"/>
      <c r="D974" s="289"/>
      <c r="E974" s="290"/>
      <c r="F974" s="291"/>
      <c r="G974" s="291"/>
      <c r="H974" s="291"/>
      <c r="I974" s="291"/>
      <c r="J974" s="291"/>
      <c r="K974" s="291"/>
      <c r="L974" s="291"/>
      <c r="M974" s="291"/>
      <c r="N974" s="291"/>
      <c r="O974" s="292"/>
      <c r="P974" s="291"/>
      <c r="Q974" s="291"/>
      <c r="R974" s="291"/>
      <c r="S974" s="291"/>
      <c r="T974" s="291"/>
      <c r="U974" s="291"/>
      <c r="V974" s="291"/>
      <c r="W974" s="291"/>
      <c r="X974" s="291"/>
      <c r="Y974" s="291"/>
      <c r="Z974" s="291"/>
      <c r="AA974" s="292"/>
      <c r="AB974" s="292"/>
      <c r="AC974" s="293"/>
      <c r="AD974" s="293"/>
      <c r="AE974" s="294"/>
      <c r="AF974" s="294"/>
      <c r="AG974" s="294"/>
      <c r="AH974" s="294"/>
    </row>
    <row r="975" spans="2:34" s="295" customFormat="1">
      <c r="B975" s="287"/>
      <c r="C975" s="288"/>
      <c r="D975" s="289"/>
      <c r="E975" s="290"/>
      <c r="F975" s="291"/>
      <c r="G975" s="291"/>
      <c r="H975" s="291"/>
      <c r="I975" s="291"/>
      <c r="J975" s="291"/>
      <c r="K975" s="291"/>
      <c r="L975" s="291"/>
      <c r="M975" s="291"/>
      <c r="N975" s="291"/>
      <c r="O975" s="292"/>
      <c r="P975" s="291"/>
      <c r="Q975" s="291"/>
      <c r="R975" s="291"/>
      <c r="S975" s="291"/>
      <c r="T975" s="291"/>
      <c r="U975" s="291"/>
      <c r="V975" s="291"/>
      <c r="W975" s="291"/>
      <c r="X975" s="291"/>
      <c r="Y975" s="291"/>
      <c r="Z975" s="291"/>
      <c r="AA975" s="292"/>
      <c r="AB975" s="292"/>
      <c r="AC975" s="293"/>
      <c r="AD975" s="293"/>
      <c r="AE975" s="294"/>
      <c r="AF975" s="294"/>
      <c r="AG975" s="294"/>
      <c r="AH975" s="294"/>
    </row>
    <row r="976" spans="2:34" s="295" customFormat="1">
      <c r="B976" s="287"/>
      <c r="C976" s="288"/>
      <c r="D976" s="289"/>
      <c r="E976" s="290"/>
      <c r="F976" s="291"/>
      <c r="G976" s="291"/>
      <c r="H976" s="291"/>
      <c r="I976" s="291"/>
      <c r="J976" s="291"/>
      <c r="K976" s="291"/>
      <c r="L976" s="291"/>
      <c r="M976" s="291"/>
      <c r="N976" s="291"/>
      <c r="O976" s="292"/>
      <c r="P976" s="291"/>
      <c r="Q976" s="291"/>
      <c r="R976" s="291"/>
      <c r="S976" s="291"/>
      <c r="T976" s="291"/>
      <c r="U976" s="291"/>
      <c r="V976" s="291"/>
      <c r="W976" s="291"/>
      <c r="X976" s="291"/>
      <c r="Y976" s="291"/>
      <c r="Z976" s="291"/>
      <c r="AA976" s="292"/>
      <c r="AB976" s="292"/>
      <c r="AC976" s="293"/>
      <c r="AD976" s="293"/>
      <c r="AE976" s="294"/>
      <c r="AF976" s="294"/>
      <c r="AG976" s="294"/>
      <c r="AH976" s="294"/>
    </row>
    <row r="977" spans="2:34" s="295" customFormat="1">
      <c r="B977" s="287"/>
      <c r="C977" s="288"/>
      <c r="D977" s="289"/>
      <c r="E977" s="290"/>
      <c r="F977" s="291"/>
      <c r="G977" s="291"/>
      <c r="H977" s="291"/>
      <c r="I977" s="291"/>
      <c r="J977" s="291"/>
      <c r="K977" s="291"/>
      <c r="L977" s="291"/>
      <c r="M977" s="291"/>
      <c r="N977" s="291"/>
      <c r="O977" s="292"/>
      <c r="P977" s="291"/>
      <c r="Q977" s="291"/>
      <c r="R977" s="291"/>
      <c r="S977" s="291"/>
      <c r="T977" s="291"/>
      <c r="U977" s="291"/>
      <c r="V977" s="291"/>
      <c r="W977" s="291"/>
      <c r="X977" s="291"/>
      <c r="Y977" s="291"/>
      <c r="Z977" s="291"/>
      <c r="AA977" s="292"/>
      <c r="AB977" s="292"/>
      <c r="AC977" s="293"/>
      <c r="AD977" s="293"/>
      <c r="AE977" s="294"/>
      <c r="AF977" s="294"/>
      <c r="AG977" s="294"/>
      <c r="AH977" s="294"/>
    </row>
    <row r="978" spans="2:34" s="295" customFormat="1">
      <c r="B978" s="287"/>
      <c r="C978" s="288"/>
      <c r="D978" s="289"/>
      <c r="E978" s="290"/>
      <c r="F978" s="291"/>
      <c r="G978" s="291"/>
      <c r="H978" s="291"/>
      <c r="I978" s="291"/>
      <c r="J978" s="291"/>
      <c r="K978" s="291"/>
      <c r="L978" s="291"/>
      <c r="M978" s="291"/>
      <c r="N978" s="291"/>
      <c r="O978" s="292"/>
      <c r="P978" s="291"/>
      <c r="Q978" s="291"/>
      <c r="R978" s="291"/>
      <c r="S978" s="291"/>
      <c r="T978" s="291"/>
      <c r="U978" s="291"/>
      <c r="V978" s="291"/>
      <c r="W978" s="291"/>
      <c r="X978" s="291"/>
      <c r="Y978" s="291"/>
      <c r="Z978" s="291"/>
      <c r="AA978" s="292"/>
      <c r="AB978" s="292"/>
      <c r="AC978" s="293"/>
      <c r="AD978" s="293"/>
      <c r="AE978" s="294"/>
      <c r="AF978" s="294"/>
      <c r="AG978" s="294"/>
      <c r="AH978" s="294"/>
    </row>
    <row r="979" spans="2:34" s="295" customFormat="1">
      <c r="B979" s="287"/>
      <c r="C979" s="288"/>
      <c r="D979" s="289"/>
      <c r="E979" s="290"/>
      <c r="F979" s="291"/>
      <c r="G979" s="291"/>
      <c r="H979" s="291"/>
      <c r="I979" s="291"/>
      <c r="J979" s="291"/>
      <c r="K979" s="291"/>
      <c r="L979" s="291"/>
      <c r="M979" s="291"/>
      <c r="N979" s="291"/>
      <c r="O979" s="292"/>
      <c r="P979" s="291"/>
      <c r="Q979" s="291"/>
      <c r="R979" s="291"/>
      <c r="S979" s="291"/>
      <c r="T979" s="291"/>
      <c r="U979" s="291"/>
      <c r="V979" s="291"/>
      <c r="W979" s="291"/>
      <c r="X979" s="291"/>
      <c r="Y979" s="291"/>
      <c r="Z979" s="291"/>
      <c r="AA979" s="292"/>
      <c r="AB979" s="292"/>
      <c r="AC979" s="293"/>
      <c r="AD979" s="293"/>
      <c r="AE979" s="294"/>
      <c r="AF979" s="294"/>
      <c r="AG979" s="294"/>
      <c r="AH979" s="294"/>
    </row>
    <row r="980" spans="2:34" s="295" customFormat="1">
      <c r="B980" s="287"/>
      <c r="C980" s="288"/>
      <c r="D980" s="289"/>
      <c r="E980" s="290"/>
      <c r="F980" s="291"/>
      <c r="G980" s="291"/>
      <c r="H980" s="291"/>
      <c r="I980" s="291"/>
      <c r="J980" s="291"/>
      <c r="K980" s="291"/>
      <c r="L980" s="291"/>
      <c r="M980" s="291"/>
      <c r="N980" s="291"/>
      <c r="O980" s="292"/>
      <c r="P980" s="291"/>
      <c r="Q980" s="291"/>
      <c r="R980" s="291"/>
      <c r="S980" s="291"/>
      <c r="T980" s="291"/>
      <c r="U980" s="291"/>
      <c r="V980" s="291"/>
      <c r="W980" s="291"/>
      <c r="X980" s="291"/>
      <c r="Y980" s="291"/>
      <c r="Z980" s="291"/>
      <c r="AA980" s="292"/>
      <c r="AB980" s="292"/>
      <c r="AC980" s="293"/>
      <c r="AD980" s="293"/>
      <c r="AE980" s="294"/>
      <c r="AF980" s="294"/>
      <c r="AG980" s="294"/>
      <c r="AH980" s="294"/>
    </row>
    <row r="981" spans="2:34" s="295" customFormat="1">
      <c r="B981" s="287"/>
      <c r="C981" s="288"/>
      <c r="D981" s="289"/>
      <c r="E981" s="290"/>
      <c r="F981" s="291"/>
      <c r="G981" s="291"/>
      <c r="H981" s="291"/>
      <c r="I981" s="291"/>
      <c r="J981" s="291"/>
      <c r="K981" s="291"/>
      <c r="L981" s="291"/>
      <c r="M981" s="291"/>
      <c r="N981" s="291"/>
      <c r="O981" s="292"/>
      <c r="P981" s="291"/>
      <c r="Q981" s="291"/>
      <c r="R981" s="291"/>
      <c r="S981" s="291"/>
      <c r="T981" s="291"/>
      <c r="U981" s="291"/>
      <c r="V981" s="291"/>
      <c r="W981" s="291"/>
      <c r="X981" s="291"/>
      <c r="Y981" s="291"/>
      <c r="Z981" s="291"/>
      <c r="AA981" s="292"/>
      <c r="AB981" s="292"/>
      <c r="AC981" s="293"/>
      <c r="AD981" s="293"/>
      <c r="AE981" s="294"/>
      <c r="AF981" s="294"/>
      <c r="AG981" s="294"/>
      <c r="AH981" s="294"/>
    </row>
    <row r="982" spans="2:34" s="295" customFormat="1">
      <c r="B982" s="287"/>
      <c r="C982" s="288"/>
      <c r="D982" s="289"/>
      <c r="E982" s="290"/>
      <c r="F982" s="291"/>
      <c r="G982" s="291"/>
      <c r="H982" s="291"/>
      <c r="I982" s="291"/>
      <c r="J982" s="291"/>
      <c r="K982" s="291"/>
      <c r="L982" s="291"/>
      <c r="M982" s="291"/>
      <c r="N982" s="291"/>
      <c r="O982" s="292"/>
      <c r="P982" s="291"/>
      <c r="Q982" s="291"/>
      <c r="R982" s="291"/>
      <c r="S982" s="291"/>
      <c r="T982" s="291"/>
      <c r="U982" s="291"/>
      <c r="V982" s="291"/>
      <c r="W982" s="291"/>
      <c r="X982" s="291"/>
      <c r="Y982" s="291"/>
      <c r="Z982" s="291"/>
      <c r="AA982" s="292"/>
      <c r="AB982" s="292"/>
      <c r="AC982" s="293"/>
      <c r="AD982" s="293"/>
      <c r="AE982" s="294"/>
      <c r="AF982" s="294"/>
      <c r="AG982" s="294"/>
      <c r="AH982" s="294"/>
    </row>
    <row r="983" spans="2:34" s="295" customFormat="1">
      <c r="B983" s="287"/>
      <c r="C983" s="288"/>
      <c r="D983" s="289"/>
      <c r="E983" s="290"/>
      <c r="F983" s="291"/>
      <c r="G983" s="291"/>
      <c r="H983" s="291"/>
      <c r="I983" s="291"/>
      <c r="J983" s="291"/>
      <c r="K983" s="291"/>
      <c r="L983" s="291"/>
      <c r="M983" s="291"/>
      <c r="N983" s="291"/>
      <c r="O983" s="292"/>
      <c r="P983" s="291"/>
      <c r="Q983" s="291"/>
      <c r="R983" s="291"/>
      <c r="S983" s="291"/>
      <c r="T983" s="291"/>
      <c r="U983" s="291"/>
      <c r="V983" s="291"/>
      <c r="W983" s="291"/>
      <c r="X983" s="291"/>
      <c r="Y983" s="291"/>
      <c r="Z983" s="291"/>
      <c r="AA983" s="292"/>
      <c r="AB983" s="292"/>
      <c r="AC983" s="293"/>
      <c r="AD983" s="293"/>
      <c r="AE983" s="294"/>
      <c r="AF983" s="294"/>
      <c r="AG983" s="294"/>
      <c r="AH983" s="294"/>
    </row>
    <row r="984" spans="2:34" s="295" customFormat="1">
      <c r="B984" s="287"/>
      <c r="C984" s="288"/>
      <c r="D984" s="289"/>
      <c r="E984" s="290"/>
      <c r="F984" s="291"/>
      <c r="G984" s="291"/>
      <c r="H984" s="291"/>
      <c r="I984" s="291"/>
      <c r="J984" s="291"/>
      <c r="K984" s="291"/>
      <c r="L984" s="291"/>
      <c r="M984" s="291"/>
      <c r="N984" s="291"/>
      <c r="O984" s="292"/>
      <c r="P984" s="291"/>
      <c r="Q984" s="291"/>
      <c r="R984" s="291"/>
      <c r="S984" s="291"/>
      <c r="T984" s="291"/>
      <c r="U984" s="291"/>
      <c r="V984" s="291"/>
      <c r="W984" s="291"/>
      <c r="X984" s="291"/>
      <c r="Y984" s="291"/>
      <c r="Z984" s="291"/>
      <c r="AA984" s="292"/>
      <c r="AB984" s="292"/>
      <c r="AC984" s="293"/>
      <c r="AD984" s="293"/>
      <c r="AE984" s="294"/>
      <c r="AF984" s="294"/>
      <c r="AG984" s="294"/>
      <c r="AH984" s="294"/>
    </row>
    <row r="985" spans="2:34" s="295" customFormat="1">
      <c r="B985" s="287"/>
      <c r="C985" s="288"/>
      <c r="D985" s="289"/>
      <c r="E985" s="290"/>
      <c r="F985" s="291"/>
      <c r="G985" s="291"/>
      <c r="H985" s="291"/>
      <c r="I985" s="291"/>
      <c r="J985" s="291"/>
      <c r="K985" s="291"/>
      <c r="L985" s="291"/>
      <c r="M985" s="291"/>
      <c r="N985" s="291"/>
      <c r="O985" s="292"/>
      <c r="P985" s="291"/>
      <c r="Q985" s="291"/>
      <c r="R985" s="291"/>
      <c r="S985" s="291"/>
      <c r="T985" s="291"/>
      <c r="U985" s="291"/>
      <c r="V985" s="291"/>
      <c r="W985" s="291"/>
      <c r="X985" s="291"/>
      <c r="Y985" s="291"/>
      <c r="Z985" s="291"/>
      <c r="AA985" s="292"/>
      <c r="AB985" s="292"/>
      <c r="AC985" s="293"/>
      <c r="AD985" s="293"/>
      <c r="AE985" s="294"/>
      <c r="AF985" s="294"/>
      <c r="AG985" s="294"/>
      <c r="AH985" s="294"/>
    </row>
    <row r="986" spans="2:34" s="295" customFormat="1">
      <c r="B986" s="287"/>
      <c r="C986" s="288"/>
      <c r="D986" s="289"/>
      <c r="E986" s="290"/>
      <c r="F986" s="291"/>
      <c r="G986" s="291"/>
      <c r="H986" s="291"/>
      <c r="I986" s="291"/>
      <c r="J986" s="291"/>
      <c r="K986" s="291"/>
      <c r="L986" s="291"/>
      <c r="M986" s="291"/>
      <c r="N986" s="291"/>
      <c r="O986" s="292"/>
      <c r="P986" s="291"/>
      <c r="Q986" s="291"/>
      <c r="R986" s="291"/>
      <c r="S986" s="291"/>
      <c r="T986" s="291"/>
      <c r="U986" s="291"/>
      <c r="V986" s="291"/>
      <c r="W986" s="291"/>
      <c r="X986" s="291"/>
      <c r="Y986" s="291"/>
      <c r="Z986" s="291"/>
      <c r="AA986" s="292"/>
      <c r="AB986" s="292"/>
      <c r="AC986" s="293"/>
      <c r="AD986" s="293"/>
      <c r="AE986" s="294"/>
      <c r="AF986" s="294"/>
      <c r="AG986" s="294"/>
      <c r="AH986" s="294"/>
    </row>
    <row r="987" spans="2:34" s="295" customFormat="1">
      <c r="B987" s="287"/>
      <c r="C987" s="288"/>
      <c r="D987" s="289"/>
      <c r="E987" s="290"/>
      <c r="F987" s="291"/>
      <c r="G987" s="291"/>
      <c r="H987" s="291"/>
      <c r="I987" s="291"/>
      <c r="J987" s="291"/>
      <c r="K987" s="291"/>
      <c r="L987" s="291"/>
      <c r="M987" s="291"/>
      <c r="N987" s="291"/>
      <c r="O987" s="292"/>
      <c r="P987" s="291"/>
      <c r="Q987" s="291"/>
      <c r="R987" s="291"/>
      <c r="S987" s="291"/>
      <c r="T987" s="291"/>
      <c r="U987" s="291"/>
      <c r="V987" s="291"/>
      <c r="W987" s="291"/>
      <c r="X987" s="291"/>
      <c r="Y987" s="291"/>
      <c r="Z987" s="291"/>
      <c r="AA987" s="292"/>
      <c r="AB987" s="292"/>
      <c r="AC987" s="293"/>
      <c r="AD987" s="293"/>
      <c r="AE987" s="294"/>
      <c r="AF987" s="294"/>
      <c r="AG987" s="294"/>
      <c r="AH987" s="294"/>
    </row>
    <row r="988" spans="2:34" s="295" customFormat="1">
      <c r="B988" s="287"/>
      <c r="C988" s="288"/>
      <c r="D988" s="289"/>
      <c r="E988" s="290"/>
      <c r="F988" s="291"/>
      <c r="G988" s="291"/>
      <c r="H988" s="291"/>
      <c r="I988" s="291"/>
      <c r="J988" s="291"/>
      <c r="K988" s="291"/>
      <c r="L988" s="291"/>
      <c r="M988" s="291"/>
      <c r="N988" s="291"/>
      <c r="O988" s="292"/>
      <c r="P988" s="291"/>
      <c r="Q988" s="291"/>
      <c r="R988" s="291"/>
      <c r="S988" s="291"/>
      <c r="T988" s="291"/>
      <c r="U988" s="291"/>
      <c r="V988" s="291"/>
      <c r="W988" s="291"/>
      <c r="X988" s="291"/>
      <c r="Y988" s="291"/>
      <c r="Z988" s="291"/>
      <c r="AA988" s="292"/>
      <c r="AB988" s="292"/>
      <c r="AC988" s="293"/>
      <c r="AD988" s="293"/>
      <c r="AE988" s="294"/>
      <c r="AF988" s="294"/>
      <c r="AG988" s="294"/>
      <c r="AH988" s="294"/>
    </row>
    <row r="989" spans="2:34" s="295" customFormat="1">
      <c r="B989" s="287"/>
      <c r="C989" s="288"/>
      <c r="D989" s="289"/>
      <c r="E989" s="290"/>
      <c r="F989" s="291"/>
      <c r="G989" s="291"/>
      <c r="H989" s="291"/>
      <c r="I989" s="291"/>
      <c r="J989" s="291"/>
      <c r="K989" s="291"/>
      <c r="L989" s="291"/>
      <c r="M989" s="291"/>
      <c r="N989" s="291"/>
      <c r="O989" s="292"/>
      <c r="P989" s="291"/>
      <c r="Q989" s="291"/>
      <c r="R989" s="291"/>
      <c r="S989" s="291"/>
      <c r="T989" s="291"/>
      <c r="U989" s="291"/>
      <c r="V989" s="291"/>
      <c r="W989" s="291"/>
      <c r="X989" s="291"/>
      <c r="Y989" s="291"/>
      <c r="Z989" s="291"/>
      <c r="AA989" s="292"/>
      <c r="AB989" s="292"/>
      <c r="AC989" s="293"/>
      <c r="AD989" s="293"/>
      <c r="AE989" s="294"/>
      <c r="AF989" s="294"/>
      <c r="AG989" s="294"/>
      <c r="AH989" s="294"/>
    </row>
    <row r="990" spans="2:34" s="295" customFormat="1">
      <c r="B990" s="287"/>
      <c r="C990" s="288"/>
      <c r="D990" s="289"/>
      <c r="E990" s="290"/>
      <c r="F990" s="291"/>
      <c r="G990" s="291"/>
      <c r="H990" s="291"/>
      <c r="I990" s="291"/>
      <c r="J990" s="291"/>
      <c r="K990" s="291"/>
      <c r="L990" s="291"/>
      <c r="M990" s="291"/>
      <c r="N990" s="291"/>
      <c r="O990" s="292"/>
      <c r="P990" s="291"/>
      <c r="Q990" s="291"/>
      <c r="R990" s="291"/>
      <c r="S990" s="291"/>
      <c r="T990" s="291"/>
      <c r="U990" s="291"/>
      <c r="V990" s="291"/>
      <c r="W990" s="291"/>
      <c r="X990" s="291"/>
      <c r="Y990" s="291"/>
      <c r="Z990" s="291"/>
      <c r="AA990" s="292"/>
      <c r="AB990" s="292"/>
      <c r="AC990" s="293"/>
      <c r="AD990" s="293"/>
      <c r="AE990" s="294"/>
      <c r="AF990" s="294"/>
      <c r="AG990" s="294"/>
      <c r="AH990" s="294"/>
    </row>
    <row r="991" spans="2:34" s="295" customFormat="1">
      <c r="B991" s="287"/>
      <c r="C991" s="288"/>
      <c r="D991" s="289"/>
      <c r="E991" s="290"/>
      <c r="F991" s="291"/>
      <c r="G991" s="291"/>
      <c r="H991" s="291"/>
      <c r="I991" s="291"/>
      <c r="J991" s="291"/>
      <c r="K991" s="291"/>
      <c r="L991" s="291"/>
      <c r="M991" s="291"/>
      <c r="N991" s="291"/>
      <c r="O991" s="292"/>
      <c r="P991" s="291"/>
      <c r="Q991" s="291"/>
      <c r="R991" s="291"/>
      <c r="S991" s="291"/>
      <c r="T991" s="291"/>
      <c r="U991" s="291"/>
      <c r="V991" s="291"/>
      <c r="W991" s="291"/>
      <c r="X991" s="291"/>
      <c r="Y991" s="291"/>
      <c r="Z991" s="291"/>
      <c r="AA991" s="292"/>
      <c r="AB991" s="292"/>
      <c r="AC991" s="293"/>
      <c r="AD991" s="293"/>
      <c r="AE991" s="294"/>
      <c r="AF991" s="294"/>
      <c r="AG991" s="294"/>
      <c r="AH991" s="294"/>
    </row>
    <row r="992" spans="2:34" s="295" customFormat="1">
      <c r="B992" s="287"/>
      <c r="C992" s="288"/>
      <c r="D992" s="289"/>
      <c r="E992" s="290"/>
      <c r="F992" s="291"/>
      <c r="G992" s="291"/>
      <c r="H992" s="291"/>
      <c r="I992" s="291"/>
      <c r="J992" s="291"/>
      <c r="K992" s="291"/>
      <c r="L992" s="291"/>
      <c r="M992" s="291"/>
      <c r="N992" s="291"/>
      <c r="O992" s="292"/>
      <c r="P992" s="291"/>
      <c r="Q992" s="291"/>
      <c r="R992" s="291"/>
      <c r="S992" s="291"/>
      <c r="T992" s="291"/>
      <c r="U992" s="291"/>
      <c r="V992" s="291"/>
      <c r="W992" s="291"/>
      <c r="X992" s="291"/>
      <c r="Y992" s="291"/>
      <c r="Z992" s="291"/>
      <c r="AA992" s="292"/>
      <c r="AB992" s="292"/>
      <c r="AC992" s="293"/>
      <c r="AD992" s="293"/>
      <c r="AE992" s="294"/>
      <c r="AF992" s="294"/>
      <c r="AG992" s="294"/>
      <c r="AH992" s="294"/>
    </row>
    <row r="993" spans="2:34" s="295" customFormat="1">
      <c r="B993" s="287"/>
      <c r="C993" s="288"/>
      <c r="D993" s="289"/>
      <c r="E993" s="290"/>
      <c r="F993" s="291"/>
      <c r="G993" s="291"/>
      <c r="H993" s="291"/>
      <c r="I993" s="291"/>
      <c r="J993" s="291"/>
      <c r="K993" s="291"/>
      <c r="L993" s="291"/>
      <c r="M993" s="291"/>
      <c r="N993" s="291"/>
      <c r="O993" s="292"/>
      <c r="P993" s="291"/>
      <c r="Q993" s="291"/>
      <c r="R993" s="291"/>
      <c r="S993" s="291"/>
      <c r="T993" s="291"/>
      <c r="U993" s="291"/>
      <c r="V993" s="291"/>
      <c r="W993" s="291"/>
      <c r="X993" s="291"/>
      <c r="Y993" s="291"/>
      <c r="Z993" s="291"/>
      <c r="AA993" s="292"/>
      <c r="AB993" s="292"/>
      <c r="AC993" s="293"/>
      <c r="AD993" s="293"/>
      <c r="AE993" s="294"/>
      <c r="AF993" s="294"/>
      <c r="AG993" s="294"/>
      <c r="AH993" s="294"/>
    </row>
    <row r="994" spans="2:34" s="295" customFormat="1">
      <c r="B994" s="287"/>
      <c r="C994" s="288"/>
      <c r="D994" s="289"/>
      <c r="E994" s="290"/>
      <c r="F994" s="291"/>
      <c r="G994" s="291"/>
      <c r="H994" s="291"/>
      <c r="I994" s="291"/>
      <c r="J994" s="291"/>
      <c r="K994" s="291"/>
      <c r="L994" s="291"/>
      <c r="M994" s="291"/>
      <c r="N994" s="291"/>
      <c r="O994" s="292"/>
      <c r="P994" s="291"/>
      <c r="Q994" s="291"/>
      <c r="R994" s="291"/>
      <c r="S994" s="291"/>
      <c r="T994" s="291"/>
      <c r="U994" s="291"/>
      <c r="V994" s="291"/>
      <c r="W994" s="291"/>
      <c r="X994" s="291"/>
      <c r="Y994" s="291"/>
      <c r="Z994" s="291"/>
      <c r="AA994" s="292"/>
      <c r="AB994" s="292"/>
      <c r="AC994" s="293"/>
      <c r="AD994" s="293"/>
      <c r="AE994" s="294"/>
      <c r="AF994" s="294"/>
      <c r="AG994" s="294"/>
      <c r="AH994" s="294"/>
    </row>
    <row r="995" spans="2:34" s="295" customFormat="1">
      <c r="B995" s="287"/>
      <c r="C995" s="288"/>
      <c r="D995" s="289"/>
      <c r="E995" s="290"/>
      <c r="F995" s="291"/>
      <c r="G995" s="291"/>
      <c r="H995" s="291"/>
      <c r="I995" s="291"/>
      <c r="J995" s="291"/>
      <c r="K995" s="291"/>
      <c r="L995" s="291"/>
      <c r="M995" s="291"/>
      <c r="N995" s="291"/>
      <c r="O995" s="292"/>
      <c r="P995" s="291"/>
      <c r="Q995" s="291"/>
      <c r="R995" s="291"/>
      <c r="S995" s="291"/>
      <c r="T995" s="291"/>
      <c r="U995" s="291"/>
      <c r="V995" s="291"/>
      <c r="W995" s="291"/>
      <c r="X995" s="291"/>
      <c r="Y995" s="291"/>
      <c r="Z995" s="291"/>
      <c r="AA995" s="292"/>
      <c r="AB995" s="292"/>
      <c r="AC995" s="293"/>
      <c r="AD995" s="293"/>
      <c r="AE995" s="294"/>
      <c r="AF995" s="294"/>
      <c r="AG995" s="294"/>
      <c r="AH995" s="294"/>
    </row>
    <row r="996" spans="2:34" s="295" customFormat="1">
      <c r="B996" s="287"/>
      <c r="C996" s="288"/>
      <c r="D996" s="289"/>
      <c r="E996" s="290"/>
      <c r="F996" s="291"/>
      <c r="G996" s="291"/>
      <c r="H996" s="291"/>
      <c r="I996" s="291"/>
      <c r="J996" s="291"/>
      <c r="K996" s="291"/>
      <c r="L996" s="291"/>
      <c r="M996" s="291"/>
      <c r="N996" s="291"/>
      <c r="O996" s="292"/>
      <c r="P996" s="291"/>
      <c r="Q996" s="291"/>
      <c r="R996" s="291"/>
      <c r="S996" s="291"/>
      <c r="T996" s="291"/>
      <c r="U996" s="291"/>
      <c r="V996" s="291"/>
      <c r="W996" s="291"/>
      <c r="X996" s="291"/>
      <c r="Y996" s="291"/>
      <c r="Z996" s="291"/>
      <c r="AA996" s="292"/>
      <c r="AB996" s="292"/>
      <c r="AC996" s="293"/>
      <c r="AD996" s="293"/>
      <c r="AE996" s="294"/>
      <c r="AF996" s="294"/>
      <c r="AG996" s="294"/>
      <c r="AH996" s="294"/>
    </row>
    <row r="997" spans="2:34" s="295" customFormat="1">
      <c r="B997" s="287"/>
      <c r="C997" s="288"/>
      <c r="D997" s="289"/>
      <c r="E997" s="290"/>
      <c r="F997" s="291"/>
      <c r="G997" s="291"/>
      <c r="H997" s="291"/>
      <c r="I997" s="291"/>
      <c r="J997" s="291"/>
      <c r="K997" s="291"/>
      <c r="L997" s="291"/>
      <c r="M997" s="291"/>
      <c r="N997" s="291"/>
      <c r="O997" s="292"/>
      <c r="P997" s="291"/>
      <c r="Q997" s="291"/>
      <c r="R997" s="291"/>
      <c r="S997" s="291"/>
      <c r="T997" s="291"/>
      <c r="U997" s="291"/>
      <c r="V997" s="291"/>
      <c r="W997" s="291"/>
      <c r="X997" s="291"/>
      <c r="Y997" s="291"/>
      <c r="Z997" s="291"/>
      <c r="AA997" s="292"/>
      <c r="AB997" s="292"/>
      <c r="AC997" s="293"/>
      <c r="AD997" s="293"/>
      <c r="AE997" s="294"/>
      <c r="AF997" s="294"/>
      <c r="AG997" s="294"/>
      <c r="AH997" s="294"/>
    </row>
    <row r="998" spans="2:34" s="295" customFormat="1">
      <c r="B998" s="287"/>
      <c r="C998" s="288"/>
      <c r="D998" s="289"/>
      <c r="E998" s="290"/>
      <c r="F998" s="291"/>
      <c r="G998" s="291"/>
      <c r="H998" s="291"/>
      <c r="I998" s="291"/>
      <c r="J998" s="291"/>
      <c r="K998" s="291"/>
      <c r="L998" s="291"/>
      <c r="M998" s="291"/>
      <c r="N998" s="291"/>
      <c r="O998" s="292"/>
      <c r="P998" s="291"/>
      <c r="Q998" s="291"/>
      <c r="R998" s="291"/>
      <c r="S998" s="291"/>
      <c r="T998" s="291"/>
      <c r="U998" s="291"/>
      <c r="V998" s="291"/>
      <c r="W998" s="291"/>
      <c r="X998" s="291"/>
      <c r="Y998" s="291"/>
      <c r="Z998" s="291"/>
      <c r="AA998" s="292"/>
      <c r="AB998" s="292"/>
      <c r="AC998" s="293"/>
      <c r="AD998" s="293"/>
      <c r="AE998" s="294"/>
      <c r="AF998" s="294"/>
      <c r="AG998" s="294"/>
      <c r="AH998" s="294"/>
    </row>
    <row r="999" spans="2:34" s="295" customFormat="1">
      <c r="B999" s="287"/>
      <c r="C999" s="288"/>
      <c r="D999" s="289"/>
      <c r="E999" s="290"/>
      <c r="F999" s="291"/>
      <c r="G999" s="291"/>
      <c r="H999" s="291"/>
      <c r="I999" s="291"/>
      <c r="J999" s="291"/>
      <c r="K999" s="291"/>
      <c r="L999" s="291"/>
      <c r="M999" s="291"/>
      <c r="N999" s="291"/>
      <c r="O999" s="292"/>
      <c r="P999" s="291"/>
      <c r="Q999" s="291"/>
      <c r="R999" s="291"/>
      <c r="S999" s="291"/>
      <c r="T999" s="291"/>
      <c r="U999" s="291"/>
      <c r="V999" s="291"/>
      <c r="W999" s="291"/>
      <c r="X999" s="291"/>
      <c r="Y999" s="291"/>
      <c r="Z999" s="291"/>
      <c r="AA999" s="292"/>
      <c r="AB999" s="292"/>
      <c r="AC999" s="293"/>
      <c r="AD999" s="293"/>
      <c r="AE999" s="294"/>
      <c r="AF999" s="294"/>
      <c r="AG999" s="294"/>
      <c r="AH999" s="294"/>
    </row>
    <row r="1000" spans="2:34" s="295" customFormat="1">
      <c r="B1000" s="287"/>
      <c r="C1000" s="288"/>
      <c r="D1000" s="289"/>
      <c r="E1000" s="290"/>
      <c r="F1000" s="291"/>
      <c r="G1000" s="291"/>
      <c r="H1000" s="291"/>
      <c r="I1000" s="291"/>
      <c r="J1000" s="291"/>
      <c r="K1000" s="291"/>
      <c r="L1000" s="291"/>
      <c r="M1000" s="291"/>
      <c r="N1000" s="291"/>
      <c r="O1000" s="292"/>
      <c r="P1000" s="291"/>
      <c r="Q1000" s="291"/>
      <c r="R1000" s="291"/>
      <c r="S1000" s="291"/>
      <c r="T1000" s="291"/>
      <c r="U1000" s="291"/>
      <c r="V1000" s="291"/>
      <c r="W1000" s="291"/>
      <c r="X1000" s="291"/>
      <c r="Y1000" s="291"/>
      <c r="Z1000" s="291"/>
      <c r="AA1000" s="292"/>
      <c r="AB1000" s="292"/>
      <c r="AC1000" s="293"/>
      <c r="AD1000" s="293"/>
      <c r="AE1000" s="294"/>
      <c r="AF1000" s="294"/>
      <c r="AG1000" s="294"/>
      <c r="AH1000" s="294"/>
    </row>
    <row r="1001" spans="2:34" s="295" customFormat="1">
      <c r="B1001" s="287"/>
      <c r="C1001" s="288"/>
      <c r="D1001" s="289"/>
      <c r="E1001" s="290"/>
      <c r="F1001" s="291"/>
      <c r="G1001" s="291"/>
      <c r="H1001" s="291"/>
      <c r="I1001" s="291"/>
      <c r="J1001" s="291"/>
      <c r="K1001" s="291"/>
      <c r="L1001" s="291"/>
      <c r="M1001" s="291"/>
      <c r="N1001" s="291"/>
      <c r="O1001" s="292"/>
      <c r="P1001" s="291"/>
      <c r="Q1001" s="291"/>
      <c r="R1001" s="291"/>
      <c r="S1001" s="291"/>
      <c r="T1001" s="291"/>
      <c r="U1001" s="291"/>
      <c r="V1001" s="291"/>
      <c r="W1001" s="291"/>
      <c r="X1001" s="291"/>
      <c r="Y1001" s="291"/>
      <c r="Z1001" s="291"/>
      <c r="AA1001" s="292"/>
      <c r="AB1001" s="292"/>
      <c r="AC1001" s="293"/>
      <c r="AD1001" s="293"/>
      <c r="AE1001" s="294"/>
      <c r="AF1001" s="294"/>
      <c r="AG1001" s="294"/>
      <c r="AH1001" s="294"/>
    </row>
    <row r="1002" spans="2:34" s="295" customFormat="1">
      <c r="B1002" s="287"/>
      <c r="C1002" s="288"/>
      <c r="D1002" s="289"/>
      <c r="E1002" s="290"/>
      <c r="F1002" s="291"/>
      <c r="G1002" s="291"/>
      <c r="H1002" s="291"/>
      <c r="I1002" s="291"/>
      <c r="J1002" s="291"/>
      <c r="K1002" s="291"/>
      <c r="L1002" s="291"/>
      <c r="M1002" s="291"/>
      <c r="N1002" s="291"/>
      <c r="O1002" s="292"/>
      <c r="P1002" s="291"/>
      <c r="Q1002" s="291"/>
      <c r="R1002" s="291"/>
      <c r="S1002" s="291"/>
      <c r="T1002" s="291"/>
      <c r="U1002" s="291"/>
      <c r="V1002" s="291"/>
      <c r="W1002" s="291"/>
      <c r="X1002" s="291"/>
      <c r="Y1002" s="291"/>
      <c r="Z1002" s="291"/>
      <c r="AA1002" s="292"/>
      <c r="AB1002" s="292"/>
      <c r="AC1002" s="293"/>
      <c r="AD1002" s="293"/>
      <c r="AE1002" s="294"/>
      <c r="AF1002" s="294"/>
      <c r="AG1002" s="294"/>
      <c r="AH1002" s="294"/>
    </row>
    <row r="1003" spans="2:34" s="295" customFormat="1">
      <c r="B1003" s="287"/>
      <c r="C1003" s="288"/>
      <c r="D1003" s="289"/>
      <c r="E1003" s="290"/>
      <c r="F1003" s="291"/>
      <c r="G1003" s="291"/>
      <c r="H1003" s="291"/>
      <c r="I1003" s="291"/>
      <c r="J1003" s="291"/>
      <c r="K1003" s="291"/>
      <c r="L1003" s="291"/>
      <c r="M1003" s="291"/>
      <c r="N1003" s="291"/>
      <c r="O1003" s="292"/>
      <c r="P1003" s="291"/>
      <c r="Q1003" s="291"/>
      <c r="R1003" s="291"/>
      <c r="S1003" s="291"/>
      <c r="T1003" s="291"/>
      <c r="U1003" s="291"/>
      <c r="V1003" s="291"/>
      <c r="W1003" s="291"/>
      <c r="X1003" s="291"/>
      <c r="Y1003" s="291"/>
      <c r="Z1003" s="291"/>
      <c r="AA1003" s="292"/>
      <c r="AB1003" s="292"/>
      <c r="AC1003" s="293"/>
      <c r="AD1003" s="293"/>
      <c r="AE1003" s="294"/>
      <c r="AF1003" s="294"/>
      <c r="AG1003" s="294"/>
      <c r="AH1003" s="294"/>
    </row>
    <row r="1004" spans="2:34" s="295" customFormat="1">
      <c r="B1004" s="287"/>
      <c r="C1004" s="288"/>
      <c r="D1004" s="289"/>
      <c r="E1004" s="290"/>
      <c r="F1004" s="291"/>
      <c r="G1004" s="291"/>
      <c r="H1004" s="291"/>
      <c r="I1004" s="291"/>
      <c r="J1004" s="291"/>
      <c r="K1004" s="291"/>
      <c r="L1004" s="291"/>
      <c r="M1004" s="291"/>
      <c r="N1004" s="291"/>
      <c r="O1004" s="292"/>
      <c r="P1004" s="291"/>
      <c r="Q1004" s="291"/>
      <c r="R1004" s="291"/>
      <c r="S1004" s="291"/>
      <c r="T1004" s="291"/>
      <c r="U1004" s="291"/>
      <c r="V1004" s="291"/>
      <c r="W1004" s="291"/>
      <c r="X1004" s="291"/>
      <c r="Y1004" s="291"/>
      <c r="Z1004" s="291"/>
      <c r="AA1004" s="292"/>
      <c r="AB1004" s="292"/>
      <c r="AC1004" s="293"/>
      <c r="AD1004" s="293"/>
      <c r="AE1004" s="294"/>
      <c r="AF1004" s="294"/>
      <c r="AG1004" s="294"/>
      <c r="AH1004" s="294"/>
    </row>
    <row r="1005" spans="2:34" s="295" customFormat="1">
      <c r="B1005" s="287"/>
      <c r="C1005" s="288"/>
      <c r="D1005" s="289"/>
      <c r="E1005" s="290"/>
      <c r="F1005" s="291"/>
      <c r="G1005" s="291"/>
      <c r="H1005" s="291"/>
      <c r="I1005" s="291"/>
      <c r="J1005" s="291"/>
      <c r="K1005" s="291"/>
      <c r="L1005" s="291"/>
      <c r="M1005" s="291"/>
      <c r="N1005" s="291"/>
      <c r="O1005" s="292"/>
      <c r="P1005" s="291"/>
      <c r="Q1005" s="291"/>
      <c r="R1005" s="291"/>
      <c r="S1005" s="291"/>
      <c r="T1005" s="291"/>
      <c r="U1005" s="291"/>
      <c r="V1005" s="291"/>
      <c r="W1005" s="291"/>
      <c r="X1005" s="291"/>
      <c r="Y1005" s="291"/>
      <c r="Z1005" s="291"/>
      <c r="AA1005" s="292"/>
      <c r="AB1005" s="292"/>
      <c r="AC1005" s="293"/>
      <c r="AD1005" s="293"/>
      <c r="AE1005" s="294"/>
      <c r="AF1005" s="294"/>
      <c r="AG1005" s="294"/>
      <c r="AH1005" s="294"/>
    </row>
    <row r="1006" spans="2:34" s="295" customFormat="1">
      <c r="B1006" s="287"/>
      <c r="C1006" s="288"/>
      <c r="D1006" s="289"/>
      <c r="E1006" s="290"/>
      <c r="F1006" s="291"/>
      <c r="G1006" s="291"/>
      <c r="H1006" s="291"/>
      <c r="I1006" s="291"/>
      <c r="J1006" s="291"/>
      <c r="K1006" s="291"/>
      <c r="L1006" s="291"/>
      <c r="M1006" s="291"/>
      <c r="N1006" s="291"/>
      <c r="O1006" s="292"/>
      <c r="P1006" s="291"/>
      <c r="Q1006" s="291"/>
      <c r="R1006" s="291"/>
      <c r="S1006" s="291"/>
      <c r="T1006" s="291"/>
      <c r="U1006" s="291"/>
      <c r="V1006" s="291"/>
      <c r="W1006" s="291"/>
      <c r="X1006" s="291"/>
      <c r="Y1006" s="291"/>
      <c r="Z1006" s="291"/>
      <c r="AA1006" s="292"/>
      <c r="AB1006" s="292"/>
      <c r="AC1006" s="293"/>
      <c r="AD1006" s="293"/>
      <c r="AE1006" s="294"/>
      <c r="AF1006" s="294"/>
      <c r="AG1006" s="294"/>
      <c r="AH1006" s="294"/>
    </row>
    <row r="1007" spans="2:34" s="295" customFormat="1">
      <c r="B1007" s="287"/>
      <c r="C1007" s="288"/>
      <c r="D1007" s="289"/>
      <c r="E1007" s="290"/>
      <c r="F1007" s="291"/>
      <c r="G1007" s="291"/>
      <c r="H1007" s="291"/>
      <c r="I1007" s="291"/>
      <c r="J1007" s="291"/>
      <c r="K1007" s="291"/>
      <c r="L1007" s="291"/>
      <c r="M1007" s="291"/>
      <c r="N1007" s="291"/>
      <c r="O1007" s="292"/>
      <c r="P1007" s="291"/>
      <c r="Q1007" s="291"/>
      <c r="R1007" s="291"/>
      <c r="S1007" s="291"/>
      <c r="T1007" s="291"/>
      <c r="U1007" s="291"/>
      <c r="V1007" s="291"/>
      <c r="W1007" s="291"/>
      <c r="X1007" s="291"/>
      <c r="Y1007" s="291"/>
      <c r="Z1007" s="291"/>
      <c r="AA1007" s="292"/>
      <c r="AB1007" s="292"/>
      <c r="AC1007" s="293"/>
      <c r="AD1007" s="293"/>
      <c r="AE1007" s="294"/>
      <c r="AF1007" s="294"/>
      <c r="AG1007" s="294"/>
      <c r="AH1007" s="294"/>
    </row>
    <row r="1008" spans="2:34" s="295" customFormat="1">
      <c r="B1008" s="287"/>
      <c r="C1008" s="288"/>
      <c r="D1008" s="289"/>
      <c r="E1008" s="290"/>
      <c r="F1008" s="291"/>
      <c r="G1008" s="291"/>
      <c r="H1008" s="291"/>
      <c r="I1008" s="291"/>
      <c r="J1008" s="291"/>
      <c r="K1008" s="291"/>
      <c r="L1008" s="291"/>
      <c r="M1008" s="291"/>
      <c r="N1008" s="291"/>
      <c r="O1008" s="292"/>
      <c r="P1008" s="291"/>
      <c r="Q1008" s="291"/>
      <c r="R1008" s="291"/>
      <c r="S1008" s="291"/>
      <c r="T1008" s="291"/>
      <c r="U1008" s="291"/>
      <c r="V1008" s="291"/>
      <c r="W1008" s="291"/>
      <c r="X1008" s="291"/>
      <c r="Y1008" s="291"/>
      <c r="Z1008" s="291"/>
      <c r="AA1008" s="292"/>
      <c r="AB1008" s="292"/>
      <c r="AC1008" s="293"/>
      <c r="AD1008" s="293"/>
      <c r="AE1008" s="294"/>
      <c r="AF1008" s="294"/>
      <c r="AG1008" s="294"/>
      <c r="AH1008" s="294"/>
    </row>
    <row r="1009" spans="2:34" s="295" customFormat="1">
      <c r="B1009" s="287"/>
      <c r="C1009" s="288"/>
      <c r="D1009" s="289"/>
      <c r="E1009" s="290"/>
      <c r="F1009" s="291"/>
      <c r="G1009" s="291"/>
      <c r="H1009" s="291"/>
      <c r="I1009" s="291"/>
      <c r="J1009" s="291"/>
      <c r="K1009" s="291"/>
      <c r="L1009" s="291"/>
      <c r="M1009" s="291"/>
      <c r="N1009" s="291"/>
      <c r="O1009" s="292"/>
      <c r="P1009" s="291"/>
      <c r="Q1009" s="291"/>
      <c r="R1009" s="291"/>
      <c r="S1009" s="291"/>
      <c r="T1009" s="291"/>
      <c r="U1009" s="291"/>
      <c r="V1009" s="291"/>
      <c r="W1009" s="291"/>
      <c r="X1009" s="291"/>
      <c r="Y1009" s="291"/>
      <c r="Z1009" s="291"/>
      <c r="AA1009" s="292"/>
      <c r="AB1009" s="292"/>
      <c r="AC1009" s="293"/>
      <c r="AD1009" s="293"/>
      <c r="AE1009" s="294"/>
      <c r="AF1009" s="294"/>
      <c r="AG1009" s="294"/>
      <c r="AH1009" s="294"/>
    </row>
    <row r="1010" spans="2:34" s="295" customFormat="1">
      <c r="B1010" s="287"/>
      <c r="C1010" s="288"/>
      <c r="D1010" s="289"/>
      <c r="E1010" s="290"/>
      <c r="F1010" s="291"/>
      <c r="G1010" s="291"/>
      <c r="H1010" s="291"/>
      <c r="I1010" s="291"/>
      <c r="J1010" s="291"/>
      <c r="K1010" s="291"/>
      <c r="L1010" s="291"/>
      <c r="M1010" s="291"/>
      <c r="N1010" s="291"/>
      <c r="O1010" s="292"/>
      <c r="P1010" s="291"/>
      <c r="Q1010" s="291"/>
      <c r="R1010" s="291"/>
      <c r="S1010" s="291"/>
      <c r="T1010" s="291"/>
      <c r="U1010" s="291"/>
      <c r="V1010" s="291"/>
      <c r="W1010" s="291"/>
      <c r="X1010" s="291"/>
      <c r="Y1010" s="291"/>
      <c r="Z1010" s="291"/>
      <c r="AA1010" s="292"/>
      <c r="AB1010" s="292"/>
      <c r="AC1010" s="293"/>
      <c r="AD1010" s="293"/>
      <c r="AE1010" s="294"/>
      <c r="AF1010" s="294"/>
      <c r="AG1010" s="294"/>
      <c r="AH1010" s="294"/>
    </row>
    <row r="1011" spans="2:34" s="295" customFormat="1">
      <c r="B1011" s="287"/>
      <c r="C1011" s="288"/>
      <c r="D1011" s="289"/>
      <c r="E1011" s="290"/>
      <c r="F1011" s="291"/>
      <c r="G1011" s="291"/>
      <c r="H1011" s="291"/>
      <c r="I1011" s="291"/>
      <c r="J1011" s="291"/>
      <c r="K1011" s="291"/>
      <c r="L1011" s="291"/>
      <c r="M1011" s="291"/>
      <c r="N1011" s="291"/>
      <c r="O1011" s="292"/>
      <c r="P1011" s="291"/>
      <c r="Q1011" s="291"/>
      <c r="R1011" s="291"/>
      <c r="S1011" s="291"/>
      <c r="T1011" s="291"/>
      <c r="U1011" s="291"/>
      <c r="V1011" s="291"/>
      <c r="W1011" s="291"/>
      <c r="X1011" s="291"/>
      <c r="Y1011" s="291"/>
      <c r="Z1011" s="291"/>
      <c r="AA1011" s="292"/>
      <c r="AB1011" s="292"/>
      <c r="AC1011" s="293"/>
      <c r="AD1011" s="293"/>
      <c r="AE1011" s="294"/>
      <c r="AF1011" s="294"/>
      <c r="AG1011" s="294"/>
      <c r="AH1011" s="294"/>
    </row>
    <row r="1012" spans="2:34" s="295" customFormat="1">
      <c r="B1012" s="287"/>
      <c r="C1012" s="288"/>
      <c r="D1012" s="289"/>
      <c r="E1012" s="290"/>
      <c r="F1012" s="291"/>
      <c r="G1012" s="291"/>
      <c r="H1012" s="291"/>
      <c r="I1012" s="291"/>
      <c r="J1012" s="291"/>
      <c r="K1012" s="291"/>
      <c r="L1012" s="291"/>
      <c r="M1012" s="291"/>
      <c r="N1012" s="291"/>
      <c r="O1012" s="292"/>
      <c r="P1012" s="291"/>
      <c r="Q1012" s="291"/>
      <c r="R1012" s="291"/>
      <c r="S1012" s="291"/>
      <c r="T1012" s="291"/>
      <c r="U1012" s="291"/>
      <c r="V1012" s="291"/>
      <c r="W1012" s="291"/>
      <c r="X1012" s="291"/>
      <c r="Y1012" s="291"/>
      <c r="Z1012" s="291"/>
      <c r="AA1012" s="292"/>
      <c r="AB1012" s="292"/>
      <c r="AC1012" s="293"/>
      <c r="AD1012" s="293"/>
      <c r="AE1012" s="294"/>
      <c r="AF1012" s="294"/>
      <c r="AG1012" s="294"/>
      <c r="AH1012" s="294"/>
    </row>
    <row r="1013" spans="2:34" s="295" customFormat="1">
      <c r="B1013" s="287"/>
      <c r="C1013" s="288"/>
      <c r="D1013" s="289"/>
      <c r="E1013" s="290"/>
      <c r="F1013" s="291"/>
      <c r="G1013" s="291"/>
      <c r="H1013" s="291"/>
      <c r="I1013" s="291"/>
      <c r="J1013" s="291"/>
      <c r="K1013" s="291"/>
      <c r="L1013" s="291"/>
      <c r="M1013" s="291"/>
      <c r="N1013" s="291"/>
      <c r="O1013" s="292"/>
      <c r="P1013" s="291"/>
      <c r="Q1013" s="291"/>
      <c r="R1013" s="291"/>
      <c r="S1013" s="291"/>
      <c r="T1013" s="291"/>
      <c r="U1013" s="291"/>
      <c r="V1013" s="291"/>
      <c r="W1013" s="291"/>
      <c r="X1013" s="291"/>
      <c r="Y1013" s="291"/>
      <c r="Z1013" s="291"/>
      <c r="AA1013" s="292"/>
      <c r="AB1013" s="292"/>
      <c r="AC1013" s="293"/>
      <c r="AD1013" s="293"/>
      <c r="AE1013" s="294"/>
      <c r="AF1013" s="294"/>
      <c r="AG1013" s="294"/>
      <c r="AH1013" s="294"/>
    </row>
    <row r="1014" spans="2:34" s="295" customFormat="1">
      <c r="B1014" s="287"/>
      <c r="C1014" s="288"/>
      <c r="D1014" s="289"/>
      <c r="E1014" s="290"/>
      <c r="F1014" s="291"/>
      <c r="G1014" s="291"/>
      <c r="H1014" s="291"/>
      <c r="I1014" s="291"/>
      <c r="J1014" s="291"/>
      <c r="K1014" s="291"/>
      <c r="L1014" s="291"/>
      <c r="M1014" s="291"/>
      <c r="N1014" s="291"/>
      <c r="O1014" s="292"/>
      <c r="P1014" s="291"/>
      <c r="Q1014" s="291"/>
      <c r="R1014" s="291"/>
      <c r="S1014" s="291"/>
      <c r="T1014" s="291"/>
      <c r="U1014" s="291"/>
      <c r="V1014" s="291"/>
      <c r="W1014" s="291"/>
      <c r="X1014" s="291"/>
      <c r="Y1014" s="291"/>
      <c r="Z1014" s="291"/>
      <c r="AA1014" s="292"/>
      <c r="AB1014" s="292"/>
      <c r="AC1014" s="293"/>
      <c r="AD1014" s="293"/>
      <c r="AE1014" s="294"/>
      <c r="AF1014" s="294"/>
      <c r="AG1014" s="294"/>
      <c r="AH1014" s="294"/>
    </row>
    <row r="1015" spans="2:34" s="295" customFormat="1">
      <c r="B1015" s="287"/>
      <c r="C1015" s="288"/>
      <c r="D1015" s="289"/>
      <c r="E1015" s="290"/>
      <c r="F1015" s="291"/>
      <c r="G1015" s="291"/>
      <c r="H1015" s="291"/>
      <c r="I1015" s="291"/>
      <c r="J1015" s="291"/>
      <c r="K1015" s="291"/>
      <c r="L1015" s="291"/>
      <c r="M1015" s="291"/>
      <c r="N1015" s="291"/>
      <c r="O1015" s="292"/>
      <c r="P1015" s="291"/>
      <c r="Q1015" s="291"/>
      <c r="R1015" s="291"/>
      <c r="S1015" s="291"/>
      <c r="T1015" s="291"/>
      <c r="U1015" s="291"/>
      <c r="V1015" s="291"/>
      <c r="W1015" s="291"/>
      <c r="X1015" s="291"/>
      <c r="Y1015" s="291"/>
      <c r="Z1015" s="291"/>
      <c r="AA1015" s="292"/>
      <c r="AB1015" s="292"/>
      <c r="AC1015" s="293"/>
      <c r="AD1015" s="293"/>
      <c r="AE1015" s="294"/>
      <c r="AF1015" s="294"/>
      <c r="AG1015" s="294"/>
      <c r="AH1015" s="294"/>
    </row>
    <row r="1016" spans="2:34" s="295" customFormat="1">
      <c r="B1016" s="287"/>
      <c r="C1016" s="288"/>
      <c r="D1016" s="289"/>
      <c r="E1016" s="290"/>
      <c r="F1016" s="291"/>
      <c r="G1016" s="291"/>
      <c r="H1016" s="291"/>
      <c r="I1016" s="291"/>
      <c r="J1016" s="291"/>
      <c r="K1016" s="291"/>
      <c r="L1016" s="291"/>
      <c r="M1016" s="291"/>
      <c r="N1016" s="291"/>
      <c r="O1016" s="292"/>
      <c r="P1016" s="291"/>
      <c r="Q1016" s="291"/>
      <c r="R1016" s="291"/>
      <c r="S1016" s="291"/>
      <c r="T1016" s="291"/>
      <c r="U1016" s="291"/>
      <c r="V1016" s="291"/>
      <c r="W1016" s="291"/>
      <c r="X1016" s="291"/>
      <c r="Y1016" s="291"/>
      <c r="Z1016" s="291"/>
      <c r="AA1016" s="292"/>
      <c r="AB1016" s="292"/>
      <c r="AC1016" s="293"/>
      <c r="AD1016" s="293"/>
      <c r="AE1016" s="294"/>
      <c r="AF1016" s="294"/>
      <c r="AG1016" s="294"/>
      <c r="AH1016" s="294"/>
    </row>
    <row r="1017" spans="2:34" s="295" customFormat="1">
      <c r="B1017" s="287"/>
      <c r="C1017" s="288"/>
      <c r="D1017" s="289"/>
      <c r="E1017" s="290"/>
      <c r="F1017" s="291"/>
      <c r="G1017" s="291"/>
      <c r="H1017" s="291"/>
      <c r="I1017" s="291"/>
      <c r="J1017" s="291"/>
      <c r="K1017" s="291"/>
      <c r="L1017" s="291"/>
      <c r="M1017" s="291"/>
      <c r="N1017" s="291"/>
      <c r="O1017" s="292"/>
      <c r="P1017" s="291"/>
      <c r="Q1017" s="291"/>
      <c r="R1017" s="291"/>
      <c r="S1017" s="291"/>
      <c r="T1017" s="291"/>
      <c r="U1017" s="291"/>
      <c r="V1017" s="291"/>
      <c r="W1017" s="291"/>
      <c r="X1017" s="291"/>
      <c r="Y1017" s="291"/>
      <c r="Z1017" s="291"/>
      <c r="AA1017" s="292"/>
      <c r="AB1017" s="292"/>
      <c r="AC1017" s="293"/>
      <c r="AD1017" s="293"/>
      <c r="AE1017" s="294"/>
      <c r="AF1017" s="294"/>
      <c r="AG1017" s="294"/>
      <c r="AH1017" s="294"/>
    </row>
    <row r="1018" spans="2:34" s="295" customFormat="1">
      <c r="B1018" s="287"/>
      <c r="C1018" s="288"/>
      <c r="D1018" s="289"/>
      <c r="E1018" s="290"/>
      <c r="F1018" s="291"/>
      <c r="G1018" s="291"/>
      <c r="H1018" s="291"/>
      <c r="I1018" s="291"/>
      <c r="J1018" s="291"/>
      <c r="K1018" s="291"/>
      <c r="L1018" s="291"/>
      <c r="M1018" s="291"/>
      <c r="N1018" s="291"/>
      <c r="O1018" s="292"/>
      <c r="P1018" s="291"/>
      <c r="Q1018" s="291"/>
      <c r="R1018" s="291"/>
      <c r="S1018" s="291"/>
      <c r="T1018" s="291"/>
      <c r="U1018" s="291"/>
      <c r="V1018" s="291"/>
      <c r="W1018" s="291"/>
      <c r="X1018" s="291"/>
      <c r="Y1018" s="291"/>
      <c r="Z1018" s="291"/>
      <c r="AA1018" s="292"/>
      <c r="AB1018" s="292"/>
      <c r="AC1018" s="293"/>
      <c r="AD1018" s="293"/>
      <c r="AE1018" s="294"/>
      <c r="AF1018" s="294"/>
      <c r="AG1018" s="294"/>
      <c r="AH1018" s="294"/>
    </row>
    <row r="1019" spans="2:34" s="295" customFormat="1">
      <c r="B1019" s="287"/>
      <c r="C1019" s="288"/>
      <c r="D1019" s="289"/>
      <c r="E1019" s="290"/>
      <c r="F1019" s="291"/>
      <c r="G1019" s="291"/>
      <c r="H1019" s="291"/>
      <c r="I1019" s="291"/>
      <c r="J1019" s="291"/>
      <c r="K1019" s="291"/>
      <c r="L1019" s="291"/>
      <c r="M1019" s="291"/>
      <c r="N1019" s="291"/>
      <c r="O1019" s="292"/>
      <c r="P1019" s="291"/>
      <c r="Q1019" s="291"/>
      <c r="R1019" s="291"/>
      <c r="S1019" s="291"/>
      <c r="T1019" s="291"/>
      <c r="U1019" s="291"/>
      <c r="V1019" s="291"/>
      <c r="W1019" s="291"/>
      <c r="X1019" s="291"/>
      <c r="Y1019" s="291"/>
      <c r="Z1019" s="291"/>
      <c r="AA1019" s="292"/>
      <c r="AB1019" s="292"/>
      <c r="AC1019" s="293"/>
      <c r="AD1019" s="293"/>
      <c r="AE1019" s="294"/>
      <c r="AF1019" s="294"/>
      <c r="AG1019" s="294"/>
      <c r="AH1019" s="294"/>
    </row>
    <row r="1020" spans="2:34" s="295" customFormat="1">
      <c r="B1020" s="287"/>
      <c r="C1020" s="288"/>
      <c r="D1020" s="289"/>
      <c r="E1020" s="290"/>
      <c r="F1020" s="291"/>
      <c r="G1020" s="291"/>
      <c r="H1020" s="291"/>
      <c r="I1020" s="291"/>
      <c r="J1020" s="291"/>
      <c r="K1020" s="291"/>
      <c r="L1020" s="291"/>
      <c r="M1020" s="291"/>
      <c r="N1020" s="291"/>
      <c r="O1020" s="292"/>
      <c r="P1020" s="291"/>
      <c r="Q1020" s="291"/>
      <c r="R1020" s="291"/>
      <c r="S1020" s="291"/>
      <c r="T1020" s="291"/>
      <c r="U1020" s="291"/>
      <c r="V1020" s="291"/>
      <c r="W1020" s="291"/>
      <c r="X1020" s="291"/>
      <c r="Y1020" s="291"/>
      <c r="Z1020" s="291"/>
      <c r="AA1020" s="292"/>
      <c r="AB1020" s="292"/>
      <c r="AC1020" s="293"/>
      <c r="AD1020" s="293"/>
      <c r="AE1020" s="294"/>
      <c r="AF1020" s="294"/>
      <c r="AG1020" s="294"/>
      <c r="AH1020" s="294"/>
    </row>
    <row r="1021" spans="2:34" s="295" customFormat="1">
      <c r="B1021" s="287"/>
      <c r="C1021" s="288"/>
      <c r="D1021" s="289"/>
      <c r="E1021" s="290"/>
      <c r="F1021" s="291"/>
      <c r="G1021" s="291"/>
      <c r="H1021" s="291"/>
      <c r="I1021" s="291"/>
      <c r="J1021" s="291"/>
      <c r="K1021" s="291"/>
      <c r="L1021" s="291"/>
      <c r="M1021" s="291"/>
      <c r="N1021" s="291"/>
      <c r="O1021" s="292"/>
      <c r="P1021" s="291"/>
      <c r="Q1021" s="291"/>
      <c r="R1021" s="291"/>
      <c r="S1021" s="291"/>
      <c r="T1021" s="291"/>
      <c r="U1021" s="291"/>
      <c r="V1021" s="291"/>
      <c r="W1021" s="291"/>
      <c r="X1021" s="291"/>
      <c r="Y1021" s="291"/>
      <c r="Z1021" s="291"/>
      <c r="AA1021" s="292"/>
      <c r="AB1021" s="292"/>
      <c r="AC1021" s="293"/>
      <c r="AD1021" s="293"/>
      <c r="AE1021" s="294"/>
      <c r="AF1021" s="294"/>
      <c r="AG1021" s="294"/>
      <c r="AH1021" s="294"/>
    </row>
    <row r="1022" spans="2:34" s="295" customFormat="1">
      <c r="B1022" s="287"/>
      <c r="C1022" s="288"/>
      <c r="D1022" s="289"/>
      <c r="E1022" s="290"/>
      <c r="F1022" s="291"/>
      <c r="G1022" s="291"/>
      <c r="H1022" s="291"/>
      <c r="I1022" s="291"/>
      <c r="J1022" s="291"/>
      <c r="K1022" s="291"/>
      <c r="L1022" s="291"/>
      <c r="M1022" s="291"/>
      <c r="N1022" s="291"/>
      <c r="O1022" s="292"/>
      <c r="P1022" s="291"/>
      <c r="Q1022" s="291"/>
      <c r="R1022" s="291"/>
      <c r="S1022" s="291"/>
      <c r="T1022" s="291"/>
      <c r="U1022" s="291"/>
      <c r="V1022" s="291"/>
      <c r="W1022" s="291"/>
      <c r="X1022" s="291"/>
      <c r="Y1022" s="291"/>
      <c r="Z1022" s="291"/>
      <c r="AA1022" s="292"/>
      <c r="AB1022" s="292"/>
      <c r="AC1022" s="293"/>
      <c r="AD1022" s="293"/>
      <c r="AE1022" s="294"/>
      <c r="AF1022" s="294"/>
      <c r="AG1022" s="294"/>
      <c r="AH1022" s="294"/>
    </row>
    <row r="1023" spans="2:34" s="295" customFormat="1">
      <c r="B1023" s="287"/>
      <c r="C1023" s="288"/>
      <c r="D1023" s="289"/>
      <c r="E1023" s="290"/>
      <c r="F1023" s="291"/>
      <c r="G1023" s="291"/>
      <c r="H1023" s="291"/>
      <c r="I1023" s="291"/>
      <c r="J1023" s="291"/>
      <c r="K1023" s="291"/>
      <c r="L1023" s="291"/>
      <c r="M1023" s="291"/>
      <c r="N1023" s="291"/>
      <c r="O1023" s="292"/>
      <c r="P1023" s="291"/>
      <c r="Q1023" s="291"/>
      <c r="R1023" s="291"/>
      <c r="S1023" s="291"/>
      <c r="T1023" s="291"/>
      <c r="U1023" s="291"/>
      <c r="V1023" s="291"/>
      <c r="W1023" s="291"/>
      <c r="X1023" s="291"/>
      <c r="Y1023" s="291"/>
      <c r="Z1023" s="291"/>
      <c r="AA1023" s="292"/>
      <c r="AB1023" s="292"/>
      <c r="AC1023" s="293"/>
      <c r="AD1023" s="293"/>
      <c r="AE1023" s="294"/>
      <c r="AF1023" s="294"/>
      <c r="AG1023" s="294"/>
      <c r="AH1023" s="294"/>
    </row>
    <row r="1024" spans="2:34" s="295" customFormat="1">
      <c r="B1024" s="287"/>
      <c r="C1024" s="288"/>
      <c r="D1024" s="289"/>
      <c r="E1024" s="290"/>
      <c r="F1024" s="291"/>
      <c r="G1024" s="291"/>
      <c r="H1024" s="291"/>
      <c r="I1024" s="291"/>
      <c r="J1024" s="291"/>
      <c r="K1024" s="291"/>
      <c r="L1024" s="291"/>
      <c r="M1024" s="291"/>
      <c r="N1024" s="291"/>
      <c r="O1024" s="292"/>
      <c r="P1024" s="291"/>
      <c r="Q1024" s="291"/>
      <c r="R1024" s="291"/>
      <c r="S1024" s="291"/>
      <c r="T1024" s="291"/>
      <c r="U1024" s="291"/>
      <c r="V1024" s="291"/>
      <c r="W1024" s="291"/>
      <c r="X1024" s="291"/>
      <c r="Y1024" s="291"/>
      <c r="Z1024" s="291"/>
      <c r="AA1024" s="292"/>
      <c r="AB1024" s="292"/>
      <c r="AC1024" s="293"/>
      <c r="AD1024" s="293"/>
      <c r="AE1024" s="294"/>
      <c r="AF1024" s="294"/>
      <c r="AG1024" s="294"/>
      <c r="AH1024" s="294"/>
    </row>
    <row r="1025" spans="2:34" s="295" customFormat="1">
      <c r="B1025" s="287"/>
      <c r="C1025" s="288"/>
      <c r="D1025" s="289"/>
      <c r="E1025" s="290"/>
      <c r="F1025" s="291"/>
      <c r="G1025" s="291"/>
      <c r="H1025" s="291"/>
      <c r="I1025" s="291"/>
      <c r="J1025" s="291"/>
      <c r="K1025" s="291"/>
      <c r="L1025" s="291"/>
      <c r="M1025" s="291"/>
      <c r="N1025" s="291"/>
      <c r="O1025" s="292"/>
      <c r="P1025" s="291"/>
      <c r="Q1025" s="291"/>
      <c r="R1025" s="291"/>
      <c r="S1025" s="291"/>
      <c r="T1025" s="291"/>
      <c r="U1025" s="291"/>
      <c r="V1025" s="291"/>
      <c r="W1025" s="291"/>
      <c r="X1025" s="291"/>
      <c r="Y1025" s="291"/>
      <c r="Z1025" s="291"/>
      <c r="AA1025" s="292"/>
      <c r="AB1025" s="292"/>
      <c r="AC1025" s="293"/>
      <c r="AD1025" s="293"/>
      <c r="AE1025" s="294"/>
      <c r="AF1025" s="294"/>
      <c r="AG1025" s="294"/>
      <c r="AH1025" s="294"/>
    </row>
    <row r="1026" spans="2:34" s="295" customFormat="1">
      <c r="B1026" s="287"/>
      <c r="C1026" s="288"/>
      <c r="D1026" s="289"/>
      <c r="E1026" s="290"/>
      <c r="F1026" s="291"/>
      <c r="G1026" s="291"/>
      <c r="H1026" s="291"/>
      <c r="I1026" s="291"/>
      <c r="J1026" s="291"/>
      <c r="K1026" s="291"/>
      <c r="L1026" s="291"/>
      <c r="M1026" s="291"/>
      <c r="N1026" s="291"/>
      <c r="O1026" s="292"/>
      <c r="P1026" s="291"/>
      <c r="Q1026" s="291"/>
      <c r="R1026" s="291"/>
      <c r="S1026" s="291"/>
      <c r="T1026" s="291"/>
      <c r="U1026" s="291"/>
      <c r="V1026" s="291"/>
      <c r="W1026" s="291"/>
      <c r="X1026" s="291"/>
      <c r="Y1026" s="291"/>
      <c r="Z1026" s="291"/>
      <c r="AA1026" s="292"/>
      <c r="AB1026" s="292"/>
      <c r="AC1026" s="293"/>
      <c r="AD1026" s="293"/>
      <c r="AE1026" s="294"/>
      <c r="AF1026" s="294"/>
      <c r="AG1026" s="294"/>
      <c r="AH1026" s="294"/>
    </row>
    <row r="1027" spans="2:34" s="295" customFormat="1">
      <c r="B1027" s="287"/>
      <c r="C1027" s="288"/>
      <c r="D1027" s="289"/>
      <c r="E1027" s="290"/>
      <c r="F1027" s="291"/>
      <c r="G1027" s="291"/>
      <c r="H1027" s="291"/>
      <c r="I1027" s="291"/>
      <c r="J1027" s="291"/>
      <c r="K1027" s="291"/>
      <c r="L1027" s="291"/>
      <c r="M1027" s="291"/>
      <c r="N1027" s="291"/>
      <c r="O1027" s="292"/>
      <c r="P1027" s="291"/>
      <c r="Q1027" s="291"/>
      <c r="R1027" s="291"/>
      <c r="S1027" s="291"/>
      <c r="T1027" s="291"/>
      <c r="U1027" s="291"/>
      <c r="V1027" s="291"/>
      <c r="W1027" s="291"/>
      <c r="X1027" s="291"/>
      <c r="Y1027" s="291"/>
      <c r="Z1027" s="291"/>
      <c r="AA1027" s="292"/>
      <c r="AB1027" s="292"/>
      <c r="AC1027" s="293"/>
      <c r="AD1027" s="293"/>
      <c r="AE1027" s="294"/>
      <c r="AF1027" s="294"/>
      <c r="AG1027" s="294"/>
      <c r="AH1027" s="294"/>
    </row>
    <row r="1028" spans="2:34" s="295" customFormat="1">
      <c r="B1028" s="287"/>
      <c r="C1028" s="288"/>
      <c r="D1028" s="289"/>
      <c r="E1028" s="290"/>
      <c r="F1028" s="291"/>
      <c r="G1028" s="291"/>
      <c r="H1028" s="291"/>
      <c r="I1028" s="291"/>
      <c r="J1028" s="291"/>
      <c r="K1028" s="291"/>
      <c r="L1028" s="291"/>
      <c r="M1028" s="291"/>
      <c r="N1028" s="291"/>
      <c r="O1028" s="292"/>
      <c r="P1028" s="291"/>
      <c r="Q1028" s="291"/>
      <c r="R1028" s="291"/>
      <c r="S1028" s="291"/>
      <c r="T1028" s="291"/>
      <c r="U1028" s="291"/>
      <c r="V1028" s="291"/>
      <c r="W1028" s="291"/>
      <c r="X1028" s="291"/>
      <c r="Y1028" s="291"/>
      <c r="Z1028" s="291"/>
      <c r="AA1028" s="292"/>
      <c r="AB1028" s="292"/>
      <c r="AC1028" s="293"/>
      <c r="AD1028" s="293"/>
      <c r="AE1028" s="294"/>
      <c r="AF1028" s="294"/>
      <c r="AG1028" s="294"/>
      <c r="AH1028" s="294"/>
    </row>
    <row r="1029" spans="2:34" s="295" customFormat="1">
      <c r="B1029" s="287"/>
      <c r="C1029" s="288"/>
      <c r="D1029" s="289"/>
      <c r="E1029" s="290"/>
      <c r="F1029" s="291"/>
      <c r="G1029" s="291"/>
      <c r="H1029" s="291"/>
      <c r="I1029" s="291"/>
      <c r="J1029" s="291"/>
      <c r="K1029" s="291"/>
      <c r="L1029" s="291"/>
      <c r="M1029" s="291"/>
      <c r="N1029" s="291"/>
      <c r="O1029" s="292"/>
      <c r="P1029" s="291"/>
      <c r="Q1029" s="291"/>
      <c r="R1029" s="291"/>
      <c r="S1029" s="291"/>
      <c r="T1029" s="291"/>
      <c r="U1029" s="291"/>
      <c r="V1029" s="291"/>
      <c r="W1029" s="291"/>
      <c r="X1029" s="291"/>
      <c r="Y1029" s="291"/>
      <c r="Z1029" s="291"/>
      <c r="AA1029" s="292"/>
      <c r="AB1029" s="292"/>
      <c r="AC1029" s="293"/>
      <c r="AD1029" s="293"/>
      <c r="AE1029" s="294"/>
      <c r="AF1029" s="294"/>
      <c r="AG1029" s="294"/>
      <c r="AH1029" s="294"/>
    </row>
    <row r="1030" spans="2:34" s="295" customFormat="1">
      <c r="B1030" s="287"/>
      <c r="C1030" s="288"/>
      <c r="D1030" s="289"/>
      <c r="E1030" s="290"/>
      <c r="F1030" s="291"/>
      <c r="G1030" s="291"/>
      <c r="H1030" s="291"/>
      <c r="I1030" s="291"/>
      <c r="J1030" s="291"/>
      <c r="K1030" s="291"/>
      <c r="L1030" s="291"/>
      <c r="M1030" s="291"/>
      <c r="N1030" s="291"/>
      <c r="O1030" s="292"/>
      <c r="P1030" s="291"/>
      <c r="Q1030" s="291"/>
      <c r="R1030" s="291"/>
      <c r="S1030" s="291"/>
      <c r="T1030" s="291"/>
      <c r="U1030" s="291"/>
      <c r="V1030" s="291"/>
      <c r="W1030" s="291"/>
      <c r="X1030" s="291"/>
      <c r="Y1030" s="291"/>
      <c r="Z1030" s="291"/>
      <c r="AA1030" s="292"/>
      <c r="AB1030" s="292"/>
      <c r="AC1030" s="293"/>
      <c r="AD1030" s="293"/>
      <c r="AE1030" s="294"/>
      <c r="AF1030" s="294"/>
      <c r="AG1030" s="294"/>
      <c r="AH1030" s="294"/>
    </row>
    <row r="1031" spans="2:34" s="295" customFormat="1">
      <c r="B1031" s="287"/>
      <c r="C1031" s="288"/>
      <c r="D1031" s="289"/>
      <c r="E1031" s="290"/>
      <c r="F1031" s="291"/>
      <c r="G1031" s="291"/>
      <c r="H1031" s="291"/>
      <c r="I1031" s="291"/>
      <c r="J1031" s="291"/>
      <c r="K1031" s="291"/>
      <c r="L1031" s="291"/>
      <c r="M1031" s="291"/>
      <c r="N1031" s="291"/>
      <c r="O1031" s="296"/>
      <c r="P1031" s="291"/>
      <c r="Q1031" s="291"/>
      <c r="R1031" s="291"/>
      <c r="S1031" s="291"/>
      <c r="T1031" s="291"/>
      <c r="U1031" s="291"/>
      <c r="V1031" s="291"/>
      <c r="W1031" s="291"/>
      <c r="X1031" s="291"/>
      <c r="Y1031" s="291"/>
      <c r="Z1031" s="291"/>
      <c r="AA1031" s="296"/>
      <c r="AB1031" s="296"/>
      <c r="AC1031" s="287"/>
      <c r="AD1031" s="287"/>
    </row>
    <row r="1032" spans="2:34" s="295" customFormat="1">
      <c r="B1032" s="287"/>
      <c r="C1032" s="288"/>
      <c r="D1032" s="289"/>
      <c r="E1032" s="290"/>
      <c r="F1032" s="291"/>
      <c r="G1032" s="291"/>
      <c r="H1032" s="291"/>
      <c r="I1032" s="291"/>
      <c r="J1032" s="291"/>
      <c r="K1032" s="291"/>
      <c r="L1032" s="291"/>
      <c r="M1032" s="291"/>
      <c r="N1032" s="291"/>
      <c r="O1032" s="296"/>
      <c r="P1032" s="291"/>
      <c r="Q1032" s="291"/>
      <c r="R1032" s="291"/>
      <c r="S1032" s="291"/>
      <c r="T1032" s="291"/>
      <c r="U1032" s="291"/>
      <c r="V1032" s="291"/>
      <c r="W1032" s="291"/>
      <c r="X1032" s="291"/>
      <c r="Y1032" s="291"/>
      <c r="Z1032" s="291"/>
      <c r="AA1032" s="296"/>
      <c r="AB1032" s="296"/>
      <c r="AC1032" s="287"/>
      <c r="AD1032" s="287"/>
    </row>
    <row r="1033" spans="2:34" s="295" customFormat="1">
      <c r="B1033" s="287"/>
      <c r="C1033" s="288"/>
      <c r="D1033" s="289"/>
      <c r="E1033" s="290"/>
      <c r="F1033" s="291"/>
      <c r="G1033" s="291"/>
      <c r="H1033" s="291"/>
      <c r="I1033" s="291"/>
      <c r="J1033" s="291"/>
      <c r="K1033" s="291"/>
      <c r="L1033" s="291"/>
      <c r="M1033" s="291"/>
      <c r="N1033" s="291"/>
      <c r="O1033" s="296"/>
      <c r="P1033" s="291"/>
      <c r="Q1033" s="291"/>
      <c r="R1033" s="291"/>
      <c r="S1033" s="291"/>
      <c r="T1033" s="291"/>
      <c r="U1033" s="291"/>
      <c r="V1033" s="291"/>
      <c r="W1033" s="291"/>
      <c r="X1033" s="291"/>
      <c r="Y1033" s="291"/>
      <c r="Z1033" s="291"/>
      <c r="AA1033" s="296"/>
      <c r="AB1033" s="296"/>
      <c r="AC1033" s="287"/>
      <c r="AD1033" s="287"/>
    </row>
    <row r="1034" spans="2:34" s="295" customFormat="1">
      <c r="B1034" s="287"/>
      <c r="C1034" s="288"/>
      <c r="D1034" s="289"/>
      <c r="E1034" s="290"/>
      <c r="F1034" s="291"/>
      <c r="G1034" s="291"/>
      <c r="H1034" s="291"/>
      <c r="I1034" s="291"/>
      <c r="J1034" s="291"/>
      <c r="K1034" s="291"/>
      <c r="L1034" s="291"/>
      <c r="M1034" s="291"/>
      <c r="N1034" s="291"/>
      <c r="O1034" s="296"/>
      <c r="P1034" s="291"/>
      <c r="Q1034" s="291"/>
      <c r="R1034" s="291"/>
      <c r="S1034" s="291"/>
      <c r="T1034" s="291"/>
      <c r="U1034" s="291"/>
      <c r="V1034" s="291"/>
      <c r="W1034" s="291"/>
      <c r="X1034" s="291"/>
      <c r="Y1034" s="291"/>
      <c r="Z1034" s="291"/>
      <c r="AA1034" s="296"/>
      <c r="AB1034" s="296"/>
      <c r="AC1034" s="287"/>
      <c r="AD1034" s="287"/>
    </row>
    <row r="1035" spans="2:34" s="295" customFormat="1">
      <c r="B1035" s="287"/>
      <c r="C1035" s="288"/>
      <c r="D1035" s="289"/>
      <c r="E1035" s="290"/>
      <c r="F1035" s="291"/>
      <c r="G1035" s="291"/>
      <c r="H1035" s="291"/>
      <c r="I1035" s="291"/>
      <c r="J1035" s="291"/>
      <c r="K1035" s="291"/>
      <c r="L1035" s="291"/>
      <c r="M1035" s="291"/>
      <c r="N1035" s="291"/>
      <c r="O1035" s="296"/>
      <c r="P1035" s="291"/>
      <c r="Q1035" s="291"/>
      <c r="R1035" s="291"/>
      <c r="S1035" s="291"/>
      <c r="T1035" s="291"/>
      <c r="U1035" s="291"/>
      <c r="V1035" s="291"/>
      <c r="W1035" s="291"/>
      <c r="X1035" s="291"/>
      <c r="Y1035" s="291"/>
      <c r="Z1035" s="291"/>
      <c r="AA1035" s="296"/>
      <c r="AB1035" s="296"/>
      <c r="AC1035" s="287"/>
      <c r="AD1035" s="287"/>
    </row>
    <row r="1036" spans="2:34" s="295" customFormat="1">
      <c r="B1036" s="287"/>
      <c r="C1036" s="288"/>
      <c r="D1036" s="289"/>
      <c r="E1036" s="290"/>
      <c r="F1036" s="291"/>
      <c r="G1036" s="291"/>
      <c r="H1036" s="291"/>
      <c r="I1036" s="291"/>
      <c r="J1036" s="291"/>
      <c r="K1036" s="291"/>
      <c r="L1036" s="291"/>
      <c r="M1036" s="291"/>
      <c r="N1036" s="291"/>
      <c r="O1036" s="296"/>
      <c r="P1036" s="291"/>
      <c r="Q1036" s="291"/>
      <c r="R1036" s="291"/>
      <c r="S1036" s="291"/>
      <c r="T1036" s="291"/>
      <c r="U1036" s="291"/>
      <c r="V1036" s="291"/>
      <c r="W1036" s="291"/>
      <c r="X1036" s="291"/>
      <c r="Y1036" s="291"/>
      <c r="Z1036" s="291"/>
      <c r="AA1036" s="296"/>
      <c r="AB1036" s="296"/>
      <c r="AC1036" s="287"/>
      <c r="AD1036" s="287"/>
    </row>
    <row r="1037" spans="2:34" s="295" customFormat="1">
      <c r="B1037" s="287"/>
      <c r="C1037" s="288"/>
      <c r="D1037" s="289"/>
      <c r="E1037" s="290"/>
      <c r="F1037" s="291"/>
      <c r="G1037" s="291"/>
      <c r="H1037" s="291"/>
      <c r="I1037" s="291"/>
      <c r="J1037" s="291"/>
      <c r="K1037" s="291"/>
      <c r="L1037" s="291"/>
      <c r="M1037" s="291"/>
      <c r="N1037" s="291"/>
      <c r="O1037" s="296"/>
      <c r="P1037" s="291"/>
      <c r="Q1037" s="291"/>
      <c r="R1037" s="291"/>
      <c r="S1037" s="291"/>
      <c r="T1037" s="291"/>
      <c r="U1037" s="291"/>
      <c r="V1037" s="291"/>
      <c r="W1037" s="291"/>
      <c r="X1037" s="291"/>
      <c r="Y1037" s="291"/>
      <c r="Z1037" s="291"/>
      <c r="AA1037" s="296"/>
      <c r="AB1037" s="296"/>
      <c r="AC1037" s="287"/>
      <c r="AD1037" s="287"/>
    </row>
    <row r="1038" spans="2:34" s="295" customFormat="1">
      <c r="B1038" s="287"/>
      <c r="C1038" s="288"/>
      <c r="D1038" s="289"/>
      <c r="E1038" s="290"/>
      <c r="F1038" s="291"/>
      <c r="G1038" s="291"/>
      <c r="H1038" s="291"/>
      <c r="I1038" s="291"/>
      <c r="J1038" s="291"/>
      <c r="K1038" s="291"/>
      <c r="L1038" s="291"/>
      <c r="M1038" s="291"/>
      <c r="N1038" s="291"/>
      <c r="O1038" s="296"/>
      <c r="P1038" s="291"/>
      <c r="Q1038" s="291"/>
      <c r="R1038" s="291"/>
      <c r="S1038" s="291"/>
      <c r="T1038" s="291"/>
      <c r="U1038" s="291"/>
      <c r="V1038" s="291"/>
      <c r="W1038" s="291"/>
      <c r="X1038" s="291"/>
      <c r="Y1038" s="291"/>
      <c r="Z1038" s="291"/>
      <c r="AA1038" s="296"/>
      <c r="AB1038" s="296"/>
      <c r="AC1038" s="287"/>
      <c r="AD1038" s="287"/>
    </row>
    <row r="1039" spans="2:34" s="295" customFormat="1">
      <c r="B1039" s="287"/>
      <c r="C1039" s="288"/>
      <c r="D1039" s="289"/>
      <c r="E1039" s="290"/>
      <c r="F1039" s="291"/>
      <c r="G1039" s="291"/>
      <c r="H1039" s="291"/>
      <c r="I1039" s="291"/>
      <c r="J1039" s="291"/>
      <c r="K1039" s="291"/>
      <c r="L1039" s="291"/>
      <c r="M1039" s="291"/>
      <c r="N1039" s="291"/>
      <c r="O1039" s="291"/>
      <c r="P1039" s="291"/>
      <c r="Q1039" s="291"/>
      <c r="R1039" s="291"/>
      <c r="S1039" s="291"/>
      <c r="T1039" s="291"/>
      <c r="U1039" s="291"/>
      <c r="V1039" s="291"/>
      <c r="W1039" s="291"/>
      <c r="X1039" s="291"/>
      <c r="Y1039" s="291"/>
      <c r="Z1039" s="291"/>
      <c r="AA1039" s="291"/>
      <c r="AB1039" s="291"/>
      <c r="AC1039" s="287"/>
      <c r="AD1039" s="287"/>
    </row>
    <row r="1040" spans="2:34" s="295" customFormat="1">
      <c r="B1040" s="287"/>
      <c r="C1040" s="288"/>
      <c r="D1040" s="289"/>
      <c r="E1040" s="290"/>
      <c r="F1040" s="291"/>
      <c r="G1040" s="291"/>
      <c r="H1040" s="291"/>
      <c r="I1040" s="291"/>
      <c r="J1040" s="291"/>
      <c r="K1040" s="291"/>
      <c r="L1040" s="291"/>
      <c r="M1040" s="291"/>
      <c r="N1040" s="291"/>
      <c r="O1040" s="291"/>
      <c r="P1040" s="291"/>
      <c r="Q1040" s="291"/>
      <c r="R1040" s="291"/>
      <c r="S1040" s="291"/>
      <c r="T1040" s="291"/>
      <c r="U1040" s="291"/>
      <c r="V1040" s="291"/>
      <c r="W1040" s="291"/>
      <c r="X1040" s="291"/>
      <c r="Y1040" s="291"/>
      <c r="Z1040" s="291"/>
      <c r="AA1040" s="291"/>
      <c r="AB1040" s="291"/>
      <c r="AC1040" s="287"/>
      <c r="AD1040" s="287"/>
    </row>
    <row r="1041" spans="2:30" s="295" customFormat="1">
      <c r="B1041" s="287"/>
      <c r="C1041" s="288"/>
      <c r="D1041" s="289"/>
      <c r="E1041" s="290"/>
      <c r="F1041" s="291"/>
      <c r="G1041" s="291"/>
      <c r="H1041" s="291"/>
      <c r="I1041" s="291"/>
      <c r="J1041" s="291"/>
      <c r="K1041" s="291"/>
      <c r="L1041" s="291"/>
      <c r="M1041" s="291"/>
      <c r="N1041" s="291"/>
      <c r="O1041" s="291"/>
      <c r="P1041" s="291"/>
      <c r="Q1041" s="291"/>
      <c r="R1041" s="291"/>
      <c r="S1041" s="291"/>
      <c r="T1041" s="291"/>
      <c r="U1041" s="291"/>
      <c r="V1041" s="291"/>
      <c r="W1041" s="291"/>
      <c r="X1041" s="291"/>
      <c r="Y1041" s="291"/>
      <c r="Z1041" s="291"/>
      <c r="AA1041" s="291"/>
      <c r="AB1041" s="291"/>
      <c r="AC1041" s="287"/>
      <c r="AD1041" s="287"/>
    </row>
    <row r="1042" spans="2:30" s="295" customFormat="1">
      <c r="B1042" s="287"/>
      <c r="C1042" s="288"/>
      <c r="D1042" s="289"/>
      <c r="E1042" s="290"/>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87"/>
      <c r="AD1042" s="287"/>
    </row>
    <row r="1043" spans="2:30" s="295" customFormat="1">
      <c r="B1043" s="287"/>
      <c r="C1043" s="288"/>
      <c r="D1043" s="289"/>
      <c r="E1043" s="290"/>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87"/>
      <c r="AD1043" s="287"/>
    </row>
    <row r="1044" spans="2:30" s="295" customFormat="1">
      <c r="B1044" s="287"/>
      <c r="C1044" s="288"/>
      <c r="D1044" s="289"/>
      <c r="E1044" s="290"/>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87"/>
      <c r="AD1044" s="287"/>
    </row>
    <row r="1045" spans="2:30" s="295" customFormat="1">
      <c r="B1045" s="287"/>
      <c r="C1045" s="288"/>
      <c r="D1045" s="289"/>
      <c r="E1045" s="290"/>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87"/>
      <c r="AD1045" s="287"/>
    </row>
    <row r="1046" spans="2:30" s="295" customFormat="1">
      <c r="B1046" s="287"/>
      <c r="C1046" s="288"/>
      <c r="D1046" s="289"/>
      <c r="E1046" s="290"/>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87"/>
      <c r="AD1046" s="287"/>
    </row>
    <row r="1047" spans="2:30" s="295" customFormat="1">
      <c r="B1047" s="287"/>
      <c r="C1047" s="288"/>
      <c r="D1047" s="289"/>
      <c r="E1047" s="290"/>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87"/>
      <c r="AD1047" s="287"/>
    </row>
    <row r="1048" spans="2:30" s="295" customFormat="1">
      <c r="B1048" s="287"/>
      <c r="C1048" s="288"/>
      <c r="D1048" s="289"/>
      <c r="E1048" s="290"/>
      <c r="F1048" s="291"/>
      <c r="G1048" s="291"/>
      <c r="H1048" s="291"/>
      <c r="I1048" s="291"/>
      <c r="J1048" s="291"/>
      <c r="K1048" s="291"/>
      <c r="L1048" s="291"/>
      <c r="M1048" s="291"/>
      <c r="N1048" s="291"/>
      <c r="O1048" s="291"/>
      <c r="P1048" s="291"/>
      <c r="Q1048" s="291"/>
      <c r="R1048" s="291"/>
      <c r="S1048" s="291"/>
      <c r="T1048" s="291"/>
      <c r="U1048" s="291"/>
      <c r="V1048" s="291"/>
      <c r="W1048" s="291"/>
      <c r="X1048" s="291"/>
      <c r="Y1048" s="291"/>
      <c r="Z1048" s="291"/>
      <c r="AA1048" s="291"/>
      <c r="AB1048" s="291"/>
      <c r="AC1048" s="287"/>
      <c r="AD1048" s="287"/>
    </row>
    <row r="1049" spans="2:30" s="295" customFormat="1">
      <c r="B1049" s="287"/>
      <c r="C1049" s="288"/>
      <c r="D1049" s="289"/>
      <c r="E1049" s="290"/>
      <c r="F1049" s="291"/>
      <c r="G1049" s="291"/>
      <c r="H1049" s="291"/>
      <c r="I1049" s="291"/>
      <c r="J1049" s="291"/>
      <c r="K1049" s="291"/>
      <c r="L1049" s="291"/>
      <c r="M1049" s="291"/>
      <c r="N1049" s="291"/>
      <c r="O1049" s="291"/>
      <c r="P1049" s="291"/>
      <c r="Q1049" s="291"/>
      <c r="R1049" s="291"/>
      <c r="S1049" s="291"/>
      <c r="T1049" s="291"/>
      <c r="U1049" s="291"/>
      <c r="V1049" s="291"/>
      <c r="W1049" s="291"/>
      <c r="X1049" s="291"/>
      <c r="Y1049" s="291"/>
      <c r="Z1049" s="291"/>
      <c r="AA1049" s="291"/>
      <c r="AB1049" s="291"/>
      <c r="AC1049" s="287"/>
      <c r="AD1049" s="287"/>
    </row>
    <row r="1050" spans="2:30" s="295" customFormat="1">
      <c r="B1050" s="287"/>
      <c r="C1050" s="288"/>
      <c r="D1050" s="289"/>
      <c r="E1050" s="290"/>
      <c r="F1050" s="291"/>
      <c r="G1050" s="291"/>
      <c r="H1050" s="291"/>
      <c r="I1050" s="291"/>
      <c r="J1050" s="291"/>
      <c r="K1050" s="291"/>
      <c r="L1050" s="291"/>
      <c r="M1050" s="291"/>
      <c r="N1050" s="291"/>
      <c r="O1050" s="291"/>
      <c r="P1050" s="291"/>
      <c r="Q1050" s="291"/>
      <c r="R1050" s="291"/>
      <c r="S1050" s="291"/>
      <c r="T1050" s="291"/>
      <c r="U1050" s="291"/>
      <c r="V1050" s="291"/>
      <c r="W1050" s="291"/>
      <c r="X1050" s="291"/>
      <c r="Y1050" s="291"/>
      <c r="Z1050" s="291"/>
      <c r="AA1050" s="291"/>
      <c r="AB1050" s="291"/>
      <c r="AC1050" s="287"/>
      <c r="AD1050" s="287"/>
    </row>
    <row r="1051" spans="2:30" s="295" customFormat="1">
      <c r="B1051" s="287"/>
      <c r="C1051" s="288"/>
      <c r="D1051" s="289"/>
      <c r="E1051" s="290"/>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87"/>
      <c r="AD1051" s="287"/>
    </row>
    <row r="1052" spans="2:30" s="295" customFormat="1">
      <c r="B1052" s="287"/>
      <c r="C1052" s="288"/>
      <c r="D1052" s="289"/>
      <c r="E1052" s="290"/>
      <c r="F1052" s="291"/>
      <c r="G1052" s="291"/>
      <c r="H1052" s="291"/>
      <c r="I1052" s="291"/>
      <c r="J1052" s="291"/>
      <c r="K1052" s="291"/>
      <c r="L1052" s="291"/>
      <c r="M1052" s="291"/>
      <c r="N1052" s="291"/>
      <c r="O1052" s="291"/>
      <c r="P1052" s="291"/>
      <c r="Q1052" s="291"/>
      <c r="R1052" s="291"/>
      <c r="S1052" s="291"/>
      <c r="T1052" s="291"/>
      <c r="U1052" s="291"/>
      <c r="V1052" s="291"/>
      <c r="W1052" s="291"/>
      <c r="X1052" s="291"/>
      <c r="Y1052" s="291"/>
      <c r="Z1052" s="291"/>
      <c r="AA1052" s="291"/>
      <c r="AB1052" s="291"/>
      <c r="AC1052" s="287"/>
      <c r="AD1052" s="287"/>
    </row>
    <row r="1053" spans="2:30" s="295" customFormat="1">
      <c r="B1053" s="287"/>
      <c r="C1053" s="288"/>
      <c r="D1053" s="289"/>
      <c r="E1053" s="290"/>
      <c r="F1053" s="291"/>
      <c r="G1053" s="291"/>
      <c r="H1053" s="291"/>
      <c r="I1053" s="291"/>
      <c r="J1053" s="291"/>
      <c r="K1053" s="291"/>
      <c r="L1053" s="291"/>
      <c r="M1053" s="291"/>
      <c r="N1053" s="291"/>
      <c r="O1053" s="291"/>
      <c r="P1053" s="291"/>
      <c r="Q1053" s="291"/>
      <c r="R1053" s="291"/>
      <c r="S1053" s="291"/>
      <c r="T1053" s="291"/>
      <c r="U1053" s="291"/>
      <c r="V1053" s="291"/>
      <c r="W1053" s="291"/>
      <c r="X1053" s="291"/>
      <c r="Y1053" s="291"/>
      <c r="Z1053" s="291"/>
      <c r="AA1053" s="291"/>
      <c r="AB1053" s="291"/>
      <c r="AC1053" s="287"/>
      <c r="AD1053" s="287"/>
    </row>
    <row r="1054" spans="2:30" s="295" customFormat="1">
      <c r="B1054" s="287"/>
      <c r="C1054" s="288"/>
      <c r="D1054" s="289"/>
      <c r="E1054" s="290"/>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87"/>
      <c r="AD1054" s="287"/>
    </row>
    <row r="1055" spans="2:30" s="295" customFormat="1">
      <c r="B1055" s="287"/>
      <c r="C1055" s="288"/>
      <c r="D1055" s="289"/>
      <c r="E1055" s="290"/>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87"/>
      <c r="AD1055" s="287"/>
    </row>
    <row r="1056" spans="2:30" s="295" customFormat="1">
      <c r="B1056" s="287"/>
      <c r="C1056" s="288"/>
      <c r="D1056" s="289"/>
      <c r="E1056" s="290"/>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87"/>
      <c r="AD1056" s="287"/>
    </row>
    <row r="1057" spans="2:30" s="295" customFormat="1">
      <c r="B1057" s="287"/>
      <c r="C1057" s="288"/>
      <c r="D1057" s="289"/>
      <c r="E1057" s="290"/>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87"/>
      <c r="AD1057" s="287"/>
    </row>
    <row r="1058" spans="2:30" s="295" customFormat="1">
      <c r="B1058" s="287"/>
      <c r="C1058" s="288"/>
      <c r="D1058" s="289"/>
      <c r="E1058" s="290"/>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87"/>
      <c r="AD1058" s="287"/>
    </row>
    <row r="1059" spans="2:30" s="295" customFormat="1">
      <c r="B1059" s="287"/>
      <c r="C1059" s="288"/>
      <c r="D1059" s="289"/>
      <c r="E1059" s="290"/>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87"/>
      <c r="AD1059" s="287"/>
    </row>
    <row r="1060" spans="2:30" s="295" customFormat="1">
      <c r="B1060" s="287"/>
      <c r="C1060" s="288"/>
      <c r="D1060" s="289"/>
      <c r="E1060" s="290"/>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87"/>
      <c r="AD1060" s="287"/>
    </row>
    <row r="1061" spans="2:30" s="295" customFormat="1">
      <c r="B1061" s="287"/>
      <c r="C1061" s="288"/>
      <c r="D1061" s="289"/>
      <c r="E1061" s="290"/>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87"/>
      <c r="AD1061" s="287"/>
    </row>
    <row r="1062" spans="2:30" s="295" customFormat="1">
      <c r="B1062" s="287"/>
      <c r="C1062" s="288"/>
      <c r="D1062" s="289"/>
      <c r="E1062" s="290"/>
      <c r="F1062" s="291"/>
      <c r="G1062" s="291"/>
      <c r="H1062" s="291"/>
      <c r="I1062" s="291"/>
      <c r="J1062" s="291"/>
      <c r="K1062" s="291"/>
      <c r="L1062" s="291"/>
      <c r="M1062" s="291"/>
      <c r="N1062" s="291"/>
      <c r="O1062" s="291"/>
      <c r="P1062" s="291"/>
      <c r="Q1062" s="291"/>
      <c r="R1062" s="291"/>
      <c r="S1062" s="291"/>
      <c r="T1062" s="291"/>
      <c r="U1062" s="291"/>
      <c r="V1062" s="291"/>
      <c r="W1062" s="291"/>
      <c r="X1062" s="291"/>
      <c r="Y1062" s="291"/>
      <c r="Z1062" s="291"/>
      <c r="AA1062" s="291"/>
      <c r="AB1062" s="291"/>
      <c r="AC1062" s="287"/>
      <c r="AD1062" s="287"/>
    </row>
    <row r="1063" spans="2:30" s="295" customFormat="1">
      <c r="B1063" s="287"/>
      <c r="C1063" s="288"/>
      <c r="D1063" s="289"/>
      <c r="E1063" s="290"/>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87"/>
      <c r="AD1063" s="287"/>
    </row>
    <row r="1064" spans="2:30" s="295" customFormat="1">
      <c r="B1064" s="287"/>
      <c r="C1064" s="288"/>
      <c r="D1064" s="289"/>
      <c r="E1064" s="290"/>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87"/>
      <c r="AD1064" s="287"/>
    </row>
    <row r="1065" spans="2:30" s="295" customFormat="1">
      <c r="B1065" s="287"/>
      <c r="C1065" s="288"/>
      <c r="D1065" s="289"/>
      <c r="E1065" s="290"/>
      <c r="F1065" s="291"/>
      <c r="G1065" s="291"/>
      <c r="H1065" s="291"/>
      <c r="I1065" s="291"/>
      <c r="J1065" s="291"/>
      <c r="K1065" s="291"/>
      <c r="L1065" s="291"/>
      <c r="M1065" s="291"/>
      <c r="N1065" s="291"/>
      <c r="O1065" s="291"/>
      <c r="P1065" s="291"/>
      <c r="Q1065" s="291"/>
      <c r="R1065" s="291"/>
      <c r="S1065" s="291"/>
      <c r="T1065" s="291"/>
      <c r="U1065" s="291"/>
      <c r="V1065" s="291"/>
      <c r="W1065" s="291"/>
      <c r="X1065" s="291"/>
      <c r="Y1065" s="291"/>
      <c r="Z1065" s="291"/>
      <c r="AA1065" s="291"/>
      <c r="AB1065" s="291"/>
      <c r="AC1065" s="287"/>
      <c r="AD1065" s="287"/>
    </row>
    <row r="1066" spans="2:30" s="295" customFormat="1">
      <c r="B1066" s="287"/>
      <c r="C1066" s="288"/>
      <c r="D1066" s="289"/>
      <c r="E1066" s="290"/>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87"/>
      <c r="AD1066" s="287"/>
    </row>
    <row r="1067" spans="2:30" s="295" customFormat="1">
      <c r="B1067" s="287"/>
      <c r="C1067" s="288"/>
      <c r="D1067" s="289"/>
      <c r="E1067" s="290"/>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87"/>
      <c r="AD1067" s="287"/>
    </row>
    <row r="1068" spans="2:30" s="295" customFormat="1">
      <c r="B1068" s="287"/>
      <c r="C1068" s="288"/>
      <c r="D1068" s="289"/>
      <c r="E1068" s="290"/>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87"/>
      <c r="AD1068" s="287"/>
    </row>
    <row r="1069" spans="2:30" s="295" customFormat="1">
      <c r="B1069" s="287"/>
      <c r="C1069" s="288"/>
      <c r="D1069" s="289"/>
      <c r="E1069" s="290"/>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87"/>
      <c r="AD1069" s="287"/>
    </row>
    <row r="1070" spans="2:30" s="295" customFormat="1">
      <c r="B1070" s="287"/>
      <c r="C1070" s="288"/>
      <c r="D1070" s="289"/>
      <c r="E1070" s="290"/>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87"/>
      <c r="AD1070" s="287"/>
    </row>
    <row r="1071" spans="2:30" s="295" customFormat="1">
      <c r="B1071" s="287"/>
      <c r="C1071" s="288"/>
      <c r="D1071" s="289"/>
      <c r="E1071" s="290"/>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87"/>
      <c r="AD1071" s="287"/>
    </row>
    <row r="1072" spans="2:30" s="295" customFormat="1">
      <c r="B1072" s="287"/>
      <c r="C1072" s="288"/>
      <c r="D1072" s="289"/>
      <c r="E1072" s="290"/>
      <c r="F1072" s="291"/>
      <c r="G1072" s="291"/>
      <c r="H1072" s="291"/>
      <c r="I1072" s="291"/>
      <c r="J1072" s="291"/>
      <c r="K1072" s="291"/>
      <c r="L1072" s="291"/>
      <c r="M1072" s="291"/>
      <c r="N1072" s="291"/>
      <c r="O1072" s="291"/>
      <c r="P1072" s="291"/>
      <c r="Q1072" s="291"/>
      <c r="R1072" s="291"/>
      <c r="S1072" s="291"/>
      <c r="T1072" s="291"/>
      <c r="U1072" s="291"/>
      <c r="V1072" s="291"/>
      <c r="W1072" s="291"/>
      <c r="X1072" s="291"/>
      <c r="Y1072" s="291"/>
      <c r="Z1072" s="291"/>
      <c r="AA1072" s="291"/>
      <c r="AB1072" s="291"/>
      <c r="AC1072" s="287"/>
      <c r="AD1072" s="287"/>
    </row>
    <row r="1073" spans="2:30" s="295" customFormat="1">
      <c r="B1073" s="287"/>
      <c r="C1073" s="288"/>
      <c r="D1073" s="289"/>
      <c r="E1073" s="290"/>
      <c r="F1073" s="291"/>
      <c r="G1073" s="291"/>
      <c r="H1073" s="291"/>
      <c r="I1073" s="291"/>
      <c r="J1073" s="291"/>
      <c r="K1073" s="291"/>
      <c r="L1073" s="291"/>
      <c r="M1073" s="291"/>
      <c r="N1073" s="291"/>
      <c r="O1073" s="291"/>
      <c r="P1073" s="291"/>
      <c r="Q1073" s="291"/>
      <c r="R1073" s="291"/>
      <c r="S1073" s="291"/>
      <c r="T1073" s="291"/>
      <c r="U1073" s="291"/>
      <c r="V1073" s="291"/>
      <c r="W1073" s="291"/>
      <c r="X1073" s="291"/>
      <c r="Y1073" s="291"/>
      <c r="Z1073" s="291"/>
      <c r="AA1073" s="291"/>
      <c r="AB1073" s="291"/>
      <c r="AC1073" s="287"/>
      <c r="AD1073" s="287"/>
    </row>
    <row r="1074" spans="2:30" s="295" customFormat="1">
      <c r="B1074" s="287"/>
      <c r="C1074" s="288"/>
      <c r="D1074" s="289"/>
      <c r="E1074" s="290"/>
      <c r="F1074" s="291"/>
      <c r="G1074" s="291"/>
      <c r="H1074" s="291"/>
      <c r="I1074" s="291"/>
      <c r="J1074" s="291"/>
      <c r="K1074" s="291"/>
      <c r="L1074" s="291"/>
      <c r="M1074" s="291"/>
      <c r="N1074" s="291"/>
      <c r="O1074" s="291"/>
      <c r="P1074" s="291"/>
      <c r="Q1074" s="291"/>
      <c r="R1074" s="291"/>
      <c r="S1074" s="291"/>
      <c r="T1074" s="291"/>
      <c r="U1074" s="291"/>
      <c r="V1074" s="291"/>
      <c r="W1074" s="291"/>
      <c r="X1074" s="291"/>
      <c r="Y1074" s="291"/>
      <c r="Z1074" s="291"/>
      <c r="AA1074" s="291"/>
      <c r="AB1074" s="291"/>
      <c r="AC1074" s="287"/>
      <c r="AD1074" s="287"/>
    </row>
    <row r="1075" spans="2:30" s="295" customFormat="1">
      <c r="B1075" s="287"/>
      <c r="C1075" s="288"/>
      <c r="D1075" s="289"/>
      <c r="E1075" s="290"/>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87"/>
      <c r="AD1075" s="287"/>
    </row>
    <row r="1076" spans="2:30" s="295" customFormat="1">
      <c r="B1076" s="287"/>
      <c r="C1076" s="288"/>
      <c r="D1076" s="289"/>
      <c r="E1076" s="290"/>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87"/>
      <c r="AD1076" s="287"/>
    </row>
    <row r="1077" spans="2:30" s="295" customFormat="1">
      <c r="B1077" s="287"/>
      <c r="C1077" s="288"/>
      <c r="D1077" s="289"/>
      <c r="E1077" s="290"/>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87"/>
      <c r="AD1077" s="287"/>
    </row>
    <row r="1078" spans="2:30" s="295" customFormat="1">
      <c r="B1078" s="287"/>
      <c r="C1078" s="288"/>
      <c r="D1078" s="289"/>
      <c r="E1078" s="290"/>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87"/>
      <c r="AD1078" s="287"/>
    </row>
    <row r="1079" spans="2:30" s="295" customFormat="1">
      <c r="B1079" s="287"/>
      <c r="C1079" s="288"/>
      <c r="D1079" s="289"/>
      <c r="E1079" s="290"/>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87"/>
      <c r="AD1079" s="287"/>
    </row>
    <row r="1080" spans="2:30" s="295" customFormat="1">
      <c r="B1080" s="287"/>
      <c r="C1080" s="288"/>
      <c r="D1080" s="289"/>
      <c r="E1080" s="290"/>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87"/>
      <c r="AD1080" s="287"/>
    </row>
    <row r="1081" spans="2:30" s="295" customFormat="1">
      <c r="B1081" s="287"/>
      <c r="C1081" s="288"/>
      <c r="D1081" s="289"/>
      <c r="E1081" s="290"/>
      <c r="F1081" s="291"/>
      <c r="G1081" s="291"/>
      <c r="H1081" s="291"/>
      <c r="I1081" s="291"/>
      <c r="J1081" s="291"/>
      <c r="K1081" s="291"/>
      <c r="L1081" s="291"/>
      <c r="M1081" s="291"/>
      <c r="N1081" s="291"/>
      <c r="O1081" s="291"/>
      <c r="P1081" s="291"/>
      <c r="Q1081" s="291"/>
      <c r="R1081" s="291"/>
      <c r="S1081" s="291"/>
      <c r="T1081" s="291"/>
      <c r="U1081" s="291"/>
      <c r="V1081" s="291"/>
      <c r="W1081" s="291"/>
      <c r="X1081" s="291"/>
      <c r="Y1081" s="291"/>
      <c r="Z1081" s="291"/>
      <c r="AA1081" s="291"/>
      <c r="AB1081" s="291"/>
      <c r="AC1081" s="287"/>
      <c r="AD1081" s="287"/>
    </row>
    <row r="1082" spans="2:30" s="295" customFormat="1">
      <c r="B1082" s="287"/>
      <c r="C1082" s="288"/>
      <c r="D1082" s="289"/>
      <c r="E1082" s="290"/>
      <c r="F1082" s="291"/>
      <c r="G1082" s="291"/>
      <c r="H1082" s="291"/>
      <c r="I1082" s="291"/>
      <c r="J1082" s="291"/>
      <c r="K1082" s="291"/>
      <c r="L1082" s="291"/>
      <c r="M1082" s="291"/>
      <c r="N1082" s="291"/>
      <c r="O1082" s="291"/>
      <c r="P1082" s="291"/>
      <c r="Q1082" s="291"/>
      <c r="R1082" s="291"/>
      <c r="S1082" s="291"/>
      <c r="T1082" s="291"/>
      <c r="U1082" s="291"/>
      <c r="V1082" s="291"/>
      <c r="W1082" s="291"/>
      <c r="X1082" s="291"/>
      <c r="Y1082" s="291"/>
      <c r="Z1082" s="291"/>
      <c r="AA1082" s="291"/>
      <c r="AB1082" s="291"/>
      <c r="AC1082" s="287"/>
      <c r="AD1082" s="287"/>
    </row>
    <row r="1083" spans="2:30" s="295" customFormat="1">
      <c r="B1083" s="287"/>
      <c r="C1083" s="288"/>
      <c r="D1083" s="289"/>
      <c r="E1083" s="290"/>
      <c r="F1083" s="291"/>
      <c r="G1083" s="291"/>
      <c r="H1083" s="291"/>
      <c r="I1083" s="291"/>
      <c r="J1083" s="291"/>
      <c r="K1083" s="291"/>
      <c r="L1083" s="291"/>
      <c r="M1083" s="291"/>
      <c r="N1083" s="291"/>
      <c r="O1083" s="291"/>
      <c r="P1083" s="291"/>
      <c r="Q1083" s="291"/>
      <c r="R1083" s="291"/>
      <c r="S1083" s="291"/>
      <c r="T1083" s="291"/>
      <c r="U1083" s="291"/>
      <c r="V1083" s="291"/>
      <c r="W1083" s="291"/>
      <c r="X1083" s="291"/>
      <c r="Y1083" s="291"/>
      <c r="Z1083" s="291"/>
      <c r="AA1083" s="291"/>
      <c r="AB1083" s="291"/>
      <c r="AC1083" s="287"/>
      <c r="AD1083" s="287"/>
    </row>
    <row r="1084" spans="2:30" s="295" customFormat="1">
      <c r="B1084" s="287"/>
      <c r="C1084" s="288"/>
      <c r="D1084" s="289"/>
      <c r="E1084" s="290"/>
      <c r="F1084" s="291"/>
      <c r="G1084" s="291"/>
      <c r="H1084" s="291"/>
      <c r="I1084" s="291"/>
      <c r="J1084" s="291"/>
      <c r="K1084" s="291"/>
      <c r="L1084" s="291"/>
      <c r="M1084" s="291"/>
      <c r="N1084" s="291"/>
      <c r="O1084" s="291"/>
      <c r="P1084" s="291"/>
      <c r="Q1084" s="291"/>
      <c r="R1084" s="291"/>
      <c r="S1084" s="291"/>
      <c r="T1084" s="291"/>
      <c r="U1084" s="291"/>
      <c r="V1084" s="291"/>
      <c r="W1084" s="291"/>
      <c r="X1084" s="291"/>
      <c r="Y1084" s="291"/>
      <c r="Z1084" s="291"/>
      <c r="AA1084" s="291"/>
      <c r="AB1084" s="291"/>
      <c r="AC1084" s="287"/>
      <c r="AD1084" s="287"/>
    </row>
    <row r="1085" spans="2:30" s="295" customFormat="1">
      <c r="B1085" s="287"/>
      <c r="C1085" s="288"/>
      <c r="D1085" s="289"/>
      <c r="E1085" s="290"/>
      <c r="F1085" s="291"/>
      <c r="G1085" s="291"/>
      <c r="H1085" s="291"/>
      <c r="I1085" s="291"/>
      <c r="J1085" s="291"/>
      <c r="K1085" s="291"/>
      <c r="L1085" s="291"/>
      <c r="M1085" s="291"/>
      <c r="N1085" s="291"/>
      <c r="O1085" s="291"/>
      <c r="P1085" s="291"/>
      <c r="Q1085" s="291"/>
      <c r="R1085" s="291"/>
      <c r="S1085" s="291"/>
      <c r="T1085" s="291"/>
      <c r="U1085" s="291"/>
      <c r="V1085" s="291"/>
      <c r="W1085" s="291"/>
      <c r="X1085" s="291"/>
      <c r="Y1085" s="291"/>
      <c r="Z1085" s="291"/>
      <c r="AA1085" s="291"/>
      <c r="AB1085" s="291"/>
      <c r="AC1085" s="287"/>
      <c r="AD1085" s="287"/>
    </row>
    <row r="1086" spans="2:30" s="295" customFormat="1">
      <c r="B1086" s="287"/>
      <c r="C1086" s="288"/>
      <c r="D1086" s="289"/>
      <c r="E1086" s="290"/>
      <c r="F1086" s="291"/>
      <c r="G1086" s="291"/>
      <c r="H1086" s="291"/>
      <c r="I1086" s="291"/>
      <c r="J1086" s="291"/>
      <c r="K1086" s="291"/>
      <c r="L1086" s="291"/>
      <c r="M1086" s="291"/>
      <c r="N1086" s="291"/>
      <c r="O1086" s="291"/>
      <c r="P1086" s="291"/>
      <c r="Q1086" s="291"/>
      <c r="R1086" s="291"/>
      <c r="S1086" s="291"/>
      <c r="T1086" s="291"/>
      <c r="U1086" s="291"/>
      <c r="V1086" s="291"/>
      <c r="W1086" s="291"/>
      <c r="X1086" s="291"/>
      <c r="Y1086" s="291"/>
      <c r="Z1086" s="291"/>
      <c r="AA1086" s="291"/>
      <c r="AB1086" s="291"/>
      <c r="AC1086" s="287"/>
      <c r="AD1086" s="287"/>
    </row>
    <row r="1087" spans="2:30" s="295" customFormat="1">
      <c r="B1087" s="287"/>
      <c r="C1087" s="288"/>
      <c r="D1087" s="289"/>
      <c r="E1087" s="290"/>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87"/>
      <c r="AD1087" s="287"/>
    </row>
    <row r="1088" spans="2:30" s="295" customFormat="1">
      <c r="B1088" s="287"/>
      <c r="C1088" s="288"/>
      <c r="D1088" s="289"/>
      <c r="E1088" s="290"/>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87"/>
      <c r="AD1088" s="287"/>
    </row>
    <row r="1089" spans="2:30" s="295" customFormat="1">
      <c r="B1089" s="287"/>
      <c r="C1089" s="288"/>
      <c r="D1089" s="289"/>
      <c r="E1089" s="290"/>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87"/>
      <c r="AD1089" s="287"/>
    </row>
    <row r="1090" spans="2:30" s="295" customFormat="1">
      <c r="B1090" s="287"/>
      <c r="C1090" s="288"/>
      <c r="D1090" s="289"/>
      <c r="E1090" s="290"/>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87"/>
      <c r="AD1090" s="287"/>
    </row>
    <row r="1091" spans="2:30" s="295" customFormat="1">
      <c r="B1091" s="287"/>
      <c r="C1091" s="288"/>
      <c r="D1091" s="289"/>
      <c r="E1091" s="290"/>
      <c r="F1091" s="291"/>
      <c r="G1091" s="291"/>
      <c r="H1091" s="291"/>
      <c r="I1091" s="291"/>
      <c r="J1091" s="291"/>
      <c r="K1091" s="291"/>
      <c r="L1091" s="291"/>
      <c r="M1091" s="291"/>
      <c r="N1091" s="291"/>
      <c r="O1091" s="291"/>
      <c r="P1091" s="291"/>
      <c r="Q1091" s="291"/>
      <c r="R1091" s="291"/>
      <c r="S1091" s="291"/>
      <c r="T1091" s="291"/>
      <c r="U1091" s="291"/>
      <c r="V1091" s="291"/>
      <c r="W1091" s="291"/>
      <c r="X1091" s="291"/>
      <c r="Y1091" s="291"/>
      <c r="Z1091" s="291"/>
      <c r="AA1091" s="291"/>
      <c r="AB1091" s="291"/>
      <c r="AC1091" s="287"/>
      <c r="AD1091" s="287"/>
    </row>
    <row r="1092" spans="2:30" s="295" customFormat="1">
      <c r="B1092" s="287"/>
      <c r="C1092" s="288"/>
      <c r="D1092" s="289"/>
      <c r="E1092" s="290"/>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87"/>
      <c r="AD1092" s="287"/>
    </row>
    <row r="1093" spans="2:30" s="295" customFormat="1">
      <c r="B1093" s="287"/>
      <c r="C1093" s="288"/>
      <c r="D1093" s="289"/>
      <c r="E1093" s="290"/>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87"/>
      <c r="AD1093" s="287"/>
    </row>
    <row r="1094" spans="2:30" s="295" customFormat="1">
      <c r="B1094" s="287"/>
      <c r="C1094" s="288"/>
      <c r="D1094" s="289"/>
      <c r="E1094" s="290"/>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87"/>
      <c r="AD1094" s="287"/>
    </row>
    <row r="1095" spans="2:30" s="295" customFormat="1">
      <c r="B1095" s="287"/>
      <c r="C1095" s="288"/>
      <c r="D1095" s="289"/>
      <c r="E1095" s="290"/>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87"/>
      <c r="AD1095" s="287"/>
    </row>
    <row r="1096" spans="2:30" s="295" customFormat="1">
      <c r="B1096" s="287"/>
      <c r="C1096" s="288"/>
      <c r="D1096" s="289"/>
      <c r="E1096" s="290"/>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87"/>
      <c r="AD1096" s="287"/>
    </row>
    <row r="1097" spans="2:30" s="295" customFormat="1">
      <c r="B1097" s="287"/>
      <c r="C1097" s="288"/>
      <c r="D1097" s="289"/>
      <c r="E1097" s="290"/>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87"/>
      <c r="AD1097" s="287"/>
    </row>
    <row r="1098" spans="2:30" s="295" customFormat="1">
      <c r="B1098" s="287"/>
      <c r="C1098" s="288"/>
      <c r="D1098" s="289"/>
      <c r="E1098" s="290"/>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87"/>
      <c r="AD1098" s="287"/>
    </row>
    <row r="1099" spans="2:30" s="295" customFormat="1">
      <c r="B1099" s="287"/>
      <c r="C1099" s="288"/>
      <c r="D1099" s="289"/>
      <c r="E1099" s="290"/>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87"/>
      <c r="AD1099" s="287"/>
    </row>
    <row r="1100" spans="2:30" s="295" customFormat="1">
      <c r="B1100" s="287"/>
      <c r="C1100" s="288"/>
      <c r="D1100" s="289"/>
      <c r="E1100" s="290"/>
      <c r="F1100" s="291"/>
      <c r="G1100" s="291"/>
      <c r="H1100" s="291"/>
      <c r="I1100" s="291"/>
      <c r="J1100" s="291"/>
      <c r="K1100" s="291"/>
      <c r="L1100" s="291"/>
      <c r="M1100" s="291"/>
      <c r="N1100" s="291"/>
      <c r="O1100" s="291"/>
      <c r="P1100" s="291"/>
      <c r="Q1100" s="291"/>
      <c r="R1100" s="291"/>
      <c r="S1100" s="291"/>
      <c r="T1100" s="291"/>
      <c r="U1100" s="291"/>
      <c r="V1100" s="291"/>
      <c r="W1100" s="291"/>
      <c r="X1100" s="291"/>
      <c r="Y1100" s="291"/>
      <c r="Z1100" s="291"/>
      <c r="AA1100" s="291"/>
      <c r="AB1100" s="291"/>
      <c r="AC1100" s="287"/>
      <c r="AD1100" s="287"/>
    </row>
    <row r="1101" spans="2:30" s="295" customFormat="1">
      <c r="B1101" s="287"/>
      <c r="C1101" s="288"/>
      <c r="D1101" s="289"/>
      <c r="E1101" s="290"/>
      <c r="F1101" s="291"/>
      <c r="G1101" s="291"/>
      <c r="H1101" s="291"/>
      <c r="I1101" s="291"/>
      <c r="J1101" s="291"/>
      <c r="K1101" s="291"/>
      <c r="L1101" s="291"/>
      <c r="M1101" s="291"/>
      <c r="N1101" s="291"/>
      <c r="O1101" s="291"/>
      <c r="P1101" s="291"/>
      <c r="Q1101" s="291"/>
      <c r="R1101" s="291"/>
      <c r="S1101" s="291"/>
      <c r="T1101" s="291"/>
      <c r="U1101" s="291"/>
      <c r="V1101" s="291"/>
      <c r="W1101" s="291"/>
      <c r="X1101" s="291"/>
      <c r="Y1101" s="291"/>
      <c r="Z1101" s="291"/>
      <c r="AA1101" s="291"/>
      <c r="AB1101" s="291"/>
      <c r="AC1101" s="287"/>
      <c r="AD1101" s="287"/>
    </row>
    <row r="1102" spans="2:30" s="295" customFormat="1">
      <c r="B1102" s="287"/>
      <c r="C1102" s="288"/>
      <c r="D1102" s="289"/>
      <c r="E1102" s="290"/>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87"/>
      <c r="AD1102" s="287"/>
    </row>
    <row r="1103" spans="2:30" s="295" customFormat="1">
      <c r="B1103" s="287"/>
      <c r="C1103" s="288"/>
      <c r="D1103" s="289"/>
      <c r="E1103" s="290"/>
      <c r="F1103" s="291"/>
      <c r="G1103" s="291"/>
      <c r="H1103" s="291"/>
      <c r="I1103" s="291"/>
      <c r="J1103" s="291"/>
      <c r="K1103" s="291"/>
      <c r="L1103" s="291"/>
      <c r="M1103" s="291"/>
      <c r="N1103" s="291"/>
      <c r="O1103" s="291"/>
      <c r="P1103" s="291"/>
      <c r="Q1103" s="291"/>
      <c r="R1103" s="291"/>
      <c r="S1103" s="291"/>
      <c r="T1103" s="291"/>
      <c r="U1103" s="291"/>
      <c r="V1103" s="291"/>
      <c r="W1103" s="291"/>
      <c r="X1103" s="291"/>
      <c r="Y1103" s="291"/>
      <c r="Z1103" s="291"/>
      <c r="AA1103" s="291"/>
      <c r="AB1103" s="291"/>
      <c r="AC1103" s="287"/>
      <c r="AD1103" s="287"/>
    </row>
    <row r="1104" spans="2:30" s="295" customFormat="1">
      <c r="B1104" s="287"/>
      <c r="C1104" s="288"/>
      <c r="D1104" s="289"/>
      <c r="E1104" s="290"/>
      <c r="F1104" s="291"/>
      <c r="G1104" s="291"/>
      <c r="H1104" s="291"/>
      <c r="I1104" s="291"/>
      <c r="J1104" s="291"/>
      <c r="K1104" s="291"/>
      <c r="L1104" s="291"/>
      <c r="M1104" s="291"/>
      <c r="N1104" s="291"/>
      <c r="O1104" s="291"/>
      <c r="P1104" s="291"/>
      <c r="Q1104" s="291"/>
      <c r="R1104" s="291"/>
      <c r="S1104" s="291"/>
      <c r="T1104" s="291"/>
      <c r="U1104" s="291"/>
      <c r="V1104" s="291"/>
      <c r="W1104" s="291"/>
      <c r="X1104" s="291"/>
      <c r="Y1104" s="291"/>
      <c r="Z1104" s="291"/>
      <c r="AA1104" s="291"/>
      <c r="AB1104" s="291"/>
      <c r="AC1104" s="287"/>
      <c r="AD1104" s="287"/>
    </row>
    <row r="1105" spans="2:30" s="295" customFormat="1">
      <c r="B1105" s="287"/>
      <c r="C1105" s="288"/>
      <c r="D1105" s="289"/>
      <c r="E1105" s="290"/>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87"/>
      <c r="AD1105" s="287"/>
    </row>
    <row r="1106" spans="2:30" s="295" customFormat="1">
      <c r="B1106" s="287"/>
      <c r="C1106" s="288"/>
      <c r="D1106" s="289"/>
      <c r="E1106" s="290"/>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87"/>
      <c r="AD1106" s="287"/>
    </row>
    <row r="1107" spans="2:30" s="295" customFormat="1">
      <c r="B1107" s="287"/>
      <c r="C1107" s="288"/>
      <c r="D1107" s="289"/>
      <c r="E1107" s="290"/>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87"/>
      <c r="AD1107" s="287"/>
    </row>
    <row r="1108" spans="2:30" s="295" customFormat="1">
      <c r="B1108" s="287"/>
      <c r="C1108" s="288"/>
      <c r="D1108" s="289"/>
      <c r="E1108" s="290"/>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87"/>
      <c r="AD1108" s="287"/>
    </row>
    <row r="1109" spans="2:30" s="295" customFormat="1">
      <c r="B1109" s="287"/>
      <c r="C1109" s="288"/>
      <c r="D1109" s="289"/>
      <c r="E1109" s="290"/>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87"/>
      <c r="AD1109" s="287"/>
    </row>
    <row r="1110" spans="2:30" s="295" customFormat="1">
      <c r="B1110" s="287"/>
      <c r="C1110" s="288"/>
      <c r="D1110" s="289"/>
      <c r="E1110" s="290"/>
      <c r="F1110" s="291"/>
      <c r="G1110" s="291"/>
      <c r="H1110" s="291"/>
      <c r="I1110" s="291"/>
      <c r="J1110" s="291"/>
      <c r="K1110" s="291"/>
      <c r="L1110" s="291"/>
      <c r="M1110" s="291"/>
      <c r="N1110" s="291"/>
      <c r="O1110" s="291"/>
      <c r="P1110" s="291"/>
      <c r="Q1110" s="291"/>
      <c r="R1110" s="291"/>
      <c r="S1110" s="291"/>
      <c r="T1110" s="291"/>
      <c r="U1110" s="291"/>
      <c r="V1110" s="291"/>
      <c r="W1110" s="291"/>
      <c r="X1110" s="291"/>
      <c r="Y1110" s="291"/>
      <c r="Z1110" s="291"/>
      <c r="AA1110" s="291"/>
      <c r="AB1110" s="291"/>
      <c r="AC1110" s="287"/>
      <c r="AD1110" s="287"/>
    </row>
    <row r="1111" spans="2:30" s="295" customFormat="1">
      <c r="B1111" s="287"/>
      <c r="C1111" s="288"/>
      <c r="D1111" s="289"/>
      <c r="E1111" s="290"/>
      <c r="F1111" s="291"/>
      <c r="G1111" s="291"/>
      <c r="H1111" s="291"/>
      <c r="I1111" s="291"/>
      <c r="J1111" s="291"/>
      <c r="K1111" s="291"/>
      <c r="L1111" s="291"/>
      <c r="M1111" s="291"/>
      <c r="N1111" s="291"/>
      <c r="O1111" s="291"/>
      <c r="P1111" s="291"/>
      <c r="Q1111" s="291"/>
      <c r="R1111" s="291"/>
      <c r="S1111" s="291"/>
      <c r="T1111" s="291"/>
      <c r="U1111" s="291"/>
      <c r="V1111" s="291"/>
      <c r="W1111" s="291"/>
      <c r="X1111" s="291"/>
      <c r="Y1111" s="291"/>
      <c r="Z1111" s="291"/>
      <c r="AA1111" s="291"/>
      <c r="AB1111" s="291"/>
      <c r="AC1111" s="287"/>
      <c r="AD1111" s="287"/>
    </row>
    <row r="1112" spans="2:30" s="295" customFormat="1">
      <c r="B1112" s="287"/>
      <c r="C1112" s="288"/>
      <c r="D1112" s="289"/>
      <c r="E1112" s="290"/>
      <c r="F1112" s="291"/>
      <c r="G1112" s="291"/>
      <c r="H1112" s="291"/>
      <c r="I1112" s="291"/>
      <c r="J1112" s="291"/>
      <c r="K1112" s="291"/>
      <c r="L1112" s="291"/>
      <c r="M1112" s="291"/>
      <c r="N1112" s="291"/>
      <c r="O1112" s="291"/>
      <c r="P1112" s="291"/>
      <c r="Q1112" s="291"/>
      <c r="R1112" s="291"/>
      <c r="S1112" s="291"/>
      <c r="T1112" s="291"/>
      <c r="U1112" s="291"/>
      <c r="V1112" s="291"/>
      <c r="W1112" s="291"/>
      <c r="X1112" s="291"/>
      <c r="Y1112" s="291"/>
      <c r="Z1112" s="291"/>
      <c r="AA1112" s="291"/>
      <c r="AB1112" s="291"/>
      <c r="AC1112" s="287"/>
      <c r="AD1112" s="287"/>
    </row>
    <row r="1113" spans="2:30" s="295" customFormat="1">
      <c r="B1113" s="287"/>
      <c r="C1113" s="288"/>
      <c r="D1113" s="289"/>
      <c r="E1113" s="290"/>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87"/>
      <c r="AD1113" s="287"/>
    </row>
    <row r="1114" spans="2:30" s="295" customFormat="1">
      <c r="B1114" s="287"/>
      <c r="C1114" s="288"/>
      <c r="D1114" s="289"/>
      <c r="E1114" s="290"/>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87"/>
      <c r="AD1114" s="287"/>
    </row>
    <row r="1115" spans="2:30" s="295" customFormat="1">
      <c r="B1115" s="287"/>
      <c r="C1115" s="288"/>
      <c r="D1115" s="289"/>
      <c r="E1115" s="290"/>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87"/>
      <c r="AD1115" s="287"/>
    </row>
    <row r="1116" spans="2:30" s="295" customFormat="1">
      <c r="B1116" s="287"/>
      <c r="C1116" s="288"/>
      <c r="D1116" s="289"/>
      <c r="E1116" s="290"/>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87"/>
      <c r="AD1116" s="287"/>
    </row>
    <row r="1117" spans="2:30" s="295" customFormat="1">
      <c r="B1117" s="287"/>
      <c r="C1117" s="288"/>
      <c r="D1117" s="289"/>
      <c r="E1117" s="290"/>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87"/>
      <c r="AD1117" s="287"/>
    </row>
    <row r="1118" spans="2:30" s="295" customFormat="1">
      <c r="B1118" s="287"/>
      <c r="C1118" s="288"/>
      <c r="D1118" s="289"/>
      <c r="E1118" s="290"/>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87"/>
      <c r="AD1118" s="287"/>
    </row>
    <row r="1119" spans="2:30" s="295" customFormat="1">
      <c r="B1119" s="287"/>
      <c r="C1119" s="288"/>
      <c r="D1119" s="289"/>
      <c r="E1119" s="290"/>
      <c r="F1119" s="291"/>
      <c r="G1119" s="291"/>
      <c r="H1119" s="291"/>
      <c r="I1119" s="291"/>
      <c r="J1119" s="291"/>
      <c r="K1119" s="291"/>
      <c r="L1119" s="291"/>
      <c r="M1119" s="291"/>
      <c r="N1119" s="291"/>
      <c r="O1119" s="291"/>
      <c r="P1119" s="291"/>
      <c r="Q1119" s="291"/>
      <c r="R1119" s="291"/>
      <c r="S1119" s="291"/>
      <c r="T1119" s="291"/>
      <c r="U1119" s="291"/>
      <c r="V1119" s="291"/>
      <c r="W1119" s="291"/>
      <c r="X1119" s="291"/>
      <c r="Y1119" s="291"/>
      <c r="Z1119" s="291"/>
      <c r="AA1119" s="291"/>
      <c r="AB1119" s="291"/>
      <c r="AC1119" s="287"/>
      <c r="AD1119" s="287"/>
    </row>
    <row r="1120" spans="2:30" s="295" customFormat="1">
      <c r="B1120" s="287"/>
      <c r="C1120" s="288"/>
      <c r="D1120" s="289"/>
      <c r="E1120" s="290"/>
      <c r="F1120" s="291"/>
      <c r="G1120" s="291"/>
      <c r="H1120" s="291"/>
      <c r="I1120" s="291"/>
      <c r="J1120" s="291"/>
      <c r="K1120" s="291"/>
      <c r="L1120" s="291"/>
      <c r="M1120" s="291"/>
      <c r="N1120" s="291"/>
      <c r="O1120" s="291"/>
      <c r="P1120" s="291"/>
      <c r="Q1120" s="291"/>
      <c r="R1120" s="291"/>
      <c r="S1120" s="291"/>
      <c r="T1120" s="291"/>
      <c r="U1120" s="291"/>
      <c r="V1120" s="291"/>
      <c r="W1120" s="291"/>
      <c r="X1120" s="291"/>
      <c r="Y1120" s="291"/>
      <c r="Z1120" s="291"/>
      <c r="AA1120" s="291"/>
      <c r="AB1120" s="291"/>
      <c r="AC1120" s="287"/>
      <c r="AD1120" s="287"/>
    </row>
    <row r="1121" spans="2:30" s="295" customFormat="1">
      <c r="B1121" s="287"/>
      <c r="C1121" s="288"/>
      <c r="D1121" s="289"/>
      <c r="E1121" s="290"/>
      <c r="F1121" s="291"/>
      <c r="G1121" s="291"/>
      <c r="H1121" s="291"/>
      <c r="I1121" s="291"/>
      <c r="J1121" s="291"/>
      <c r="K1121" s="291"/>
      <c r="L1121" s="291"/>
      <c r="M1121" s="291"/>
      <c r="N1121" s="291"/>
      <c r="O1121" s="291"/>
      <c r="P1121" s="291"/>
      <c r="Q1121" s="291"/>
      <c r="R1121" s="291"/>
      <c r="S1121" s="291"/>
      <c r="T1121" s="291"/>
      <c r="U1121" s="291"/>
      <c r="V1121" s="291"/>
      <c r="W1121" s="291"/>
      <c r="X1121" s="291"/>
      <c r="Y1121" s="291"/>
      <c r="Z1121" s="291"/>
      <c r="AA1121" s="291"/>
      <c r="AB1121" s="291"/>
      <c r="AC1121" s="287"/>
      <c r="AD1121" s="287"/>
    </row>
    <row r="1122" spans="2:30" s="295" customFormat="1">
      <c r="B1122" s="287"/>
      <c r="C1122" s="288"/>
      <c r="D1122" s="289"/>
      <c r="E1122" s="290"/>
      <c r="F1122" s="291"/>
      <c r="G1122" s="291"/>
      <c r="H1122" s="291"/>
      <c r="I1122" s="291"/>
      <c r="J1122" s="291"/>
      <c r="K1122" s="291"/>
      <c r="L1122" s="291"/>
      <c r="M1122" s="291"/>
      <c r="N1122" s="291"/>
      <c r="O1122" s="291"/>
      <c r="P1122" s="291"/>
      <c r="Q1122" s="291"/>
      <c r="R1122" s="291"/>
      <c r="S1122" s="291"/>
      <c r="T1122" s="291"/>
      <c r="U1122" s="291"/>
      <c r="V1122" s="291"/>
      <c r="W1122" s="291"/>
      <c r="X1122" s="291"/>
      <c r="Y1122" s="291"/>
      <c r="Z1122" s="291"/>
      <c r="AA1122" s="291"/>
      <c r="AB1122" s="291"/>
      <c r="AC1122" s="287"/>
      <c r="AD1122" s="287"/>
    </row>
    <row r="1123" spans="2:30" s="295" customFormat="1">
      <c r="B1123" s="287"/>
      <c r="C1123" s="288"/>
      <c r="D1123" s="289"/>
      <c r="E1123" s="290"/>
      <c r="F1123" s="291"/>
      <c r="G1123" s="291"/>
      <c r="H1123" s="291"/>
      <c r="I1123" s="291"/>
      <c r="J1123" s="291"/>
      <c r="K1123" s="291"/>
      <c r="L1123" s="291"/>
      <c r="M1123" s="291"/>
      <c r="N1123" s="291"/>
      <c r="O1123" s="291"/>
      <c r="P1123" s="291"/>
      <c r="Q1123" s="291"/>
      <c r="R1123" s="291"/>
      <c r="S1123" s="291"/>
      <c r="T1123" s="291"/>
      <c r="U1123" s="291"/>
      <c r="V1123" s="291"/>
      <c r="W1123" s="291"/>
      <c r="X1123" s="291"/>
      <c r="Y1123" s="291"/>
      <c r="Z1123" s="291"/>
      <c r="AA1123" s="291"/>
      <c r="AB1123" s="291"/>
      <c r="AC1123" s="287"/>
      <c r="AD1123" s="287"/>
    </row>
    <row r="1124" spans="2:30" s="295" customFormat="1">
      <c r="B1124" s="287"/>
      <c r="C1124" s="288"/>
      <c r="D1124" s="289"/>
      <c r="E1124" s="290"/>
      <c r="F1124" s="291"/>
      <c r="G1124" s="291"/>
      <c r="H1124" s="291"/>
      <c r="I1124" s="291"/>
      <c r="J1124" s="291"/>
      <c r="K1124" s="291"/>
      <c r="L1124" s="291"/>
      <c r="M1124" s="291"/>
      <c r="N1124" s="291"/>
      <c r="O1124" s="291"/>
      <c r="P1124" s="291"/>
      <c r="Q1124" s="291"/>
      <c r="R1124" s="291"/>
      <c r="S1124" s="291"/>
      <c r="T1124" s="291"/>
      <c r="U1124" s="291"/>
      <c r="V1124" s="291"/>
      <c r="W1124" s="291"/>
      <c r="X1124" s="291"/>
      <c r="Y1124" s="291"/>
      <c r="Z1124" s="291"/>
      <c r="AA1124" s="291"/>
      <c r="AB1124" s="291"/>
      <c r="AC1124" s="287"/>
      <c r="AD1124" s="287"/>
    </row>
    <row r="1125" spans="2:30" s="295" customFormat="1">
      <c r="B1125" s="287"/>
      <c r="C1125" s="288"/>
      <c r="D1125" s="289"/>
      <c r="E1125" s="290"/>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87"/>
      <c r="AD1125" s="287"/>
    </row>
    <row r="1126" spans="2:30" s="295" customFormat="1">
      <c r="B1126" s="287"/>
      <c r="C1126" s="288"/>
      <c r="D1126" s="289"/>
      <c r="E1126" s="290"/>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87"/>
      <c r="AD1126" s="287"/>
    </row>
    <row r="1127" spans="2:30" s="295" customFormat="1">
      <c r="B1127" s="287"/>
      <c r="C1127" s="288"/>
      <c r="D1127" s="289"/>
      <c r="E1127" s="290"/>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87"/>
      <c r="AD1127" s="287"/>
    </row>
    <row r="1128" spans="2:30" s="295" customFormat="1">
      <c r="B1128" s="287"/>
      <c r="C1128" s="288"/>
      <c r="D1128" s="289"/>
      <c r="E1128" s="290"/>
      <c r="F1128" s="291"/>
      <c r="G1128" s="291"/>
      <c r="H1128" s="291"/>
      <c r="I1128" s="291"/>
      <c r="J1128" s="291"/>
      <c r="K1128" s="291"/>
      <c r="L1128" s="291"/>
      <c r="M1128" s="291"/>
      <c r="N1128" s="291"/>
      <c r="O1128" s="291"/>
      <c r="P1128" s="291"/>
      <c r="Q1128" s="291"/>
      <c r="R1128" s="291"/>
      <c r="S1128" s="291"/>
      <c r="T1128" s="291"/>
      <c r="U1128" s="291"/>
      <c r="V1128" s="291"/>
      <c r="W1128" s="291"/>
      <c r="X1128" s="291"/>
      <c r="Y1128" s="291"/>
      <c r="Z1128" s="291"/>
      <c r="AA1128" s="291"/>
      <c r="AB1128" s="291"/>
      <c r="AC1128" s="287"/>
      <c r="AD1128" s="287"/>
    </row>
    <row r="1129" spans="2:30" s="295" customFormat="1">
      <c r="B1129" s="287"/>
      <c r="C1129" s="288"/>
      <c r="D1129" s="289"/>
      <c r="E1129" s="290"/>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87"/>
      <c r="AD1129" s="287"/>
    </row>
    <row r="1130" spans="2:30" s="295" customFormat="1">
      <c r="B1130" s="287"/>
      <c r="C1130" s="288"/>
      <c r="D1130" s="289"/>
      <c r="E1130" s="290"/>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87"/>
      <c r="AD1130" s="287"/>
    </row>
    <row r="1131" spans="2:30">
      <c r="C1131" s="40"/>
      <c r="D1131" s="41"/>
      <c r="E1131" s="42"/>
      <c r="F1131" s="47"/>
      <c r="G1131" s="47"/>
      <c r="H1131" s="47"/>
      <c r="I1131" s="47"/>
      <c r="J1131" s="47"/>
      <c r="K1131" s="47"/>
      <c r="L1131" s="47"/>
      <c r="M1131" s="47"/>
      <c r="N1131" s="47"/>
      <c r="O1131" s="47"/>
      <c r="P1131" s="47"/>
      <c r="Q1131" s="47"/>
      <c r="R1131" s="47"/>
      <c r="S1131" s="47"/>
      <c r="T1131" s="47"/>
      <c r="U1131" s="47"/>
      <c r="V1131" s="47"/>
      <c r="W1131" s="47"/>
      <c r="X1131" s="47"/>
      <c r="Y1131" s="47"/>
      <c r="Z1131" s="47"/>
      <c r="AA1131" s="47"/>
      <c r="AB1131" s="47"/>
    </row>
    <row r="1132" spans="2:30">
      <c r="C1132" s="40"/>
      <c r="D1132" s="41"/>
      <c r="E1132" s="42"/>
      <c r="F1132" s="47"/>
      <c r="G1132" s="47"/>
      <c r="H1132" s="47"/>
      <c r="I1132" s="47"/>
      <c r="J1132" s="47"/>
      <c r="K1132" s="47"/>
      <c r="L1132" s="47"/>
      <c r="M1132" s="47"/>
      <c r="N1132" s="47"/>
      <c r="O1132" s="47"/>
      <c r="P1132" s="47"/>
      <c r="Q1132" s="47"/>
      <c r="R1132" s="47"/>
      <c r="S1132" s="47"/>
      <c r="T1132" s="47"/>
      <c r="U1132" s="47"/>
      <c r="V1132" s="47"/>
      <c r="W1132" s="47"/>
      <c r="X1132" s="47"/>
      <c r="Y1132" s="47"/>
      <c r="Z1132" s="47"/>
      <c r="AA1132" s="47"/>
      <c r="AB1132" s="47"/>
    </row>
    <row r="1133" spans="2:30">
      <c r="C1133" s="40"/>
      <c r="D1133" s="41"/>
      <c r="E1133" s="42"/>
      <c r="F1133" s="47"/>
      <c r="G1133" s="47"/>
      <c r="H1133" s="47"/>
      <c r="I1133" s="47"/>
      <c r="J1133" s="47"/>
      <c r="K1133" s="47"/>
      <c r="L1133" s="47"/>
      <c r="M1133" s="47"/>
      <c r="N1133" s="47"/>
      <c r="O1133" s="47"/>
      <c r="P1133" s="47"/>
      <c r="Q1133" s="47"/>
      <c r="R1133" s="47"/>
      <c r="S1133" s="47"/>
      <c r="T1133" s="47"/>
      <c r="U1133" s="47"/>
      <c r="V1133" s="47"/>
      <c r="W1133" s="47"/>
      <c r="X1133" s="47"/>
      <c r="Y1133" s="47"/>
      <c r="Z1133" s="47"/>
      <c r="AA1133" s="47"/>
      <c r="AB1133" s="47"/>
    </row>
    <row r="1134" spans="2:30">
      <c r="C1134" s="40"/>
      <c r="D1134" s="41"/>
      <c r="E1134" s="42"/>
      <c r="F1134" s="47"/>
      <c r="G1134" s="47"/>
      <c r="H1134" s="47"/>
      <c r="I1134" s="47"/>
      <c r="J1134" s="47"/>
      <c r="K1134" s="47"/>
      <c r="L1134" s="47"/>
      <c r="M1134" s="47"/>
      <c r="N1134" s="47"/>
      <c r="O1134" s="47"/>
      <c r="P1134" s="47"/>
      <c r="Q1134" s="47"/>
      <c r="R1134" s="47"/>
      <c r="S1134" s="47"/>
      <c r="T1134" s="47"/>
      <c r="U1134" s="47"/>
      <c r="V1134" s="47"/>
      <c r="W1134" s="47"/>
      <c r="X1134" s="47"/>
      <c r="Y1134" s="47"/>
      <c r="Z1134" s="47"/>
      <c r="AA1134" s="47"/>
      <c r="AB1134" s="47"/>
    </row>
    <row r="1135" spans="2:30">
      <c r="C1135" s="40"/>
      <c r="D1135" s="41"/>
      <c r="E1135" s="42"/>
      <c r="F1135" s="47"/>
      <c r="G1135" s="47"/>
      <c r="H1135" s="47"/>
      <c r="I1135" s="47"/>
      <c r="J1135" s="47"/>
      <c r="K1135" s="47"/>
      <c r="L1135" s="47"/>
      <c r="M1135" s="47"/>
      <c r="N1135" s="47"/>
      <c r="O1135" s="47"/>
      <c r="P1135" s="47"/>
      <c r="Q1135" s="47"/>
      <c r="R1135" s="47"/>
      <c r="S1135" s="47"/>
      <c r="T1135" s="47"/>
      <c r="U1135" s="47"/>
      <c r="V1135" s="47"/>
      <c r="W1135" s="47"/>
      <c r="X1135" s="47"/>
      <c r="Y1135" s="47"/>
      <c r="Z1135" s="47"/>
      <c r="AA1135" s="47"/>
      <c r="AB1135" s="47"/>
    </row>
    <row r="1136" spans="2:30">
      <c r="C1136" s="40"/>
      <c r="D1136" s="41"/>
      <c r="E1136" s="42"/>
      <c r="F1136" s="47"/>
      <c r="G1136" s="47"/>
      <c r="H1136" s="47"/>
      <c r="I1136" s="47"/>
      <c r="J1136" s="47"/>
      <c r="K1136" s="47"/>
      <c r="L1136" s="47"/>
      <c r="M1136" s="47"/>
      <c r="N1136" s="47"/>
      <c r="O1136" s="47"/>
      <c r="P1136" s="47"/>
      <c r="Q1136" s="47"/>
      <c r="R1136" s="47"/>
      <c r="S1136" s="47"/>
      <c r="T1136" s="47"/>
      <c r="U1136" s="47"/>
      <c r="V1136" s="47"/>
      <c r="W1136" s="47"/>
      <c r="X1136" s="47"/>
      <c r="Y1136" s="47"/>
      <c r="Z1136" s="47"/>
      <c r="AA1136" s="47"/>
      <c r="AB1136" s="47"/>
    </row>
    <row r="1137" spans="3:28">
      <c r="C1137" s="40"/>
      <c r="D1137" s="41"/>
      <c r="E1137" s="42"/>
      <c r="F1137" s="47"/>
      <c r="G1137" s="47"/>
      <c r="H1137" s="47"/>
      <c r="I1137" s="47"/>
      <c r="J1137" s="47"/>
      <c r="K1137" s="47"/>
      <c r="L1137" s="47"/>
      <c r="M1137" s="47"/>
      <c r="N1137" s="47"/>
      <c r="O1137" s="47"/>
      <c r="P1137" s="47"/>
      <c r="Q1137" s="47"/>
      <c r="R1137" s="47"/>
      <c r="S1137" s="47"/>
      <c r="T1137" s="47"/>
      <c r="U1137" s="47"/>
      <c r="V1137" s="47"/>
      <c r="W1137" s="47"/>
      <c r="X1137" s="47"/>
      <c r="Y1137" s="47"/>
      <c r="Z1137" s="47"/>
      <c r="AA1137" s="47"/>
      <c r="AB1137" s="47"/>
    </row>
    <row r="1138" spans="3:28">
      <c r="C1138" s="40"/>
      <c r="D1138" s="41"/>
      <c r="E1138" s="42"/>
      <c r="F1138" s="47"/>
      <c r="G1138" s="47"/>
      <c r="H1138" s="47"/>
      <c r="I1138" s="47"/>
      <c r="J1138" s="47"/>
      <c r="K1138" s="47"/>
      <c r="L1138" s="47"/>
      <c r="M1138" s="47"/>
      <c r="N1138" s="47"/>
      <c r="O1138" s="47"/>
      <c r="P1138" s="47"/>
      <c r="Q1138" s="47"/>
      <c r="R1138" s="47"/>
      <c r="S1138" s="47"/>
      <c r="T1138" s="47"/>
      <c r="U1138" s="47"/>
      <c r="V1138" s="47"/>
      <c r="W1138" s="47"/>
      <c r="X1138" s="47"/>
      <c r="Y1138" s="47"/>
      <c r="Z1138" s="47"/>
      <c r="AA1138" s="47"/>
      <c r="AB1138" s="47"/>
    </row>
  </sheetData>
  <sheetProtection password="C1FB" sheet="1" objects="1" scenarios="1" formatCells="0" formatColumns="0" formatRows="0" selectLockedCells="1"/>
  <protectedRanges>
    <protectedRange sqref="AC6:AD22" name="Range4"/>
    <protectedRange sqref="C6:E22 C23:C26" name="Range1"/>
    <protectedRange sqref="G23:H27 F6:K6 N6 F7:N7 N8:N22 F8:L22 M8:M27" name="Range2"/>
    <protectedRange sqref="P22:R22 P20:R20 Y19:Z22 M6 P8:Q19 R8 P21:Q21 X19:X27 P6:Z7 T19:W22 S8:Z18" name="Range3"/>
    <protectedRange sqref="C23:E27" name="Range5"/>
    <protectedRange sqref="F23:F27 I23:L27 N23:N27" name="Range6"/>
    <protectedRange sqref="Y23:Z27 P23:W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8">
    <mergeCell ref="J3:K3"/>
    <mergeCell ref="AF4:AK6"/>
    <mergeCell ref="H45:I45"/>
    <mergeCell ref="K44:S44"/>
    <mergeCell ref="T44:Z44"/>
    <mergeCell ref="K5:K6"/>
    <mergeCell ref="S5:S6"/>
    <mergeCell ref="AA44:AD44"/>
    <mergeCell ref="AC5:AC6"/>
    <mergeCell ref="AD5:AD6"/>
    <mergeCell ref="AA5:AA6"/>
    <mergeCell ref="AB5:AB6"/>
    <mergeCell ref="E5:E6"/>
    <mergeCell ref="G5:G6"/>
    <mergeCell ref="H5:H6"/>
    <mergeCell ref="O5:O6"/>
    <mergeCell ref="B1:D1"/>
    <mergeCell ref="C5:C6"/>
    <mergeCell ref="B5:B6"/>
    <mergeCell ref="D5:D6"/>
    <mergeCell ref="M5:M6"/>
    <mergeCell ref="B2:D2"/>
    <mergeCell ref="E2:F2"/>
    <mergeCell ref="B3:D3"/>
    <mergeCell ref="E1:H1"/>
    <mergeCell ref="E3:F3"/>
    <mergeCell ref="N3:V3"/>
    <mergeCell ref="G2:I3"/>
  </mergeCells>
  <conditionalFormatting sqref="S52">
    <cfRule type="colorScale" priority="40">
      <colorScale>
        <cfvo type="min" val="0"/>
        <cfvo type="percentile" val="50"/>
        <cfvo type="max" val="0"/>
        <color rgb="FFF8696B"/>
        <color rgb="FFFCFCFF"/>
        <color rgb="FF5A8AC6"/>
      </colorScale>
    </cfRule>
  </conditionalFormatting>
  <conditionalFormatting sqref="M45:S86">
    <cfRule type="colorScale" priority="39">
      <colorScale>
        <cfvo type="min" val="0"/>
        <cfvo type="percentile" val="50"/>
        <cfvo type="max" val="0"/>
        <color rgb="FFF8696B"/>
        <color rgb="FFFCFCFF"/>
        <color rgb="FF5A8AC6"/>
      </colorScale>
    </cfRule>
  </conditionalFormatting>
  <conditionalFormatting sqref="M45:S46 M47:P86 R47:S86">
    <cfRule type="colorScale" priority="38">
      <colorScale>
        <cfvo type="min" val="0"/>
        <cfvo type="percentile" val="50"/>
        <cfvo type="max" val="0"/>
        <color rgb="FFF8696B"/>
        <color rgb="FFFCFCFF"/>
        <color rgb="FF63BE7B"/>
      </colorScale>
    </cfRule>
  </conditionalFormatting>
  <conditionalFormatting sqref="T45:Z86">
    <cfRule type="colorScale" priority="36">
      <colorScale>
        <cfvo type="min" val="0"/>
        <cfvo type="percentile" val="50"/>
        <cfvo type="max" val="0"/>
        <color rgb="FFF8696B"/>
        <color rgb="FFFCFCFF"/>
        <color rgb="FF5A8AC6"/>
      </colorScale>
    </cfRule>
  </conditionalFormatting>
  <conditionalFormatting sqref="T45:Z86">
    <cfRule type="colorScale" priority="35">
      <colorScale>
        <cfvo type="min" val="0"/>
        <cfvo type="percentile" val="50"/>
        <cfvo type="max" val="0"/>
        <color rgb="FFF8696B"/>
        <color rgb="FFFCFCFF"/>
        <color rgb="FF63BE7B"/>
      </colorScale>
    </cfRule>
  </conditionalFormatting>
  <conditionalFormatting sqref="AA45:AD69">
    <cfRule type="colorScale" priority="34">
      <colorScale>
        <cfvo type="min" val="0"/>
        <cfvo type="percentile" val="50"/>
        <cfvo type="max" val="0"/>
        <color rgb="FFF8696B"/>
        <color rgb="FFFCFCFF"/>
        <color rgb="FF5A8AC6"/>
      </colorScale>
    </cfRule>
  </conditionalFormatting>
  <conditionalFormatting sqref="AA45:AD69">
    <cfRule type="colorScale" priority="33">
      <colorScale>
        <cfvo type="min" val="0"/>
        <cfvo type="percentile" val="50"/>
        <cfvo type="max" val="0"/>
        <color rgb="FFF8696B"/>
        <color rgb="FFFCFCFF"/>
        <color rgb="FF63BE7B"/>
      </colorScale>
    </cfRule>
  </conditionalFormatting>
  <conditionalFormatting sqref="K45:L86">
    <cfRule type="colorScale" priority="32">
      <colorScale>
        <cfvo type="min" val="0"/>
        <cfvo type="percentile" val="50"/>
        <cfvo type="max" val="0"/>
        <color rgb="FFF8696B"/>
        <color rgb="FFFCFCFF"/>
        <color rgb="FF5A8AC6"/>
      </colorScale>
    </cfRule>
  </conditionalFormatting>
  <conditionalFormatting sqref="K45:L86">
    <cfRule type="colorScale" priority="31">
      <colorScale>
        <cfvo type="min" val="0"/>
        <cfvo type="percentile" val="50"/>
        <cfvo type="max" val="0"/>
        <color rgb="FFF8696B"/>
        <color rgb="FFFCFCFF"/>
        <color rgb="FF63BE7B"/>
      </colorScale>
    </cfRule>
  </conditionalFormatting>
  <conditionalFormatting sqref="S53">
    <cfRule type="colorScale" priority="30">
      <colorScale>
        <cfvo type="min" val="0"/>
        <cfvo type="percentile" val="50"/>
        <cfvo type="max" val="0"/>
        <color rgb="FFF8696B"/>
        <color rgb="FFFCFCFF"/>
        <color rgb="FF5A8AC6"/>
      </colorScale>
    </cfRule>
  </conditionalFormatting>
  <conditionalFormatting sqref="I68:I86">
    <cfRule type="colorScale" priority="29">
      <colorScale>
        <cfvo type="min" val="0"/>
        <cfvo type="percentile" val="50"/>
        <cfvo type="max" val="0"/>
        <color rgb="FFF8696B"/>
        <color rgb="FFFCFCFF"/>
        <color rgb="FF5A8AC6"/>
      </colorScale>
    </cfRule>
  </conditionalFormatting>
  <conditionalFormatting sqref="I68:I86">
    <cfRule type="colorScale" priority="28">
      <colorScale>
        <cfvo type="min" val="0"/>
        <cfvo type="percentile" val="50"/>
        <cfvo type="max" val="0"/>
        <color rgb="FFF8696B"/>
        <color rgb="FFFCFCFF"/>
        <color rgb="FF63BE7B"/>
      </colorScale>
    </cfRule>
  </conditionalFormatting>
  <conditionalFormatting sqref="G68:H86">
    <cfRule type="colorScale" priority="26">
      <colorScale>
        <cfvo type="min" val="0"/>
        <cfvo type="percentile" val="50"/>
        <cfvo type="max" val="0"/>
        <color rgb="FFF8696B"/>
        <color rgb="FFFCFCFF"/>
        <color rgb="FF5A8AC6"/>
      </colorScale>
    </cfRule>
  </conditionalFormatting>
  <conditionalFormatting sqref="G68:H86">
    <cfRule type="colorScale" priority="25">
      <colorScale>
        <cfvo type="min" val="0"/>
        <cfvo type="percentile" val="50"/>
        <cfvo type="max" val="0"/>
        <color rgb="FFF8696B"/>
        <color rgb="FFFCFCFF"/>
        <color rgb="FF63BE7B"/>
      </colorScale>
    </cfRule>
  </conditionalFormatting>
  <conditionalFormatting sqref="J68:J86">
    <cfRule type="colorScale" priority="23">
      <colorScale>
        <cfvo type="min" val="0"/>
        <cfvo type="percentile" val="50"/>
        <cfvo type="max" val="0"/>
        <color rgb="FFF8696B"/>
        <color rgb="FFFCFCFF"/>
        <color rgb="FF5A8AC6"/>
      </colorScale>
    </cfRule>
  </conditionalFormatting>
  <conditionalFormatting sqref="J68:J86">
    <cfRule type="colorScale" priority="22">
      <colorScale>
        <cfvo type="min" val="0"/>
        <cfvo type="percentile" val="50"/>
        <cfvo type="max" val="0"/>
        <color rgb="FFF8696B"/>
        <color rgb="FFFCFCFF"/>
        <color rgb="FF63BE7B"/>
      </colorScale>
    </cfRule>
  </conditionalFormatting>
  <conditionalFormatting sqref="F7:F18">
    <cfRule type="cellIs" dxfId="0" priority="20" operator="greaterThan">
      <formula>$F$14</formula>
    </cfRule>
  </conditionalFormatting>
  <dataValidations count="2">
    <dataValidation type="list" allowBlank="1" showInputMessage="1" showErrorMessage="1" sqref="E3:F3">
      <formula1>$AR$5:$AR$31</formula1>
    </dataValidation>
    <dataValidation type="list" allowBlank="1" showInputMessage="1" showErrorMessage="1" prompt="Sellect Month" sqref="E2:F2">
      <formula1>$AM$12:$AM$24</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P1077"/>
  <sheetViews>
    <sheetView zoomScale="90" zoomScaleNormal="90" workbookViewId="0">
      <selection activeCell="G17" sqref="G17"/>
    </sheetView>
  </sheetViews>
  <sheetFormatPr defaultRowHeight="15"/>
  <cols>
    <col min="1" max="1" width="16.7109375" customWidth="1"/>
    <col min="3" max="4" width="9.140625" hidden="1" customWidth="1"/>
    <col min="5" max="5" width="51" style="13" customWidth="1"/>
    <col min="6" max="6" width="12.42578125" style="13" customWidth="1"/>
    <col min="7" max="7" width="21.85546875" customWidth="1"/>
    <col min="8" max="8" width="87.28515625" customWidth="1"/>
    <col min="9" max="9" width="14.42578125" style="161" customWidth="1"/>
    <col min="10" max="10" width="22.42578125" customWidth="1"/>
    <col min="41" max="42" width="9.140625" hidden="1" customWidth="1"/>
  </cols>
  <sheetData>
    <row r="1" spans="1:41" ht="7.5" customHeight="1">
      <c r="A1" s="50"/>
      <c r="B1" s="50"/>
      <c r="C1" s="50"/>
      <c r="D1" s="50"/>
      <c r="E1" s="49"/>
      <c r="F1" s="49"/>
      <c r="G1" s="49"/>
      <c r="H1" s="49"/>
      <c r="I1" s="49"/>
      <c r="J1" s="49"/>
      <c r="K1" s="49"/>
      <c r="L1" s="49"/>
      <c r="M1" s="49"/>
      <c r="N1" s="49"/>
      <c r="O1" s="49"/>
      <c r="P1" s="49"/>
      <c r="Q1" s="49"/>
      <c r="R1" s="49"/>
      <c r="S1" s="49"/>
      <c r="T1" s="49"/>
      <c r="U1" s="49"/>
      <c r="V1" s="49"/>
      <c r="W1" s="49"/>
      <c r="X1" s="49"/>
      <c r="Y1" s="49"/>
      <c r="Z1" s="49"/>
      <c r="AA1" s="50"/>
      <c r="AB1" s="50"/>
      <c r="AC1" s="50"/>
      <c r="AD1" s="50"/>
      <c r="AE1" s="50"/>
      <c r="AF1" s="50"/>
      <c r="AG1" s="50"/>
      <c r="AH1" s="13"/>
      <c r="AI1" s="13"/>
    </row>
    <row r="2" spans="1:41" ht="24.95" customHeight="1">
      <c r="A2" s="50"/>
      <c r="B2" s="50"/>
      <c r="C2" s="50"/>
      <c r="D2" s="50"/>
      <c r="E2" s="564" t="s">
        <v>61</v>
      </c>
      <c r="F2" s="564"/>
      <c r="G2" s="564"/>
      <c r="H2" s="564"/>
      <c r="I2" s="564"/>
      <c r="J2" s="564"/>
      <c r="K2" s="49"/>
      <c r="L2" s="49"/>
      <c r="M2" s="49"/>
      <c r="N2" s="49"/>
      <c r="O2" s="49"/>
      <c r="P2" s="49"/>
      <c r="Q2" s="49"/>
      <c r="R2" s="49"/>
      <c r="S2" s="49"/>
      <c r="T2" s="49"/>
      <c r="U2" s="49"/>
      <c r="V2" s="49"/>
      <c r="W2" s="49"/>
      <c r="X2" s="49"/>
      <c r="Y2" s="49"/>
      <c r="Z2" s="49"/>
      <c r="AA2" s="49"/>
      <c r="AB2" s="49"/>
      <c r="AC2" s="49"/>
      <c r="AD2" s="50"/>
      <c r="AE2" s="50"/>
      <c r="AF2" s="50"/>
      <c r="AG2" s="50"/>
      <c r="AH2" s="13"/>
      <c r="AI2" s="13"/>
    </row>
    <row r="3" spans="1:41" ht="21" customHeight="1">
      <c r="A3" s="50"/>
      <c r="B3" s="50"/>
      <c r="C3" s="50"/>
      <c r="D3" s="50"/>
      <c r="E3" s="565" t="s">
        <v>290</v>
      </c>
      <c r="F3" s="565"/>
      <c r="G3" s="565"/>
      <c r="H3" s="565"/>
      <c r="I3" s="565"/>
      <c r="J3" s="565"/>
      <c r="K3" s="49"/>
      <c r="L3" s="49"/>
      <c r="M3" s="49"/>
      <c r="N3" s="49"/>
      <c r="O3" s="49"/>
      <c r="P3" s="49"/>
      <c r="Q3" s="49"/>
      <c r="R3" s="49"/>
      <c r="S3" s="49"/>
      <c r="T3" s="49"/>
      <c r="U3" s="49"/>
      <c r="V3" s="49"/>
      <c r="W3" s="49"/>
      <c r="X3" s="49"/>
      <c r="Y3" s="49"/>
      <c r="Z3" s="49"/>
      <c r="AA3" s="49"/>
      <c r="AB3" s="49"/>
      <c r="AC3" s="49"/>
      <c r="AD3" s="50"/>
      <c r="AE3" s="50"/>
      <c r="AF3" s="50"/>
      <c r="AG3" s="50"/>
      <c r="AH3" s="269"/>
      <c r="AI3" s="13"/>
      <c r="AO3" s="161" t="s">
        <v>389</v>
      </c>
    </row>
    <row r="4" spans="1:41" ht="22.5" customHeight="1">
      <c r="A4" s="50"/>
      <c r="B4" s="50"/>
      <c r="C4" s="50"/>
      <c r="D4" s="50"/>
      <c r="E4" s="565"/>
      <c r="F4" s="565"/>
      <c r="G4" s="565"/>
      <c r="H4" s="565"/>
      <c r="I4" s="565"/>
      <c r="J4" s="565"/>
      <c r="K4" s="49"/>
      <c r="L4" s="49"/>
      <c r="M4" s="49"/>
      <c r="N4" s="49"/>
      <c r="O4" s="49"/>
      <c r="P4" s="49"/>
      <c r="Q4" s="49"/>
      <c r="R4" s="49"/>
      <c r="S4" s="49"/>
      <c r="T4" s="49"/>
      <c r="U4" s="49"/>
      <c r="V4" s="49"/>
      <c r="W4" s="49"/>
      <c r="X4" s="49"/>
      <c r="Y4" s="49"/>
      <c r="Z4" s="49"/>
      <c r="AA4" s="49"/>
      <c r="AB4" s="49"/>
      <c r="AC4" s="49"/>
      <c r="AD4" s="50"/>
      <c r="AE4" s="50"/>
      <c r="AF4" s="50"/>
      <c r="AG4" s="50"/>
      <c r="AH4" s="269"/>
      <c r="AI4" s="13"/>
      <c r="AO4" s="161" t="s">
        <v>239</v>
      </c>
    </row>
    <row r="5" spans="1:41" ht="42" customHeight="1">
      <c r="A5" s="50"/>
      <c r="B5" s="50"/>
      <c r="C5" s="50"/>
      <c r="D5" s="50"/>
      <c r="E5" s="270" t="s">
        <v>390</v>
      </c>
      <c r="F5" s="271" t="s">
        <v>239</v>
      </c>
      <c r="G5" s="371" t="str">
        <f>IF(AND(F5=""),"0",IF(AND(F5=AO4),"0",G32))</f>
        <v>0</v>
      </c>
      <c r="H5" s="573" t="s">
        <v>313</v>
      </c>
      <c r="I5" s="574"/>
      <c r="J5" s="150"/>
      <c r="K5" s="49"/>
      <c r="L5" s="49"/>
      <c r="M5" s="49"/>
      <c r="N5" s="49"/>
      <c r="O5" s="49"/>
      <c r="P5" s="49"/>
      <c r="Q5" s="49"/>
      <c r="R5" s="49"/>
      <c r="S5" s="49"/>
      <c r="T5" s="49"/>
      <c r="U5" s="49"/>
      <c r="V5" s="49"/>
      <c r="W5" s="49"/>
      <c r="X5" s="49"/>
      <c r="Y5" s="49"/>
      <c r="Z5" s="49"/>
      <c r="AA5" s="49"/>
      <c r="AB5" s="49"/>
      <c r="AC5" s="49"/>
      <c r="AD5" s="50"/>
      <c r="AE5" s="50"/>
      <c r="AF5" s="50"/>
      <c r="AG5" s="50"/>
      <c r="AH5" s="13"/>
      <c r="AI5" s="13"/>
    </row>
    <row r="6" spans="1:41" ht="21" customHeight="1">
      <c r="A6" s="50"/>
      <c r="B6" s="50"/>
      <c r="C6" s="50"/>
      <c r="D6" s="50"/>
      <c r="E6" s="567" t="s">
        <v>264</v>
      </c>
      <c r="F6" s="568"/>
      <c r="G6" s="150"/>
      <c r="H6" s="575" t="s">
        <v>292</v>
      </c>
      <c r="I6" s="576"/>
      <c r="J6" s="150"/>
      <c r="K6" s="49"/>
      <c r="L6" s="49"/>
      <c r="M6" s="49"/>
      <c r="N6" s="49"/>
      <c r="O6" s="49"/>
      <c r="P6" s="49"/>
      <c r="Q6" s="49"/>
      <c r="R6" s="49"/>
      <c r="S6" s="49"/>
      <c r="T6" s="49"/>
      <c r="U6" s="49"/>
      <c r="V6" s="49"/>
      <c r="W6" s="49"/>
      <c r="X6" s="49"/>
      <c r="Y6" s="49"/>
      <c r="Z6" s="49"/>
      <c r="AA6" s="49"/>
      <c r="AB6" s="49"/>
      <c r="AC6" s="49"/>
      <c r="AD6" s="50"/>
      <c r="AE6" s="50"/>
      <c r="AF6" s="50"/>
      <c r="AG6" s="50"/>
      <c r="AH6" s="13"/>
      <c r="AI6" s="13"/>
    </row>
    <row r="7" spans="1:41" ht="21" customHeight="1">
      <c r="A7" s="50"/>
      <c r="B7" s="50"/>
      <c r="C7" s="50"/>
      <c r="D7" s="50"/>
      <c r="E7" s="569" t="s">
        <v>265</v>
      </c>
      <c r="F7" s="570"/>
      <c r="G7" s="150"/>
      <c r="H7" s="573" t="s">
        <v>304</v>
      </c>
      <c r="I7" s="574"/>
      <c r="J7" s="150"/>
      <c r="K7" s="49"/>
      <c r="L7" s="49"/>
      <c r="M7" s="49"/>
      <c r="N7" s="49"/>
      <c r="O7" s="49"/>
      <c r="P7" s="49"/>
      <c r="Q7" s="49"/>
      <c r="R7" s="49"/>
      <c r="S7" s="49"/>
      <c r="T7" s="49"/>
      <c r="U7" s="49"/>
      <c r="V7" s="49"/>
      <c r="W7" s="49"/>
      <c r="X7" s="49"/>
      <c r="Y7" s="49"/>
      <c r="Z7" s="49"/>
      <c r="AA7" s="49"/>
      <c r="AB7" s="49"/>
      <c r="AC7" s="49"/>
      <c r="AD7" s="50"/>
      <c r="AE7" s="50"/>
      <c r="AF7" s="50"/>
      <c r="AG7" s="50"/>
      <c r="AH7" s="13"/>
      <c r="AI7" s="13"/>
    </row>
    <row r="8" spans="1:41" ht="21" customHeight="1">
      <c r="A8" s="50"/>
      <c r="B8" s="50"/>
      <c r="C8" s="50"/>
      <c r="D8" s="50"/>
      <c r="E8" s="571" t="s">
        <v>260</v>
      </c>
      <c r="F8" s="572"/>
      <c r="G8" s="150"/>
      <c r="H8" s="577" t="s">
        <v>293</v>
      </c>
      <c r="I8" s="578"/>
      <c r="J8" s="150"/>
      <c r="K8" s="49"/>
      <c r="L8" s="49"/>
      <c r="M8" s="49"/>
      <c r="N8" s="49"/>
      <c r="O8" s="49"/>
      <c r="P8" s="49"/>
      <c r="Q8" s="49"/>
      <c r="R8" s="49"/>
      <c r="S8" s="49"/>
      <c r="T8" s="49"/>
      <c r="U8" s="49"/>
      <c r="V8" s="49"/>
      <c r="W8" s="49"/>
      <c r="X8" s="49"/>
      <c r="Y8" s="49"/>
      <c r="Z8" s="49"/>
      <c r="AA8" s="49"/>
      <c r="AB8" s="49"/>
      <c r="AC8" s="49"/>
      <c r="AD8" s="50"/>
      <c r="AE8" s="50"/>
      <c r="AF8" s="50"/>
      <c r="AG8" s="50"/>
      <c r="AH8" s="13"/>
      <c r="AI8" s="13"/>
    </row>
    <row r="9" spans="1:41" ht="22.5" customHeight="1">
      <c r="A9" s="50"/>
      <c r="B9" s="50"/>
      <c r="C9" s="50"/>
      <c r="D9" s="50"/>
      <c r="E9" s="569" t="s">
        <v>261</v>
      </c>
      <c r="F9" s="570"/>
      <c r="G9" s="150"/>
      <c r="H9" s="573" t="s">
        <v>294</v>
      </c>
      <c r="I9" s="574"/>
      <c r="J9" s="150"/>
      <c r="K9" s="49"/>
      <c r="L9" s="49"/>
      <c r="M9" s="49"/>
      <c r="N9" s="49"/>
      <c r="O9" s="49"/>
      <c r="P9" s="49"/>
      <c r="Q9" s="49"/>
      <c r="R9" s="49"/>
      <c r="S9" s="49"/>
      <c r="T9" s="49"/>
      <c r="U9" s="49"/>
      <c r="V9" s="49"/>
      <c r="W9" s="49"/>
      <c r="X9" s="49"/>
      <c r="Y9" s="49"/>
      <c r="Z9" s="49"/>
      <c r="AA9" s="49"/>
      <c r="AB9" s="49"/>
      <c r="AC9" s="49"/>
      <c r="AD9" s="50"/>
      <c r="AE9" s="50"/>
      <c r="AF9" s="50"/>
      <c r="AG9" s="50"/>
      <c r="AH9" s="13"/>
      <c r="AI9" s="13"/>
    </row>
    <row r="10" spans="1:41" ht="21" customHeight="1">
      <c r="A10" s="50"/>
      <c r="B10" s="50"/>
      <c r="C10" s="50"/>
      <c r="D10" s="50"/>
      <c r="E10" s="571" t="s">
        <v>387</v>
      </c>
      <c r="F10" s="572"/>
      <c r="G10" s="150"/>
      <c r="H10" s="575" t="s">
        <v>305</v>
      </c>
      <c r="I10" s="576"/>
      <c r="J10" s="150"/>
      <c r="K10" s="49"/>
      <c r="L10" s="49"/>
      <c r="M10" s="49"/>
      <c r="N10" s="49"/>
      <c r="O10" s="49"/>
      <c r="P10" s="49"/>
      <c r="Q10" s="49"/>
      <c r="R10" s="49"/>
      <c r="S10" s="49"/>
      <c r="T10" s="49"/>
      <c r="U10" s="49"/>
      <c r="V10" s="49"/>
      <c r="W10" s="49"/>
      <c r="X10" s="49"/>
      <c r="Y10" s="49"/>
      <c r="Z10" s="49"/>
      <c r="AA10" s="49"/>
      <c r="AB10" s="49"/>
      <c r="AC10" s="49"/>
      <c r="AD10" s="50"/>
      <c r="AE10" s="50"/>
      <c r="AF10" s="50"/>
      <c r="AG10" s="50"/>
      <c r="AH10" s="13"/>
      <c r="AI10" s="13"/>
    </row>
    <row r="11" spans="1:41" ht="21" customHeight="1">
      <c r="A11" s="50"/>
      <c r="B11" s="50"/>
      <c r="C11" s="50"/>
      <c r="D11" s="50"/>
      <c r="E11" s="569" t="s">
        <v>388</v>
      </c>
      <c r="F11" s="570"/>
      <c r="G11" s="150"/>
      <c r="H11" s="573" t="s">
        <v>295</v>
      </c>
      <c r="I11" s="574"/>
      <c r="J11" s="150"/>
      <c r="K11" s="49"/>
      <c r="L11" s="49"/>
      <c r="M11" s="49"/>
      <c r="N11" s="49"/>
      <c r="O11" s="49"/>
      <c r="P11" s="49"/>
      <c r="Q11" s="49"/>
      <c r="R11" s="49"/>
      <c r="S11" s="49"/>
      <c r="T11" s="49"/>
      <c r="U11" s="49"/>
      <c r="V11" s="49"/>
      <c r="W11" s="49"/>
      <c r="X11" s="49"/>
      <c r="Y11" s="49"/>
      <c r="Z11" s="49"/>
      <c r="AA11" s="49"/>
      <c r="AB11" s="49"/>
      <c r="AC11" s="49"/>
      <c r="AD11" s="50"/>
      <c r="AE11" s="50"/>
      <c r="AF11" s="50"/>
      <c r="AG11" s="50"/>
      <c r="AH11" s="13"/>
      <c r="AI11" s="13"/>
    </row>
    <row r="12" spans="1:41" ht="21" customHeight="1">
      <c r="A12" s="50"/>
      <c r="B12" s="50"/>
      <c r="C12" s="50"/>
      <c r="D12" s="50"/>
      <c r="E12" s="149" t="s">
        <v>266</v>
      </c>
      <c r="F12" s="149"/>
      <c r="G12" s="150"/>
      <c r="H12" s="575" t="s">
        <v>296</v>
      </c>
      <c r="I12" s="576"/>
      <c r="J12" s="150"/>
      <c r="K12" s="49"/>
      <c r="L12" s="49"/>
      <c r="M12" s="49"/>
      <c r="N12" s="49"/>
      <c r="O12" s="49"/>
      <c r="P12" s="49"/>
      <c r="Q12" s="49"/>
      <c r="R12" s="49"/>
      <c r="S12" s="49"/>
      <c r="T12" s="49"/>
      <c r="U12" s="49"/>
      <c r="V12" s="49"/>
      <c r="W12" s="49"/>
      <c r="X12" s="49"/>
      <c r="Y12" s="49"/>
      <c r="Z12" s="49"/>
      <c r="AA12" s="49"/>
      <c r="AB12" s="49"/>
      <c r="AC12" s="49"/>
      <c r="AD12" s="50"/>
      <c r="AE12" s="50"/>
      <c r="AF12" s="50"/>
      <c r="AG12" s="50"/>
      <c r="AH12" s="13"/>
      <c r="AI12" s="13"/>
    </row>
    <row r="13" spans="1:41" ht="21" customHeight="1">
      <c r="A13" s="50"/>
      <c r="B13" s="50"/>
      <c r="C13" s="50"/>
      <c r="D13" s="50"/>
      <c r="E13" s="148" t="s">
        <v>267</v>
      </c>
      <c r="F13" s="148"/>
      <c r="G13" s="150"/>
      <c r="H13" s="573" t="s">
        <v>297</v>
      </c>
      <c r="I13" s="574"/>
      <c r="J13" s="150"/>
      <c r="K13" s="49"/>
      <c r="L13" s="49"/>
      <c r="M13" s="49"/>
      <c r="N13" s="49"/>
      <c r="O13" s="49"/>
      <c r="P13" s="49"/>
      <c r="Q13" s="49"/>
      <c r="R13" s="49"/>
      <c r="S13" s="49"/>
      <c r="T13" s="49"/>
      <c r="U13" s="49"/>
      <c r="V13" s="49"/>
      <c r="W13" s="49"/>
      <c r="X13" s="49"/>
      <c r="Y13" s="49"/>
      <c r="Z13" s="49"/>
      <c r="AA13" s="49"/>
      <c r="AB13" s="49"/>
      <c r="AC13" s="49"/>
      <c r="AD13" s="50"/>
      <c r="AE13" s="50"/>
      <c r="AF13" s="50"/>
      <c r="AG13" s="50"/>
      <c r="AH13" s="13"/>
      <c r="AI13" s="13"/>
    </row>
    <row r="14" spans="1:41" ht="21" customHeight="1">
      <c r="A14" s="50"/>
      <c r="B14" s="50"/>
      <c r="C14" s="50"/>
      <c r="D14" s="50"/>
      <c r="E14" s="149" t="s">
        <v>268</v>
      </c>
      <c r="F14" s="149"/>
      <c r="G14" s="150"/>
      <c r="H14" s="575" t="s">
        <v>298</v>
      </c>
      <c r="I14" s="576"/>
      <c r="J14" s="150"/>
      <c r="K14" s="49"/>
      <c r="L14" s="49"/>
      <c r="M14" s="49"/>
      <c r="N14" s="49"/>
      <c r="O14" s="49"/>
      <c r="P14" s="49"/>
      <c r="Q14" s="49"/>
      <c r="R14" s="49"/>
      <c r="S14" s="49"/>
      <c r="T14" s="49"/>
      <c r="U14" s="49"/>
      <c r="V14" s="49"/>
      <c r="W14" s="49"/>
      <c r="X14" s="49"/>
      <c r="Y14" s="49"/>
      <c r="Z14" s="49"/>
      <c r="AA14" s="49"/>
      <c r="AB14" s="49"/>
      <c r="AC14" s="49"/>
      <c r="AD14" s="50"/>
      <c r="AE14" s="50"/>
      <c r="AF14" s="50"/>
      <c r="AG14" s="50"/>
      <c r="AH14" s="13"/>
      <c r="AI14" s="13"/>
    </row>
    <row r="15" spans="1:41" ht="21" customHeight="1">
      <c r="A15" s="50"/>
      <c r="B15" s="50"/>
      <c r="C15" s="50"/>
      <c r="D15" s="50"/>
      <c r="E15" s="148" t="s">
        <v>262</v>
      </c>
      <c r="F15" s="148"/>
      <c r="G15" s="150"/>
      <c r="H15" s="573" t="s">
        <v>299</v>
      </c>
      <c r="I15" s="574"/>
      <c r="J15" s="150">
        <v>0</v>
      </c>
      <c r="K15" s="49"/>
      <c r="L15" s="49"/>
      <c r="M15" s="49"/>
      <c r="N15" s="49"/>
      <c r="O15" s="49"/>
      <c r="P15" s="49"/>
      <c r="Q15" s="49"/>
      <c r="R15" s="49"/>
      <c r="S15" s="49"/>
      <c r="T15" s="49"/>
      <c r="U15" s="49"/>
      <c r="V15" s="49"/>
      <c r="W15" s="49"/>
      <c r="X15" s="49"/>
      <c r="Y15" s="49"/>
      <c r="Z15" s="49"/>
      <c r="AA15" s="49"/>
      <c r="AB15" s="49"/>
      <c r="AC15" s="49"/>
      <c r="AD15" s="50"/>
      <c r="AE15" s="50"/>
      <c r="AF15" s="50"/>
      <c r="AG15" s="50"/>
      <c r="AH15" s="13"/>
      <c r="AI15" s="13"/>
    </row>
    <row r="16" spans="1:41" ht="21" customHeight="1">
      <c r="A16" s="50"/>
      <c r="B16" s="50"/>
      <c r="C16" s="50"/>
      <c r="D16" s="50"/>
      <c r="E16" s="149" t="s">
        <v>269</v>
      </c>
      <c r="F16" s="149"/>
      <c r="G16" s="150"/>
      <c r="H16" s="575" t="s">
        <v>300</v>
      </c>
      <c r="I16" s="576"/>
      <c r="J16" s="150"/>
      <c r="K16" s="49"/>
      <c r="L16" s="49"/>
      <c r="M16" s="49"/>
      <c r="N16" s="49"/>
      <c r="O16" s="49"/>
      <c r="P16" s="49"/>
      <c r="Q16" s="49"/>
      <c r="R16" s="49"/>
      <c r="S16" s="49"/>
      <c r="T16" s="49"/>
      <c r="U16" s="49"/>
      <c r="V16" s="49"/>
      <c r="W16" s="49"/>
      <c r="X16" s="49"/>
      <c r="Y16" s="49"/>
      <c r="Z16" s="49"/>
      <c r="AA16" s="49"/>
      <c r="AB16" s="49"/>
      <c r="AC16" s="49"/>
      <c r="AD16" s="50"/>
      <c r="AE16" s="50"/>
      <c r="AF16" s="50"/>
      <c r="AG16" s="50"/>
      <c r="AH16" s="13"/>
      <c r="AI16" s="13"/>
    </row>
    <row r="17" spans="1:35" ht="21" customHeight="1">
      <c r="A17" s="50"/>
      <c r="B17" s="50"/>
      <c r="C17" s="50"/>
      <c r="D17" s="50"/>
      <c r="E17" s="148" t="s">
        <v>263</v>
      </c>
      <c r="F17" s="148"/>
      <c r="G17" s="150"/>
      <c r="H17" s="363" t="s">
        <v>450</v>
      </c>
      <c r="I17" s="271" t="s">
        <v>239</v>
      </c>
      <c r="J17" s="150" t="str">
        <f>IF(AND(I17=""),"0",IF(AND(I17=AO4),"0",form10E!L28))</f>
        <v>0</v>
      </c>
      <c r="K17" s="49"/>
      <c r="L17" s="49"/>
      <c r="M17" s="49"/>
      <c r="N17" s="49"/>
      <c r="O17" s="49"/>
      <c r="P17" s="49"/>
      <c r="Q17" s="49"/>
      <c r="R17" s="49"/>
      <c r="S17" s="49"/>
      <c r="T17" s="49"/>
      <c r="U17" s="49"/>
      <c r="V17" s="49"/>
      <c r="W17" s="49"/>
      <c r="X17" s="49"/>
      <c r="Y17" s="49"/>
      <c r="Z17" s="49"/>
      <c r="AA17" s="49"/>
      <c r="AB17" s="49"/>
      <c r="AC17" s="49"/>
      <c r="AD17" s="50"/>
      <c r="AE17" s="50"/>
      <c r="AF17" s="50"/>
      <c r="AG17" s="50"/>
      <c r="AH17" s="13"/>
      <c r="AI17" s="13"/>
    </row>
    <row r="18" spans="1:35" ht="21" customHeight="1">
      <c r="A18" s="50"/>
      <c r="B18" s="50"/>
      <c r="C18" s="50"/>
      <c r="D18" s="50"/>
      <c r="E18" s="149" t="s">
        <v>270</v>
      </c>
      <c r="F18" s="149"/>
      <c r="G18" s="150"/>
      <c r="H18" s="575" t="s">
        <v>301</v>
      </c>
      <c r="I18" s="576"/>
      <c r="J18" s="150"/>
      <c r="K18" s="49"/>
      <c r="L18" s="49"/>
      <c r="M18" s="49"/>
      <c r="N18" s="49"/>
      <c r="O18" s="49"/>
      <c r="P18" s="49"/>
      <c r="Q18" s="49"/>
      <c r="R18" s="49"/>
      <c r="S18" s="49"/>
      <c r="T18" s="49"/>
      <c r="U18" s="49"/>
      <c r="V18" s="49"/>
      <c r="W18" s="49"/>
      <c r="X18" s="49"/>
      <c r="Y18" s="49"/>
      <c r="Z18" s="49"/>
      <c r="AA18" s="49"/>
      <c r="AB18" s="49"/>
      <c r="AC18" s="49"/>
      <c r="AD18" s="50"/>
      <c r="AE18" s="50"/>
      <c r="AF18" s="50"/>
      <c r="AG18" s="50"/>
      <c r="AH18" s="13"/>
      <c r="AI18" s="13"/>
    </row>
    <row r="19" spans="1:35" ht="18.75">
      <c r="A19" s="50"/>
      <c r="B19" s="50"/>
      <c r="C19" s="50"/>
      <c r="D19" s="50"/>
      <c r="E19" s="148" t="s">
        <v>291</v>
      </c>
      <c r="F19" s="148"/>
      <c r="G19" s="150"/>
      <c r="H19" s="573" t="s">
        <v>302</v>
      </c>
      <c r="I19" s="574"/>
      <c r="J19" s="150"/>
      <c r="K19" s="49"/>
      <c r="L19" s="49"/>
      <c r="M19" s="49"/>
      <c r="N19" s="49"/>
      <c r="O19" s="49"/>
      <c r="P19" s="49"/>
      <c r="Q19" s="49"/>
      <c r="R19" s="49"/>
      <c r="S19" s="49"/>
      <c r="T19" s="49"/>
      <c r="U19" s="49"/>
      <c r="V19" s="49"/>
      <c r="W19" s="49"/>
      <c r="X19" s="49"/>
      <c r="Y19" s="49"/>
      <c r="Z19" s="49"/>
      <c r="AA19" s="49"/>
      <c r="AB19" s="49"/>
      <c r="AC19" s="49"/>
      <c r="AD19" s="50"/>
      <c r="AE19" s="50"/>
      <c r="AF19" s="50"/>
      <c r="AG19" s="50"/>
      <c r="AH19" s="13"/>
      <c r="AI19" s="13"/>
    </row>
    <row r="20" spans="1:35" ht="18.75">
      <c r="A20" s="50"/>
      <c r="B20" s="50"/>
      <c r="C20" s="50"/>
      <c r="D20" s="50"/>
      <c r="E20" s="149" t="s">
        <v>271</v>
      </c>
      <c r="F20" s="149"/>
      <c r="G20" s="151"/>
      <c r="H20" s="575" t="s">
        <v>303</v>
      </c>
      <c r="I20" s="576"/>
      <c r="J20" s="277"/>
      <c r="K20" s="49"/>
      <c r="L20" s="49"/>
      <c r="M20" s="49"/>
      <c r="N20" s="49"/>
      <c r="O20" s="49"/>
      <c r="P20" s="49"/>
      <c r="Q20" s="49"/>
      <c r="R20" s="49"/>
      <c r="S20" s="49"/>
      <c r="T20" s="49"/>
      <c r="U20" s="49"/>
      <c r="V20" s="49"/>
      <c r="W20" s="49"/>
      <c r="X20" s="49"/>
      <c r="Y20" s="49"/>
      <c r="Z20" s="49"/>
      <c r="AA20" s="49"/>
      <c r="AB20" s="49"/>
      <c r="AC20" s="49"/>
      <c r="AD20" s="50"/>
      <c r="AE20" s="50"/>
      <c r="AF20" s="50"/>
      <c r="AG20" s="50"/>
      <c r="AH20" s="13"/>
      <c r="AI20" s="13"/>
    </row>
    <row r="21" spans="1:35" ht="36" customHeight="1">
      <c r="A21" s="49"/>
      <c r="B21" s="49"/>
      <c r="C21" s="49"/>
      <c r="D21" s="49"/>
      <c r="E21" s="381" t="s">
        <v>476</v>
      </c>
      <c r="F21" s="381"/>
      <c r="G21" s="151"/>
      <c r="H21" s="587" t="s">
        <v>477</v>
      </c>
      <c r="I21" s="588"/>
      <c r="J21" s="372"/>
      <c r="K21" s="49"/>
      <c r="L21" s="49"/>
      <c r="M21" s="49"/>
      <c r="N21" s="49"/>
      <c r="O21" s="49"/>
      <c r="P21" s="49"/>
      <c r="Q21" s="49"/>
      <c r="R21" s="49"/>
      <c r="S21" s="49"/>
      <c r="T21" s="49"/>
      <c r="U21" s="49"/>
      <c r="V21" s="49"/>
      <c r="W21" s="49"/>
      <c r="X21" s="49"/>
      <c r="Y21" s="49"/>
      <c r="Z21" s="49"/>
      <c r="AA21" s="49"/>
      <c r="AB21" s="49"/>
      <c r="AC21" s="49"/>
      <c r="AD21" s="49"/>
      <c r="AE21" s="49"/>
      <c r="AF21" s="49"/>
      <c r="AG21" s="49"/>
      <c r="AH21" s="8"/>
      <c r="AI21" s="8"/>
    </row>
    <row r="22" spans="1:35" s="161" customForma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8"/>
      <c r="AI22" s="8"/>
    </row>
    <row r="23" spans="1:35" ht="24" customHeight="1">
      <c r="A23" s="49"/>
      <c r="B23" s="49"/>
      <c r="C23" s="49"/>
      <c r="D23" s="49"/>
      <c r="E23" s="49"/>
      <c r="F23" s="49"/>
      <c r="G23" s="231" t="s">
        <v>375</v>
      </c>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8"/>
      <c r="AI23" s="8"/>
    </row>
    <row r="24" spans="1:35" ht="19.5" customHeight="1" thickBot="1">
      <c r="A24" s="229"/>
      <c r="B24" s="229"/>
      <c r="C24" s="229"/>
      <c r="D24" s="229"/>
      <c r="E24" s="229"/>
      <c r="F24" s="229"/>
      <c r="G24" s="229"/>
      <c r="H24" s="22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8"/>
      <c r="AI24" s="8"/>
    </row>
    <row r="25" spans="1:35" ht="34.5" customHeight="1">
      <c r="A25" s="561" t="s">
        <v>338</v>
      </c>
      <c r="B25" s="562"/>
      <c r="C25" s="562"/>
      <c r="D25" s="562"/>
      <c r="E25" s="562"/>
      <c r="F25" s="562"/>
      <c r="G25" s="562"/>
      <c r="H25" s="563"/>
      <c r="I25" s="364"/>
      <c r="J25" s="133"/>
      <c r="K25" s="133"/>
      <c r="L25" s="49"/>
      <c r="M25" s="49"/>
      <c r="N25" s="49"/>
      <c r="O25" s="49"/>
      <c r="P25" s="49"/>
      <c r="Q25" s="49"/>
      <c r="R25" s="49"/>
      <c r="S25" s="49"/>
      <c r="T25" s="49"/>
      <c r="U25" s="49"/>
      <c r="V25" s="49"/>
      <c r="W25" s="49"/>
      <c r="X25" s="49"/>
      <c r="Y25" s="49"/>
      <c r="Z25" s="49"/>
      <c r="AA25" s="49"/>
      <c r="AB25" s="49"/>
      <c r="AC25" s="49"/>
      <c r="AD25" s="49"/>
      <c r="AE25" s="49"/>
      <c r="AF25" s="49"/>
      <c r="AG25" s="49"/>
      <c r="AH25" s="8"/>
      <c r="AI25" s="8"/>
    </row>
    <row r="26" spans="1:35" ht="21" customHeight="1">
      <c r="A26" s="220" t="s">
        <v>314</v>
      </c>
      <c r="B26" s="134" t="s">
        <v>315</v>
      </c>
      <c r="C26" s="135" t="s">
        <v>316</v>
      </c>
      <c r="D26" s="135" t="s">
        <v>4</v>
      </c>
      <c r="E26" s="136" t="s">
        <v>337</v>
      </c>
      <c r="F26" s="136"/>
      <c r="G26" s="137"/>
      <c r="H26" s="221"/>
      <c r="I26" s="137"/>
      <c r="J26" s="137"/>
      <c r="K26" s="135"/>
      <c r="L26" s="49"/>
      <c r="M26" s="49"/>
      <c r="N26" s="49"/>
      <c r="O26" s="49"/>
      <c r="P26" s="49"/>
      <c r="Q26" s="49"/>
      <c r="R26" s="49"/>
      <c r="S26" s="49"/>
      <c r="T26" s="49"/>
      <c r="U26" s="49"/>
      <c r="V26" s="49"/>
      <c r="W26" s="49"/>
      <c r="X26" s="49"/>
      <c r="Y26" s="49"/>
      <c r="Z26" s="49"/>
      <c r="AA26" s="49"/>
      <c r="AB26" s="49"/>
      <c r="AC26" s="49"/>
      <c r="AD26" s="49"/>
      <c r="AE26" s="49"/>
      <c r="AF26" s="49"/>
      <c r="AG26" s="49"/>
      <c r="AH26" s="8"/>
      <c r="AI26" s="8"/>
    </row>
    <row r="27" spans="1:35" ht="21" customHeight="1">
      <c r="A27" s="222" t="s">
        <v>317</v>
      </c>
      <c r="B27" s="157" t="s">
        <v>318</v>
      </c>
      <c r="C27" s="135">
        <f>IF(B27="Y",'GA55 Summry'!C6+IF(AND(Bills!F7=Bills!J$3),ROUND(142%*Bills!F7,0),ROUND(7%*Bills!F7,0)))</f>
        <v>25359</v>
      </c>
      <c r="D27" s="135" t="str">
        <f>IF(B27="Y",'GA55 Summry'!E6,"0")</f>
        <v/>
      </c>
      <c r="E27" s="137"/>
      <c r="F27" s="137"/>
      <c r="G27" s="137"/>
      <c r="H27" s="221"/>
      <c r="I27" s="137"/>
      <c r="J27" s="137"/>
      <c r="K27" s="135"/>
      <c r="L27" s="49"/>
      <c r="M27" s="49"/>
      <c r="N27" s="49"/>
      <c r="O27" s="49"/>
      <c r="P27" s="49"/>
      <c r="Q27" s="49"/>
      <c r="R27" s="49"/>
      <c r="S27" s="49"/>
      <c r="T27" s="49"/>
      <c r="U27" s="49"/>
      <c r="V27" s="49"/>
      <c r="W27" s="49"/>
      <c r="X27" s="49"/>
      <c r="Y27" s="49"/>
      <c r="Z27" s="49"/>
      <c r="AA27" s="49"/>
      <c r="AB27" s="49"/>
      <c r="AC27" s="49"/>
      <c r="AD27" s="49"/>
      <c r="AE27" s="49"/>
      <c r="AF27" s="49"/>
      <c r="AG27" s="49"/>
      <c r="AH27" s="8"/>
      <c r="AI27" s="8"/>
    </row>
    <row r="28" spans="1:35" ht="21" customHeight="1">
      <c r="A28" s="222" t="s">
        <v>319</v>
      </c>
      <c r="B28" s="157" t="s">
        <v>318</v>
      </c>
      <c r="C28" s="135">
        <f>IF(B28="Y",'GA55 Summry'!C7+IF(AND(Bills!F8=Bills!J$3),ROUND(142%*Bills!F8,0),ROUND(7%*Bills!F8,0)))</f>
        <v>25359</v>
      </c>
      <c r="D28" s="135" t="str">
        <f>IF(B28="Y",'GA55 Summry'!E7,"0")</f>
        <v/>
      </c>
      <c r="E28" s="566" t="s">
        <v>320</v>
      </c>
      <c r="F28" s="566"/>
      <c r="G28" s="566"/>
      <c r="H28" s="223"/>
      <c r="I28" s="138"/>
      <c r="J28" s="138"/>
      <c r="K28" s="135"/>
      <c r="L28" s="49"/>
      <c r="M28" s="49"/>
      <c r="N28" s="49"/>
      <c r="O28" s="49"/>
      <c r="P28" s="49"/>
      <c r="Q28" s="49"/>
      <c r="R28" s="49"/>
      <c r="S28" s="49"/>
      <c r="T28" s="49"/>
      <c r="U28" s="49"/>
      <c r="V28" s="49"/>
      <c r="W28" s="49"/>
      <c r="X28" s="49"/>
      <c r="Y28" s="49"/>
      <c r="Z28" s="49"/>
      <c r="AA28" s="49"/>
      <c r="AB28" s="49"/>
      <c r="AC28" s="49"/>
      <c r="AD28" s="49"/>
      <c r="AE28" s="49"/>
      <c r="AF28" s="49"/>
      <c r="AG28" s="49"/>
      <c r="AH28" s="8"/>
      <c r="AI28" s="8"/>
    </row>
    <row r="29" spans="1:35" ht="21" customHeight="1">
      <c r="A29" s="222" t="s">
        <v>321</v>
      </c>
      <c r="B29" s="157" t="s">
        <v>318</v>
      </c>
      <c r="C29" s="135">
        <f>IF(B29="Y",'GA55 Summry'!C8+IF(AND(Bills!F9=Bills!J$3),ROUND(142%*Bills!F9,0),ROUND(7%*Bills!F9,0)))</f>
        <v>25359</v>
      </c>
      <c r="D29" s="135" t="str">
        <f>IF(B29="Y",'GA55 Summry'!E8,"0")</f>
        <v/>
      </c>
      <c r="E29" s="138"/>
      <c r="F29" s="138"/>
      <c r="G29" s="138"/>
      <c r="H29" s="232" t="s">
        <v>376</v>
      </c>
      <c r="I29" s="365"/>
      <c r="J29" s="138"/>
      <c r="K29" s="135"/>
      <c r="L29" s="49"/>
      <c r="M29" s="49"/>
      <c r="N29" s="49"/>
      <c r="O29" s="49"/>
      <c r="P29" s="49"/>
      <c r="Q29" s="49"/>
      <c r="R29" s="49"/>
      <c r="S29" s="49"/>
      <c r="T29" s="49"/>
      <c r="U29" s="49"/>
      <c r="V29" s="49"/>
      <c r="W29" s="49"/>
      <c r="X29" s="49"/>
      <c r="Y29" s="49"/>
      <c r="Z29" s="49"/>
      <c r="AA29" s="49"/>
      <c r="AB29" s="49"/>
      <c r="AC29" s="49"/>
      <c r="AD29" s="49"/>
      <c r="AE29" s="49"/>
      <c r="AF29" s="49"/>
      <c r="AG29" s="49"/>
      <c r="AH29" s="8"/>
      <c r="AI29" s="8"/>
    </row>
    <row r="30" spans="1:35" ht="21" customHeight="1">
      <c r="A30" s="222" t="s">
        <v>322</v>
      </c>
      <c r="B30" s="157" t="s">
        <v>318</v>
      </c>
      <c r="C30" s="135">
        <f>IF(B30="Y",'GA55 Summry'!C9+IF(AND(Bills!F10=Bills!J$3),ROUND(142%*Bills!F10,0),ROUND(7%*Bills!F10,0)))</f>
        <v>25359</v>
      </c>
      <c r="D30" s="135" t="str">
        <f>IF(B30="Y",'GA55 Summry'!E9,"0")</f>
        <v/>
      </c>
      <c r="E30" s="135"/>
      <c r="F30" s="135"/>
      <c r="G30" s="135"/>
      <c r="H30" s="581" t="s">
        <v>392</v>
      </c>
      <c r="I30" s="219"/>
      <c r="J30" s="219"/>
      <c r="K30" s="219"/>
      <c r="L30" s="219"/>
      <c r="M30" s="219"/>
      <c r="N30" s="219"/>
      <c r="O30" s="49"/>
      <c r="P30" s="49"/>
      <c r="Q30" s="49"/>
      <c r="R30" s="49"/>
      <c r="S30" s="49"/>
      <c r="T30" s="49"/>
      <c r="U30" s="49"/>
      <c r="V30" s="49"/>
      <c r="W30" s="49"/>
      <c r="X30" s="49"/>
      <c r="Y30" s="49"/>
      <c r="Z30" s="49"/>
      <c r="AA30" s="49"/>
      <c r="AB30" s="49"/>
      <c r="AC30" s="49"/>
      <c r="AD30" s="49"/>
      <c r="AE30" s="49"/>
      <c r="AF30" s="49"/>
      <c r="AG30" s="49"/>
      <c r="AH30" s="8"/>
      <c r="AI30" s="8"/>
    </row>
    <row r="31" spans="1:35" ht="21" customHeight="1">
      <c r="A31" s="222" t="s">
        <v>323</v>
      </c>
      <c r="B31" s="157" t="s">
        <v>318</v>
      </c>
      <c r="C31" s="135">
        <f>IF(B31="Y",'GA55 Summry'!C10+IF(AND(Bills!F11=Bills!K$1),ROUND(142%*Bills!F11,0),ROUND(7%*Bills!F11,0)))</f>
        <v>25359</v>
      </c>
      <c r="D31" s="135" t="str">
        <f>IF(B31="Y",'GA55 Summry'!E10,"0")</f>
        <v/>
      </c>
      <c r="E31" s="584" t="s">
        <v>331</v>
      </c>
      <c r="F31" s="584"/>
      <c r="G31" s="132">
        <f>G37</f>
        <v>2536</v>
      </c>
      <c r="H31" s="581"/>
      <c r="I31" s="219"/>
      <c r="J31" s="219"/>
      <c r="K31" s="219"/>
      <c r="L31" s="219"/>
      <c r="M31" s="219"/>
      <c r="N31" s="219"/>
      <c r="O31" s="49"/>
      <c r="P31" s="49"/>
      <c r="Q31" s="49"/>
      <c r="R31" s="49"/>
      <c r="S31" s="49"/>
      <c r="T31" s="49"/>
      <c r="U31" s="49"/>
      <c r="V31" s="49"/>
      <c r="W31" s="49"/>
      <c r="X31" s="49"/>
      <c r="Y31" s="49"/>
      <c r="Z31" s="49"/>
      <c r="AA31" s="49"/>
      <c r="AB31" s="49"/>
      <c r="AC31" s="49"/>
      <c r="AD31" s="49"/>
      <c r="AE31" s="49"/>
      <c r="AF31" s="49"/>
      <c r="AG31" s="49"/>
      <c r="AH31" s="8"/>
      <c r="AI31" s="8"/>
    </row>
    <row r="32" spans="1:35" ht="21" customHeight="1">
      <c r="A32" s="222" t="s">
        <v>324</v>
      </c>
      <c r="B32" s="157" t="s">
        <v>318</v>
      </c>
      <c r="C32" s="135">
        <f>IF(B32="Y",'GA55 Summry'!C11+IF(AND(Bills!F12=Bills!K$1),ROUND(142%*Bills!F12,0),ROUND(7%*Bills!F12,0)))</f>
        <v>25359</v>
      </c>
      <c r="D32" s="135" t="str">
        <f>IF(B32="Y",'GA55 Summry'!E11,"0")</f>
        <v/>
      </c>
      <c r="E32" s="585" t="s">
        <v>532</v>
      </c>
      <c r="F32" s="585"/>
      <c r="G32" s="234">
        <f>IF((G31*12)&gt;C39*10%, MIN(ROUND(G31*12-(C39)*10%,0),G35),0)</f>
        <v>0</v>
      </c>
      <c r="H32" s="582" t="s">
        <v>533</v>
      </c>
      <c r="I32" s="366"/>
      <c r="J32" s="131"/>
      <c r="K32" s="135"/>
      <c r="L32" s="49"/>
      <c r="M32" s="49"/>
      <c r="N32" s="49"/>
      <c r="O32" s="49"/>
      <c r="P32" s="49"/>
      <c r="Q32" s="49"/>
      <c r="R32" s="49"/>
      <c r="S32" s="49"/>
      <c r="T32" s="49"/>
      <c r="U32" s="49"/>
      <c r="V32" s="49"/>
      <c r="W32" s="49"/>
      <c r="X32" s="49"/>
      <c r="Y32" s="49"/>
      <c r="Z32" s="49"/>
      <c r="AA32" s="49"/>
      <c r="AB32" s="49"/>
      <c r="AC32" s="49"/>
      <c r="AD32" s="49"/>
      <c r="AE32" s="49"/>
      <c r="AF32" s="49"/>
      <c r="AG32" s="49"/>
      <c r="AH32" s="8"/>
      <c r="AI32" s="8"/>
    </row>
    <row r="33" spans="1:35" ht="21" customHeight="1">
      <c r="A33" s="222" t="s">
        <v>325</v>
      </c>
      <c r="B33" s="157" t="s">
        <v>318</v>
      </c>
      <c r="C33" s="135">
        <f>IF(B33="Y",'GA55 Summry'!C12+IF(AND(Bills!F13=Bills!K$1),ROUND(142%*Bills!F13,0),ROUND(7%*Bills!F13,0)))</f>
        <v>25359</v>
      </c>
      <c r="D33" s="135" t="str">
        <f>IF(B33="Y",'GA55 Summry'!E12,"0")</f>
        <v/>
      </c>
      <c r="E33" s="139"/>
      <c r="F33" s="139"/>
      <c r="G33" s="135"/>
      <c r="H33" s="582"/>
      <c r="I33" s="366"/>
      <c r="J33" s="135"/>
      <c r="K33" s="135"/>
      <c r="L33" s="49"/>
      <c r="M33" s="49"/>
      <c r="N33" s="49"/>
      <c r="O33" s="49"/>
      <c r="P33" s="49"/>
      <c r="Q33" s="49"/>
      <c r="R33" s="49"/>
      <c r="S33" s="49"/>
      <c r="T33" s="49"/>
      <c r="U33" s="49"/>
      <c r="V33" s="49"/>
      <c r="W33" s="49"/>
      <c r="X33" s="49"/>
      <c r="Y33" s="49"/>
      <c r="Z33" s="49"/>
      <c r="AA33" s="49"/>
      <c r="AB33" s="49"/>
      <c r="AC33" s="49"/>
      <c r="AD33" s="49"/>
      <c r="AE33" s="49"/>
      <c r="AF33" s="49"/>
      <c r="AG33" s="49"/>
      <c r="AH33" s="8"/>
      <c r="AI33" s="8"/>
    </row>
    <row r="34" spans="1:35" ht="21" customHeight="1">
      <c r="A34" s="222" t="s">
        <v>326</v>
      </c>
      <c r="B34" s="157" t="s">
        <v>318</v>
      </c>
      <c r="C34" s="135">
        <f>IF(B34="Y",'GA55 Summry'!C13+IF(AND(Bills!F14=Bills!K$1),ROUND(142%*Bills!F14,0),ROUND(7%*Bills!F14,0)))</f>
        <v>25359</v>
      </c>
      <c r="D34" s="135" t="str">
        <f>IF(B34="Y",'GA55 Summry'!E13,"0")</f>
        <v/>
      </c>
      <c r="E34" s="139"/>
      <c r="F34" s="139"/>
      <c r="G34" s="135"/>
      <c r="H34" s="224"/>
      <c r="I34" s="135"/>
      <c r="J34" s="135"/>
      <c r="K34" s="135"/>
      <c r="L34" s="49"/>
      <c r="M34" s="49"/>
      <c r="N34" s="49"/>
      <c r="O34" s="49"/>
      <c r="P34" s="49"/>
      <c r="Q34" s="49"/>
      <c r="R34" s="49"/>
      <c r="S34" s="49"/>
      <c r="T34" s="49"/>
      <c r="U34" s="49"/>
      <c r="V34" s="49"/>
      <c r="W34" s="49"/>
      <c r="X34" s="49"/>
      <c r="Y34" s="49"/>
      <c r="Z34" s="49"/>
      <c r="AA34" s="49"/>
      <c r="AB34" s="49"/>
      <c r="AC34" s="49"/>
      <c r="AD34" s="49"/>
      <c r="AE34" s="49"/>
      <c r="AF34" s="49"/>
      <c r="AG34" s="49"/>
      <c r="AH34" s="8"/>
      <c r="AI34" s="8"/>
    </row>
    <row r="35" spans="1:35" ht="39" customHeight="1">
      <c r="A35" s="222" t="s">
        <v>327</v>
      </c>
      <c r="B35" s="157" t="s">
        <v>318</v>
      </c>
      <c r="C35" s="135">
        <f>IF(B35="Y",'GA55 Summry'!C14+IF(AND(Bills!F15=Bills!K$1),ROUND(142%*Bills!F15,0),ROUND(7%*Bills!F15,0)))</f>
        <v>25359</v>
      </c>
      <c r="D35" s="135" t="str">
        <f>IF(B35="Y",'GA55 Summry'!E14,"0")</f>
        <v/>
      </c>
      <c r="E35" s="586" t="s">
        <v>332</v>
      </c>
      <c r="F35" s="586"/>
      <c r="G35" s="140">
        <f>D39</f>
        <v>0</v>
      </c>
      <c r="H35" s="370" t="s">
        <v>391</v>
      </c>
      <c r="I35" s="367"/>
      <c r="J35" s="141"/>
      <c r="K35" s="135"/>
      <c r="L35" s="49"/>
      <c r="M35" s="49"/>
      <c r="N35" s="49"/>
      <c r="O35" s="49"/>
      <c r="P35" s="49"/>
      <c r="Q35" s="49"/>
      <c r="R35" s="49"/>
      <c r="S35" s="49"/>
      <c r="T35" s="49"/>
      <c r="U35" s="49"/>
      <c r="V35" s="49"/>
      <c r="W35" s="49"/>
      <c r="X35" s="49"/>
      <c r="Y35" s="49"/>
      <c r="Z35" s="49"/>
      <c r="AA35" s="49"/>
      <c r="AB35" s="49"/>
      <c r="AC35" s="49"/>
      <c r="AD35" s="49"/>
      <c r="AE35" s="49"/>
      <c r="AF35" s="49"/>
      <c r="AG35" s="49"/>
      <c r="AH35" s="8"/>
      <c r="AI35" s="8"/>
    </row>
    <row r="36" spans="1:35" ht="21" customHeight="1">
      <c r="A36" s="222" t="s">
        <v>328</v>
      </c>
      <c r="B36" s="157" t="s">
        <v>318</v>
      </c>
      <c r="C36" s="135">
        <f>IF(B36="Y",'GA55 Summry'!C15+IF(AND(Bills!F16=Bills!K$1),ROUND(142%*Bills!F16,0),ROUND(7%*Bills!F16,0)))</f>
        <v>25359</v>
      </c>
      <c r="D36" s="135" t="str">
        <f>IF(B36="Y",'GA55 Summry'!E15,"0")</f>
        <v/>
      </c>
      <c r="E36" s="579" t="s">
        <v>333</v>
      </c>
      <c r="F36" s="579"/>
      <c r="G36" s="142">
        <f>ROUND(((10%*C39)+D39),0)</f>
        <v>30431</v>
      </c>
      <c r="H36" s="233" t="s">
        <v>384</v>
      </c>
      <c r="I36" s="368"/>
      <c r="J36" s="143"/>
      <c r="K36" s="135"/>
      <c r="L36" s="49"/>
      <c r="M36" s="49"/>
      <c r="N36" s="49"/>
      <c r="O36" s="49"/>
      <c r="P36" s="49"/>
      <c r="Q36" s="49"/>
      <c r="R36" s="49"/>
      <c r="S36" s="49"/>
      <c r="T36" s="49"/>
      <c r="U36" s="49"/>
      <c r="V36" s="49"/>
      <c r="W36" s="49"/>
      <c r="X36" s="49"/>
      <c r="Y36" s="49"/>
      <c r="Z36" s="49"/>
      <c r="AA36" s="49"/>
      <c r="AB36" s="49"/>
      <c r="AC36" s="49"/>
      <c r="AD36" s="49"/>
      <c r="AE36" s="49"/>
      <c r="AF36" s="49"/>
      <c r="AG36" s="49"/>
      <c r="AH36" s="8"/>
      <c r="AI36" s="8"/>
    </row>
    <row r="37" spans="1:35" ht="21" customHeight="1">
      <c r="A37" s="222" t="s">
        <v>329</v>
      </c>
      <c r="B37" s="157" t="s">
        <v>318</v>
      </c>
      <c r="C37" s="135">
        <f>IF(B37="Y",'GA55 Summry'!C16+IF(AND(Bills!F17=Bills!K$1),ROUND(142%*Bills!F17,0),ROUND(7%*Bills!F17,0)))</f>
        <v>25359</v>
      </c>
      <c r="D37" s="135" t="str">
        <f>IF(B37="Y",'GA55 Summry'!E16,"0")</f>
        <v/>
      </c>
      <c r="E37" s="580" t="s">
        <v>334</v>
      </c>
      <c r="F37" s="580"/>
      <c r="G37" s="144">
        <f>ROUND(G36/B39, 0)</f>
        <v>2536</v>
      </c>
      <c r="H37" s="583" t="s">
        <v>377</v>
      </c>
      <c r="I37" s="369"/>
      <c r="J37" s="135"/>
      <c r="K37" s="135"/>
      <c r="L37" s="49"/>
      <c r="M37" s="49"/>
      <c r="N37" s="49"/>
      <c r="O37" s="49"/>
      <c r="P37" s="49"/>
      <c r="Q37" s="49"/>
      <c r="R37" s="49"/>
      <c r="S37" s="49"/>
      <c r="T37" s="49"/>
      <c r="U37" s="49"/>
      <c r="V37" s="49"/>
      <c r="W37" s="49"/>
      <c r="X37" s="49"/>
      <c r="Y37" s="49"/>
      <c r="Z37" s="49"/>
      <c r="AA37" s="49"/>
      <c r="AB37" s="49"/>
      <c r="AC37" s="49"/>
      <c r="AD37" s="49"/>
      <c r="AE37" s="49"/>
      <c r="AF37" s="49"/>
      <c r="AG37" s="49"/>
      <c r="AH37" s="8"/>
      <c r="AI37" s="8"/>
    </row>
    <row r="38" spans="1:35" ht="21" customHeight="1">
      <c r="A38" s="222" t="s">
        <v>330</v>
      </c>
      <c r="B38" s="157" t="s">
        <v>318</v>
      </c>
      <c r="C38" s="135">
        <f>IF(B38="Y",'GA55 Summry'!C17+IF(AND(Bills!F18=Bills!K$1),ROUND(142%*Bills!F18,0),ROUND(7%*Bills!F18,0)))</f>
        <v>25359</v>
      </c>
      <c r="D38" s="135" t="str">
        <f>IF(B38="Y",'GA55 Summry'!E17,"0")</f>
        <v/>
      </c>
      <c r="E38" s="152"/>
      <c r="F38" s="152"/>
      <c r="G38" s="152"/>
      <c r="H38" s="583"/>
      <c r="I38" s="369"/>
      <c r="J38" s="152"/>
      <c r="K38" s="152"/>
      <c r="L38" s="49"/>
      <c r="M38" s="49"/>
      <c r="N38" s="49"/>
      <c r="O38" s="49"/>
      <c r="P38" s="49"/>
      <c r="Q38" s="49"/>
      <c r="R38" s="49"/>
      <c r="S38" s="49"/>
      <c r="T38" s="49"/>
      <c r="U38" s="49"/>
      <c r="V38" s="49"/>
      <c r="W38" s="49"/>
      <c r="X38" s="49"/>
      <c r="Y38" s="49"/>
      <c r="Z38" s="49"/>
      <c r="AA38" s="49"/>
      <c r="AB38" s="49"/>
      <c r="AC38" s="49"/>
      <c r="AD38" s="49"/>
      <c r="AE38" s="49"/>
      <c r="AF38" s="49"/>
      <c r="AG38" s="49"/>
      <c r="AH38" s="8"/>
      <c r="AI38" s="8"/>
    </row>
    <row r="39" spans="1:35" ht="22.5" customHeight="1" thickBot="1">
      <c r="A39" s="225" t="s">
        <v>335</v>
      </c>
      <c r="B39" s="226">
        <f>COUNTIF(B27:B38, "Y")</f>
        <v>12</v>
      </c>
      <c r="C39" s="320">
        <f>ROUND((SUM(C27:C38)),0)+C40</f>
        <v>304308</v>
      </c>
      <c r="D39" s="320">
        <f>ROUND((SUM(D27:D38)),0)+D40</f>
        <v>0</v>
      </c>
      <c r="E39" s="235" t="s">
        <v>378</v>
      </c>
      <c r="F39" s="235"/>
      <c r="G39" s="227"/>
      <c r="H39" s="228"/>
      <c r="I39" s="135"/>
      <c r="J39" s="135"/>
      <c r="K39" s="135"/>
      <c r="L39" s="49"/>
      <c r="M39" s="49"/>
      <c r="N39" s="49"/>
      <c r="O39" s="49"/>
      <c r="P39" s="49"/>
      <c r="Q39" s="49"/>
      <c r="R39" s="49"/>
      <c r="S39" s="49"/>
      <c r="T39" s="49"/>
      <c r="U39" s="49"/>
      <c r="V39" s="49"/>
      <c r="W39" s="49"/>
      <c r="X39" s="49"/>
      <c r="Y39" s="49"/>
      <c r="Z39" s="49"/>
      <c r="AA39" s="49"/>
      <c r="AB39" s="49"/>
      <c r="AC39" s="49"/>
      <c r="AD39" s="49"/>
      <c r="AE39" s="49"/>
      <c r="AF39" s="49"/>
      <c r="AG39" s="49"/>
      <c r="AH39" s="8"/>
      <c r="AI39" s="8"/>
    </row>
    <row r="40" spans="1:35">
      <c r="A40" s="230"/>
      <c r="B40" s="230"/>
      <c r="C40" s="319">
        <f>SUM(Bills!F20:F27)+SUM(Bills!G20:G27)</f>
        <v>0</v>
      </c>
      <c r="D40" s="319">
        <f>SUM(Bills!H23:H27)</f>
        <v>0</v>
      </c>
      <c r="E40" s="230"/>
      <c r="F40" s="230"/>
      <c r="G40" s="230"/>
      <c r="H40" s="230"/>
      <c r="I40" s="145"/>
      <c r="J40" s="145"/>
      <c r="K40" s="145"/>
      <c r="L40" s="49"/>
      <c r="M40" s="49"/>
      <c r="N40" s="49"/>
      <c r="O40" s="49"/>
      <c r="P40" s="49"/>
      <c r="Q40" s="49"/>
      <c r="R40" s="49"/>
      <c r="S40" s="49"/>
      <c r="T40" s="49"/>
      <c r="U40" s="49"/>
      <c r="V40" s="49"/>
      <c r="W40" s="49"/>
      <c r="X40" s="49"/>
      <c r="Y40" s="49"/>
      <c r="Z40" s="49"/>
      <c r="AA40" s="49"/>
      <c r="AB40" s="49"/>
      <c r="AC40" s="49"/>
      <c r="AD40" s="49"/>
      <c r="AE40" s="49"/>
      <c r="AF40" s="49"/>
      <c r="AG40" s="49"/>
      <c r="AH40" s="8"/>
      <c r="AI40" s="8"/>
    </row>
    <row r="41" spans="1:35" ht="18.75">
      <c r="A41" s="145"/>
      <c r="B41" s="145"/>
      <c r="C41" s="145"/>
      <c r="D41" s="145"/>
      <c r="E41" s="146" t="s">
        <v>336</v>
      </c>
      <c r="F41" s="146"/>
      <c r="G41" s="147">
        <f>IF((G31*12)&gt;('GA55 Summry'!C27+'GA55 Summry'!D27)*10%, MIN(ROUND(G31*12-('GA55 Summry'!C27+'GA55 Summry'!D27)*10%,0),G35),0)</f>
        <v>0</v>
      </c>
      <c r="H41" s="145"/>
      <c r="I41" s="145"/>
      <c r="J41" s="145"/>
      <c r="K41" s="145"/>
      <c r="L41" s="49"/>
      <c r="M41" s="49"/>
      <c r="N41" s="49"/>
      <c r="O41" s="49"/>
      <c r="P41" s="49"/>
      <c r="Q41" s="49"/>
      <c r="R41" s="49"/>
      <c r="S41" s="49"/>
      <c r="T41" s="49"/>
      <c r="U41" s="49"/>
      <c r="V41" s="49"/>
      <c r="W41" s="49"/>
      <c r="X41" s="49"/>
      <c r="Y41" s="49"/>
      <c r="Z41" s="49"/>
      <c r="AA41" s="49"/>
      <c r="AB41" s="49"/>
      <c r="AC41" s="49"/>
      <c r="AD41" s="49"/>
      <c r="AE41" s="49"/>
      <c r="AF41" s="49"/>
      <c r="AG41" s="49"/>
      <c r="AH41" s="8"/>
      <c r="AI41" s="8"/>
    </row>
    <row r="42" spans="1:35">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8"/>
      <c r="AI42" s="8"/>
    </row>
    <row r="43" spans="1:35">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8"/>
      <c r="AI43" s="8"/>
    </row>
    <row r="44" spans="1:35">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8"/>
      <c r="AI44" s="8"/>
    </row>
    <row r="45" spans="1:3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8"/>
      <c r="AI45" s="8"/>
    </row>
    <row r="46" spans="1:35">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8"/>
      <c r="AI46" s="8"/>
    </row>
    <row r="47" spans="1:35">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8"/>
      <c r="AI47" s="8"/>
    </row>
    <row r="48" spans="1:35">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8"/>
      <c r="AI48" s="8"/>
    </row>
    <row r="49" spans="1:35">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8"/>
      <c r="AI49" s="8"/>
    </row>
    <row r="50" spans="1:35">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8"/>
      <c r="AI50" s="8"/>
    </row>
    <row r="51" spans="1:35">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8"/>
      <c r="AI51" s="8"/>
    </row>
    <row r="52" spans="1:3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8"/>
      <c r="AI52" s="8"/>
    </row>
    <row r="53" spans="1:35">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8"/>
      <c r="AI53" s="8"/>
    </row>
    <row r="54" spans="1:35">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8"/>
      <c r="AI54" s="8"/>
    </row>
    <row r="55" spans="1:3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8"/>
      <c r="AI55" s="8"/>
    </row>
    <row r="56" spans="1:35">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8"/>
      <c r="AI56" s="8"/>
    </row>
    <row r="57" spans="1:35">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8"/>
      <c r="AI57" s="8"/>
    </row>
    <row r="58" spans="1:3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8"/>
      <c r="AI58" s="8"/>
    </row>
    <row r="59" spans="1:3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8"/>
      <c r="AI59" s="8"/>
    </row>
    <row r="60" spans="1:3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8"/>
      <c r="AI60" s="8"/>
    </row>
    <row r="61" spans="1:3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8"/>
      <c r="AI61" s="8"/>
    </row>
    <row r="62" spans="1:3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8"/>
      <c r="AI62" s="8"/>
    </row>
    <row r="63" spans="1:3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8"/>
      <c r="AI63" s="8"/>
    </row>
    <row r="64" spans="1:3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8"/>
      <c r="AI64" s="8"/>
    </row>
    <row r="65" spans="1:3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8"/>
      <c r="AI65" s="8"/>
    </row>
    <row r="66" spans="1:3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8"/>
      <c r="AI66" s="8"/>
    </row>
    <row r="67" spans="1:3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8"/>
      <c r="AI67" s="8"/>
    </row>
    <row r="68" spans="1:3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8"/>
      <c r="AI68" s="8"/>
    </row>
    <row r="69" spans="1:3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8"/>
      <c r="AI69" s="8"/>
    </row>
    <row r="70" spans="1:3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8"/>
      <c r="AI70" s="8"/>
    </row>
    <row r="71" spans="1:3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8"/>
      <c r="AI71" s="8"/>
    </row>
    <row r="72" spans="1:3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8"/>
      <c r="AI72" s="8"/>
    </row>
    <row r="73" spans="1:3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8"/>
      <c r="AI73" s="8"/>
    </row>
    <row r="74" spans="1:3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8"/>
      <c r="AI74" s="8"/>
    </row>
    <row r="75" spans="1:3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8"/>
      <c r="AI75" s="8"/>
    </row>
    <row r="76" spans="1:3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8"/>
      <c r="AI76" s="8"/>
    </row>
    <row r="77" spans="1:3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8"/>
      <c r="AI77" s="8"/>
    </row>
    <row r="78" spans="1:3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8"/>
      <c r="AI78" s="8"/>
    </row>
    <row r="79" spans="1:3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8"/>
      <c r="AI79" s="8"/>
    </row>
    <row r="80" spans="1:3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8"/>
      <c r="AI80" s="8"/>
    </row>
    <row r="81" spans="1:3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8"/>
      <c r="AI81" s="8"/>
    </row>
    <row r="82" spans="1:3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8"/>
      <c r="AI82" s="8"/>
    </row>
    <row r="83" spans="1:3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8"/>
      <c r="AI83" s="8"/>
    </row>
    <row r="84" spans="1:3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8"/>
      <c r="AI84" s="8"/>
    </row>
    <row r="85" spans="1:3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8"/>
      <c r="AI85" s="8"/>
    </row>
    <row r="86" spans="1:3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8"/>
      <c r="AI86" s="8"/>
    </row>
    <row r="87" spans="1:3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8"/>
      <c r="AI87" s="8"/>
    </row>
    <row r="88" spans="1:3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8"/>
      <c r="AI88" s="8"/>
    </row>
    <row r="89" spans="1:3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8"/>
      <c r="AI89" s="8"/>
    </row>
    <row r="90" spans="1:3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8"/>
      <c r="AI90" s="8"/>
    </row>
    <row r="91" spans="1:3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8"/>
      <c r="AI91" s="8"/>
    </row>
    <row r="92" spans="1:3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8"/>
      <c r="AI92" s="8"/>
    </row>
    <row r="93" spans="1:3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8"/>
      <c r="AI93" s="8"/>
    </row>
    <row r="94" spans="1:3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8"/>
      <c r="AI94" s="8"/>
    </row>
    <row r="95" spans="1:3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8"/>
      <c r="AI95" s="8"/>
    </row>
    <row r="96" spans="1:3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8"/>
      <c r="AI96" s="8"/>
    </row>
    <row r="97" spans="1:3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8"/>
      <c r="AI97" s="8"/>
    </row>
    <row r="98" spans="1:3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8"/>
      <c r="AI98" s="8"/>
    </row>
    <row r="99" spans="1:3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8"/>
      <c r="AI99" s="8"/>
    </row>
    <row r="100" spans="1:3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8"/>
      <c r="AI100" s="8"/>
    </row>
    <row r="101" spans="1:3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8"/>
      <c r="AI101" s="8"/>
    </row>
    <row r="102" spans="1:3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8"/>
      <c r="AI102" s="8"/>
    </row>
    <row r="103" spans="1:3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8"/>
      <c r="AI103" s="8"/>
    </row>
    <row r="104" spans="1:3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8"/>
      <c r="AI104" s="8"/>
    </row>
    <row r="105" spans="1:3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8"/>
      <c r="AI105" s="8"/>
    </row>
    <row r="106" spans="1:3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8"/>
      <c r="AI106" s="8"/>
    </row>
    <row r="107" spans="1:3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8"/>
      <c r="AI107" s="8"/>
    </row>
    <row r="108" spans="1:3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8"/>
      <c r="AI108" s="8"/>
    </row>
    <row r="109" spans="1:3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8"/>
      <c r="AI109" s="8"/>
    </row>
    <row r="110" spans="1:3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8"/>
      <c r="AI110" s="8"/>
    </row>
    <row r="111" spans="1:3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8"/>
      <c r="AI111" s="8"/>
    </row>
    <row r="112" spans="1:3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8"/>
      <c r="AI112" s="8"/>
    </row>
    <row r="113" spans="1:3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8"/>
      <c r="AI113" s="8"/>
    </row>
    <row r="114" spans="1:3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8"/>
      <c r="AI114" s="8"/>
    </row>
    <row r="115" spans="1:3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8"/>
      <c r="AI115" s="8"/>
    </row>
    <row r="116" spans="1:3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8"/>
      <c r="AI116" s="8"/>
    </row>
    <row r="117" spans="1:3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8"/>
      <c r="AI117" s="8"/>
    </row>
    <row r="118" spans="1:3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8"/>
      <c r="AI118" s="8"/>
    </row>
    <row r="119" spans="1:3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8"/>
      <c r="AI119" s="8"/>
    </row>
    <row r="120" spans="1:3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8"/>
      <c r="AI120" s="8"/>
    </row>
    <row r="121" spans="1:3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8"/>
      <c r="AI121" s="8"/>
    </row>
    <row r="122" spans="1:3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8"/>
      <c r="AI122" s="8"/>
    </row>
    <row r="123" spans="1:3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8"/>
      <c r="AI123" s="8"/>
    </row>
    <row r="124" spans="1:3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8"/>
      <c r="AI124" s="8"/>
    </row>
    <row r="125" spans="1:3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8"/>
      <c r="AI125" s="8"/>
    </row>
    <row r="126" spans="1:3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8"/>
      <c r="AI126" s="8"/>
    </row>
    <row r="127" spans="1:3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8"/>
      <c r="AI127" s="8"/>
    </row>
    <row r="128" spans="1:3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8"/>
      <c r="AI128" s="8"/>
    </row>
    <row r="129" spans="1:3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8"/>
      <c r="AI129" s="8"/>
    </row>
    <row r="130" spans="1:3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8"/>
      <c r="AI130" s="8"/>
    </row>
    <row r="131" spans="1:3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8"/>
      <c r="AI131" s="8"/>
    </row>
    <row r="132" spans="1:3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8"/>
      <c r="AI132" s="8"/>
    </row>
    <row r="133" spans="1:3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8"/>
      <c r="AI133" s="8"/>
    </row>
    <row r="134" spans="1:3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8"/>
      <c r="AI134" s="8"/>
    </row>
    <row r="135" spans="1:3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8"/>
      <c r="AI135" s="8"/>
    </row>
    <row r="136" spans="1:3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8"/>
      <c r="AI136" s="8"/>
    </row>
    <row r="137" spans="1:3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8"/>
      <c r="AI137" s="8"/>
    </row>
    <row r="138" spans="1:3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8"/>
      <c r="AI138" s="8"/>
    </row>
    <row r="139" spans="1:3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8"/>
      <c r="AI139" s="8"/>
    </row>
    <row r="140" spans="1:3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8"/>
      <c r="AI140" s="8"/>
    </row>
    <row r="141" spans="1:3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8"/>
      <c r="AI141" s="8"/>
    </row>
    <row r="142" spans="1:3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8"/>
      <c r="AI142" s="8"/>
    </row>
    <row r="143" spans="1:3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8"/>
      <c r="AI143" s="8"/>
    </row>
    <row r="144" spans="1:3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8"/>
      <c r="AI144" s="8"/>
    </row>
    <row r="145" spans="1:3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8"/>
      <c r="AI145" s="8"/>
    </row>
    <row r="146" spans="1:3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8"/>
      <c r="AI146" s="8"/>
    </row>
    <row r="147" spans="1:3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8"/>
      <c r="AI147" s="8"/>
    </row>
    <row r="148" spans="1:3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8"/>
      <c r="AI148" s="8"/>
    </row>
    <row r="149" spans="1:3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8"/>
      <c r="AI149" s="8"/>
    </row>
    <row r="150" spans="1:3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8"/>
      <c r="AI150" s="8"/>
    </row>
    <row r="151" spans="1:3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8"/>
      <c r="AI151" s="8"/>
    </row>
    <row r="152" spans="1:3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8"/>
      <c r="AI152" s="8"/>
    </row>
    <row r="153" spans="1:3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8"/>
      <c r="AI153" s="8"/>
    </row>
    <row r="154" spans="1:3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8"/>
      <c r="AI154" s="8"/>
    </row>
    <row r="155" spans="1:3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8"/>
      <c r="AI155" s="8"/>
    </row>
    <row r="156" spans="1:3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8"/>
      <c r="AI156" s="8"/>
    </row>
    <row r="157" spans="1:3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8"/>
      <c r="AI157" s="8"/>
    </row>
    <row r="158" spans="1:3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8"/>
      <c r="AI158" s="8"/>
    </row>
    <row r="159" spans="1:3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8"/>
      <c r="AI159" s="8"/>
    </row>
    <row r="160" spans="1:3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8"/>
      <c r="AI160" s="8"/>
    </row>
    <row r="161" spans="1:3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8"/>
      <c r="AI161" s="8"/>
    </row>
    <row r="162" spans="1:3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8"/>
      <c r="AI162" s="8"/>
    </row>
    <row r="163" spans="1:3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8"/>
      <c r="AI163" s="8"/>
    </row>
    <row r="164" spans="1:3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8"/>
      <c r="AI164" s="8"/>
    </row>
    <row r="165" spans="1:3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8"/>
      <c r="AI165" s="8"/>
    </row>
    <row r="166" spans="1:3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8"/>
      <c r="AI166" s="8"/>
    </row>
    <row r="167" spans="1:3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8"/>
      <c r="AI167" s="8"/>
    </row>
    <row r="168" spans="1:3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8"/>
      <c r="AI168" s="8"/>
    </row>
    <row r="169" spans="1:3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8"/>
      <c r="AI169" s="8"/>
    </row>
    <row r="170" spans="1:3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8"/>
      <c r="AI170" s="8"/>
    </row>
    <row r="171" spans="1:3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8"/>
      <c r="AI171" s="8"/>
    </row>
    <row r="172" spans="1:3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8"/>
      <c r="AI172" s="8"/>
    </row>
    <row r="173" spans="1:3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8"/>
      <c r="AI173" s="8"/>
    </row>
    <row r="174" spans="1:3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8"/>
      <c r="AI174" s="8"/>
    </row>
    <row r="175" spans="1:3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8"/>
      <c r="AI175" s="8"/>
    </row>
    <row r="176" spans="1:3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8"/>
      <c r="AI176" s="8"/>
    </row>
    <row r="177" spans="1:3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8"/>
      <c r="AI177" s="8"/>
    </row>
    <row r="178" spans="1:3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8"/>
      <c r="AI178" s="8"/>
    </row>
    <row r="179" spans="1:3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8"/>
      <c r="AI179" s="8"/>
    </row>
    <row r="180" spans="1:3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8"/>
      <c r="AI180" s="8"/>
    </row>
    <row r="181" spans="1:3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8"/>
      <c r="AI181" s="8"/>
    </row>
    <row r="182" spans="1:3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8"/>
      <c r="AI182" s="8"/>
    </row>
    <row r="183" spans="1:3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8"/>
      <c r="AI183" s="8"/>
    </row>
    <row r="184" spans="1:3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8"/>
      <c r="AI184" s="8"/>
    </row>
    <row r="185" spans="1:3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8"/>
      <c r="AI185" s="8"/>
    </row>
    <row r="186" spans="1:3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8"/>
      <c r="AI186" s="8"/>
    </row>
    <row r="187" spans="1:3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8"/>
      <c r="AI187" s="8"/>
    </row>
    <row r="188" spans="1:3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8"/>
      <c r="AI188" s="8"/>
    </row>
    <row r="189" spans="1:3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8"/>
      <c r="AI189" s="8"/>
    </row>
    <row r="190" spans="1:3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8"/>
      <c r="AI190" s="8"/>
    </row>
    <row r="191" spans="1:3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8"/>
      <c r="AI191" s="8"/>
    </row>
    <row r="192" spans="1:3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8"/>
      <c r="AI192" s="8"/>
    </row>
    <row r="193" spans="1:3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8"/>
      <c r="AI193" s="8"/>
    </row>
    <row r="194" spans="1:3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8"/>
      <c r="AI194" s="8"/>
    </row>
    <row r="195" spans="1:3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8"/>
      <c r="AI195" s="8"/>
    </row>
    <row r="196" spans="1:3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8"/>
      <c r="AI196" s="8"/>
    </row>
    <row r="197" spans="1:35">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7:35">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row>
    <row r="338" spans="7:35">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row>
    <row r="339" spans="7:35">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row>
    <row r="340" spans="7:35">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row>
    <row r="341" spans="7:35">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row>
    <row r="342" spans="7:35">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row>
    <row r="343" spans="7:35">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row>
    <row r="344" spans="7:35">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row>
    <row r="345" spans="7:35">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row>
    <row r="346" spans="7:35">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row>
    <row r="347" spans="7:35">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row>
    <row r="348" spans="7:35">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row>
    <row r="349" spans="7:35">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row>
    <row r="350" spans="7:35">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row>
    <row r="351" spans="7:35">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row>
    <row r="352" spans="7:35">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row>
    <row r="353" spans="7:35">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row>
    <row r="354" spans="7:35">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row>
    <row r="355" spans="7:35">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row>
    <row r="356" spans="7:35">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row>
    <row r="357" spans="7:35">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row>
    <row r="358" spans="7:35">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row>
    <row r="359" spans="7:35">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row>
    <row r="360" spans="7:35">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row>
    <row r="361" spans="7:35">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row>
    <row r="362" spans="7:35">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row>
    <row r="363" spans="7:35">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row>
    <row r="364" spans="7:35">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row>
    <row r="365" spans="7:35">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row>
    <row r="366" spans="7:35">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row>
    <row r="367" spans="7:35">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row>
    <row r="368" spans="7:35">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row>
    <row r="369" spans="7:35">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row>
    <row r="370" spans="7:35">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row>
    <row r="371" spans="7:35">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row>
    <row r="372" spans="7:35">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row>
    <row r="373" spans="7:35">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row>
    <row r="374" spans="7:35">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row>
    <row r="375" spans="7:35">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row>
    <row r="376" spans="7:35">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row>
    <row r="377" spans="7:35">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row>
    <row r="378" spans="7:35">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row>
    <row r="379" spans="7:35">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row>
    <row r="380" spans="7:35">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row>
    <row r="381" spans="7:35">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row>
    <row r="382" spans="7:35">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row>
    <row r="383" spans="7:35">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row>
    <row r="384" spans="7:35">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row>
    <row r="385" spans="7:35">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row>
    <row r="386" spans="7:35">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row>
    <row r="387" spans="7:35">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row>
    <row r="388" spans="7:35">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row>
    <row r="389" spans="7:35">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row>
    <row r="390" spans="7:35">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row>
    <row r="391" spans="7:35">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row>
    <row r="392" spans="7:35">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row>
    <row r="393" spans="7:35">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row>
    <row r="394" spans="7:35">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row>
    <row r="395" spans="7:35">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row>
    <row r="396" spans="7:35">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row>
    <row r="397" spans="7:35">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row>
    <row r="398" spans="7:35">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row>
    <row r="399" spans="7:35">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row>
    <row r="400" spans="7:35">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row>
    <row r="401" spans="7:35">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row>
    <row r="402" spans="7:35">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row>
    <row r="403" spans="7:35">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row>
    <row r="404" spans="7:35">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row>
    <row r="405" spans="7:35">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row>
    <row r="406" spans="7:35">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row>
    <row r="407" spans="7:35">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row>
    <row r="408" spans="7:35">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row>
    <row r="409" spans="7:35">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row>
    <row r="410" spans="7:35">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row>
    <row r="411" spans="7:35">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row>
    <row r="412" spans="7:35">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row>
    <row r="413" spans="7:35">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row>
    <row r="414" spans="7:35">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row>
    <row r="415" spans="7:35">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row>
    <row r="416" spans="7:35">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row>
    <row r="417" spans="7:35">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row>
    <row r="418" spans="7:35">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row>
    <row r="419" spans="7:35">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row>
    <row r="420" spans="7:35">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row>
    <row r="421" spans="7:35">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row>
    <row r="422" spans="7:35">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row>
    <row r="423" spans="7:35">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row>
    <row r="424" spans="7:35">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row>
    <row r="425" spans="7:35">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row>
    <row r="426" spans="7:35">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row>
    <row r="427" spans="7:35">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row>
    <row r="428" spans="7:35">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row>
    <row r="429" spans="7:35">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row>
    <row r="430" spans="7:35">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row>
    <row r="431" spans="7:35">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row>
    <row r="432" spans="7:35">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row>
    <row r="433" spans="7:35">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row>
    <row r="434" spans="7:35">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row>
    <row r="435" spans="7:35">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row>
    <row r="436" spans="7:35">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row>
    <row r="437" spans="7:35">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row>
    <row r="438" spans="7:35">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row>
    <row r="439" spans="7:35">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row>
    <row r="440" spans="7:35">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row>
    <row r="441" spans="7:35">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row>
    <row r="442" spans="7:35">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row>
    <row r="443" spans="7:35">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row>
    <row r="444" spans="7:35">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row>
    <row r="445" spans="7:35">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row>
    <row r="446" spans="7:35">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row>
    <row r="447" spans="7:35">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row>
    <row r="448" spans="7:35">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row>
    <row r="449" spans="7:35">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row>
    <row r="450" spans="7:35">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row>
    <row r="451" spans="7:35">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row>
    <row r="452" spans="7:35">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row>
    <row r="453" spans="7:35">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row>
    <row r="454" spans="7:35">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row>
    <row r="455" spans="7:35">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row>
    <row r="456" spans="7:35">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row>
    <row r="457" spans="7:35">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row>
    <row r="458" spans="7:35">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row>
    <row r="459" spans="7:35">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row>
    <row r="460" spans="7:35">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row>
    <row r="461" spans="7:35">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row>
    <row r="462" spans="7:35">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row>
    <row r="463" spans="7:35">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row>
    <row r="464" spans="7:35">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row>
    <row r="465" spans="7:35">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row>
    <row r="466" spans="7:35">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row>
    <row r="467" spans="7:35">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row>
    <row r="468" spans="7:35">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row>
    <row r="469" spans="7:35">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row>
    <row r="470" spans="7:35">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row>
    <row r="471" spans="7:35">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row>
    <row r="472" spans="7:35">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row>
    <row r="473" spans="7:35">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row>
    <row r="474" spans="7:35">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row>
    <row r="475" spans="7:35">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row>
    <row r="476" spans="7:35">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row>
    <row r="477" spans="7:35">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row>
    <row r="478" spans="7:35">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row>
    <row r="479" spans="7:35">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row>
    <row r="480" spans="7:35">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row>
    <row r="481" spans="7:35">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row>
    <row r="482" spans="7:35">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row>
    <row r="483" spans="7:35">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row>
    <row r="484" spans="7:35">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row>
    <row r="485" spans="7:35">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row>
    <row r="486" spans="7:35">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row>
    <row r="487" spans="7:35">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row>
    <row r="488" spans="7:35">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row>
    <row r="489" spans="7:35">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row>
    <row r="490" spans="7:35">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row>
    <row r="491" spans="7:35">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row>
    <row r="492" spans="7:35">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row>
    <row r="493" spans="7:35">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row>
    <row r="494" spans="7:35">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row>
    <row r="495" spans="7:35">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row>
    <row r="496" spans="7:35">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row>
    <row r="497" spans="7:35">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row>
    <row r="498" spans="7:35">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row>
    <row r="499" spans="7:35">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row>
    <row r="500" spans="7:35">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row>
    <row r="501" spans="7:35">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row>
    <row r="502" spans="7:35">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row>
    <row r="503" spans="7:35">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row>
    <row r="504" spans="7:35">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row>
    <row r="505" spans="7:35">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row>
    <row r="506" spans="7:35">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row>
    <row r="507" spans="7:35">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row>
    <row r="508" spans="7:35">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row>
    <row r="509" spans="7:35">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row>
    <row r="510" spans="7:35">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row>
    <row r="511" spans="7:35">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row>
    <row r="512" spans="7:35">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row>
    <row r="513" spans="7:35">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row>
    <row r="514" spans="7:35">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row>
    <row r="515" spans="7:35">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row>
    <row r="516" spans="7:35">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row>
    <row r="517" spans="7:35">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row>
    <row r="518" spans="7:35">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row>
    <row r="519" spans="7:35">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row>
    <row r="520" spans="7:35">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row>
    <row r="521" spans="7:35">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row>
    <row r="522" spans="7:35">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row>
    <row r="523" spans="7:35">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row>
    <row r="524" spans="7:35">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row>
    <row r="525" spans="7:35">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row>
    <row r="526" spans="7:35">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row>
    <row r="527" spans="7:35">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row>
    <row r="528" spans="7:35">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row>
    <row r="529" spans="7:35">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row>
    <row r="530" spans="7:35">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row>
    <row r="531" spans="7:35">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row>
    <row r="532" spans="7:35">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row>
    <row r="533" spans="7:35">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row>
    <row r="534" spans="7:35">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row>
    <row r="535" spans="7:35">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row>
    <row r="536" spans="7:35">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row>
    <row r="537" spans="7:35">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row>
    <row r="538" spans="7:35">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row>
    <row r="539" spans="7:35">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row>
    <row r="540" spans="7:35">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row>
    <row r="541" spans="7:35">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row>
    <row r="542" spans="7:35">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row>
    <row r="543" spans="7:35">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row>
    <row r="544" spans="7:35">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row>
    <row r="545" spans="7:35">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row>
    <row r="546" spans="7:35">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row>
    <row r="547" spans="7:35">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row>
    <row r="548" spans="7:35">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row>
    <row r="549" spans="7:35">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row>
    <row r="550" spans="7:35">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row>
    <row r="551" spans="7:35">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row>
    <row r="552" spans="7:35">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row>
    <row r="553" spans="7:35">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row>
    <row r="554" spans="7:35">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row>
    <row r="555" spans="7:35">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row>
    <row r="556" spans="7:35">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row>
    <row r="557" spans="7:35">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row>
    <row r="558" spans="7:35">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row>
    <row r="559" spans="7:35">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row>
    <row r="560" spans="7:35">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row>
    <row r="561" spans="7:35">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row>
    <row r="562" spans="7:35">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row>
    <row r="563" spans="7:35">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row>
    <row r="564" spans="7:35">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row>
    <row r="565" spans="7:35">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row>
    <row r="566" spans="7:35">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row>
    <row r="567" spans="7:35">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row>
    <row r="568" spans="7:35">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row>
    <row r="569" spans="7:35">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row>
    <row r="570" spans="7:35">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row>
    <row r="571" spans="7:35">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row>
    <row r="572" spans="7:35">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row>
    <row r="573" spans="7:35">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row>
    <row r="574" spans="7:35">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row>
    <row r="575" spans="7:35">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row>
    <row r="576" spans="7:35">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row>
    <row r="577" spans="7:35">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row>
    <row r="578" spans="7:35">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row>
    <row r="579" spans="7:35">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row>
    <row r="580" spans="7:35">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row>
    <row r="581" spans="7:35">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row>
    <row r="582" spans="7:35">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row>
    <row r="583" spans="7:35">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row>
    <row r="584" spans="7:35">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row>
    <row r="585" spans="7:35">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row>
    <row r="586" spans="7:35">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row>
    <row r="587" spans="7:35">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row>
    <row r="588" spans="7:35">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row>
    <row r="589" spans="7:35">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row>
    <row r="590" spans="7:35">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row>
    <row r="591" spans="7:35">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row>
    <row r="592" spans="7:35">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row>
    <row r="593" spans="7:35">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row>
    <row r="594" spans="7:35">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row>
    <row r="595" spans="7:35">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row>
    <row r="596" spans="7:35">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row>
    <row r="597" spans="7:35">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row>
    <row r="598" spans="7:35">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row>
    <row r="599" spans="7:35">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row>
    <row r="600" spans="7:35">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row>
    <row r="601" spans="7:35">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row>
    <row r="602" spans="7:35">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row>
    <row r="603" spans="7:35">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row>
    <row r="604" spans="7:35">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row>
    <row r="605" spans="7:35">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row>
    <row r="606" spans="7:35">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row>
    <row r="607" spans="7:35">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row>
    <row r="608" spans="7:35">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row>
    <row r="609" spans="7:35">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row>
    <row r="610" spans="7:35">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row>
    <row r="611" spans="7:35">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row>
    <row r="612" spans="7:35">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row>
    <row r="613" spans="7:35">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row>
    <row r="614" spans="7:35">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row>
    <row r="615" spans="7:35">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row>
    <row r="616" spans="7:35">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row>
    <row r="617" spans="7:35">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row>
    <row r="618" spans="7:35">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row>
    <row r="619" spans="7:35">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row>
    <row r="620" spans="7:35">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row>
    <row r="621" spans="7:35">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row>
    <row r="622" spans="7:35">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row>
    <row r="623" spans="7:35">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row>
    <row r="624" spans="7:35">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row>
    <row r="625" spans="7:35">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row>
    <row r="626" spans="7:35">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row>
    <row r="627" spans="7:35">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row>
    <row r="628" spans="7:35">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row>
    <row r="629" spans="7:35">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row>
    <row r="630" spans="7:35">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row>
    <row r="631" spans="7:35">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row>
    <row r="632" spans="7:35">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row>
    <row r="633" spans="7:35">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row>
    <row r="634" spans="7:35">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row>
    <row r="635" spans="7:35">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row>
    <row r="636" spans="7:35">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row>
    <row r="637" spans="7:35">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row>
    <row r="638" spans="7:35">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row>
    <row r="639" spans="7:35">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row>
    <row r="640" spans="7:35">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row>
    <row r="641" spans="7:35">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row>
    <row r="642" spans="7:35">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row>
    <row r="643" spans="7:35">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row>
    <row r="644" spans="7:35">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row>
    <row r="645" spans="7:35">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row>
    <row r="646" spans="7:35">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row>
    <row r="647" spans="7:35">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row>
    <row r="648" spans="7:35">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row>
    <row r="649" spans="7:35">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row>
    <row r="650" spans="7:35">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row>
    <row r="651" spans="7:35">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row>
    <row r="652" spans="7:35">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row>
    <row r="653" spans="7:35">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row>
    <row r="654" spans="7:35">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row>
    <row r="655" spans="7:35">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row>
    <row r="656" spans="7:35">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row>
    <row r="657" spans="7:35">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row>
    <row r="658" spans="7:35">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row>
    <row r="659" spans="7:35">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row>
    <row r="660" spans="7:35">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row>
    <row r="661" spans="7:35">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row>
    <row r="662" spans="7:35">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row>
    <row r="663" spans="7:35">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row>
    <row r="664" spans="7:35">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row>
    <row r="665" spans="7:35">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row>
    <row r="666" spans="7:35">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row>
    <row r="667" spans="7:35">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row>
    <row r="668" spans="7:35">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row>
    <row r="669" spans="7:35">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row>
    <row r="670" spans="7:35">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row>
    <row r="671" spans="7:35">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row>
    <row r="672" spans="7:35">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row>
    <row r="673" spans="7:35">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row>
    <row r="674" spans="7:35">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row>
    <row r="675" spans="7:35">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row>
    <row r="676" spans="7:35">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row>
    <row r="677" spans="7:35">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row>
    <row r="678" spans="7:35">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row>
    <row r="679" spans="7:35">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row>
    <row r="680" spans="7:35">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row>
    <row r="681" spans="7:35">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row>
    <row r="682" spans="7:35">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row>
    <row r="683" spans="7:35">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row>
    <row r="684" spans="7:35">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row>
    <row r="685" spans="7:35">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row>
    <row r="686" spans="7:35">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row>
    <row r="687" spans="7:35">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row>
    <row r="688" spans="7:35">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row>
    <row r="689" spans="7:35">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row>
    <row r="690" spans="7:35">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row>
    <row r="691" spans="7:35">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row>
    <row r="692" spans="7:35">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row>
    <row r="693" spans="7:35">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row>
    <row r="694" spans="7:35">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row>
    <row r="695" spans="7:35">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row>
    <row r="696" spans="7:35">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row>
    <row r="697" spans="7:35">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row>
    <row r="698" spans="7:35">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row>
    <row r="699" spans="7:35">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row>
    <row r="700" spans="7:35">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row>
    <row r="701" spans="7:35">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row>
    <row r="702" spans="7:35">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row>
    <row r="703" spans="7:35">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row>
    <row r="704" spans="7:35">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row>
    <row r="705" spans="7:35">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row>
    <row r="706" spans="7:35">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row>
    <row r="707" spans="7:35">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row>
    <row r="708" spans="7:35">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row>
    <row r="709" spans="7:35">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row>
    <row r="710" spans="7:35">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row>
    <row r="711" spans="7:35">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row>
    <row r="712" spans="7:35">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row>
    <row r="713" spans="7:35">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row>
    <row r="714" spans="7:35">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row>
    <row r="715" spans="7:35">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row>
    <row r="716" spans="7:35">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row>
    <row r="717" spans="7:35">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row>
    <row r="718" spans="7:35">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row>
    <row r="719" spans="7:35">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row>
    <row r="720" spans="7:35">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row>
    <row r="721" spans="7:35">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row>
    <row r="722" spans="7:35">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row>
    <row r="723" spans="7:35">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row>
    <row r="724" spans="7:35">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row>
    <row r="725" spans="7:35">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row>
    <row r="726" spans="7:35">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row>
    <row r="727" spans="7:35">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row>
    <row r="728" spans="7:35">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row>
    <row r="729" spans="7:35">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row>
    <row r="730" spans="7:35">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row>
    <row r="731" spans="7:35">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row>
    <row r="732" spans="7:35">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row>
    <row r="733" spans="7:35">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row>
    <row r="734" spans="7:35">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row>
    <row r="735" spans="7:35">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row>
    <row r="736" spans="7:35">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row>
    <row r="737" spans="7:35">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row>
    <row r="738" spans="7:35">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row>
    <row r="739" spans="7:35">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row>
    <row r="740" spans="7:35">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row>
    <row r="741" spans="7:35">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row>
    <row r="742" spans="7:35">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row>
    <row r="743" spans="7:35">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row>
    <row r="744" spans="7:35">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row>
    <row r="745" spans="7:35">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row>
    <row r="746" spans="7:35">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row>
    <row r="747" spans="7:35">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row>
    <row r="748" spans="7:35">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row>
    <row r="749" spans="7:35">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row>
    <row r="750" spans="7:35">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row>
    <row r="751" spans="7:35">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row>
    <row r="752" spans="7:35">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row>
    <row r="753" spans="7:35">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row>
    <row r="754" spans="7:35">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row>
    <row r="755" spans="7:35">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row>
    <row r="756" spans="7:35">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row>
    <row r="757" spans="7:35">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row>
    <row r="758" spans="7:35">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row>
    <row r="759" spans="7:35">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row>
    <row r="760" spans="7:35">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row>
    <row r="761" spans="7:35">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row>
    <row r="762" spans="7:35">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row>
    <row r="763" spans="7:35">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row>
    <row r="764" spans="7:35">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row>
    <row r="765" spans="7:35">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row>
    <row r="766" spans="7:35">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row>
    <row r="767" spans="7:35">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row>
    <row r="768" spans="7:35">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row>
    <row r="769" spans="7:35">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row>
    <row r="770" spans="7:35">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row>
    <row r="771" spans="7:35">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row>
    <row r="772" spans="7:35">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row>
    <row r="773" spans="7:35">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row>
    <row r="774" spans="7:35">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row>
    <row r="775" spans="7:35">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row>
    <row r="776" spans="7:35">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row>
    <row r="777" spans="7:35">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row>
    <row r="778" spans="7:35">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row>
    <row r="779" spans="7:35">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row>
    <row r="780" spans="7:35">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row>
    <row r="781" spans="7:35">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row>
    <row r="782" spans="7:35">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row>
    <row r="783" spans="7:35">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row>
    <row r="784" spans="7:35">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row>
    <row r="785" spans="7:35">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row>
    <row r="786" spans="7:35">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row>
    <row r="787" spans="7:35">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row>
    <row r="788" spans="7:35">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row>
    <row r="789" spans="7:35">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row>
    <row r="790" spans="7:35">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row>
    <row r="791" spans="7:35">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row>
    <row r="792" spans="7:35">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row>
    <row r="793" spans="7:35">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row>
    <row r="794" spans="7:35">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row>
    <row r="795" spans="7:35">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row>
    <row r="796" spans="7:35">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row>
    <row r="797" spans="7:35">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row>
    <row r="798" spans="7:35">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row>
    <row r="799" spans="7:35">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row>
    <row r="800" spans="7:35">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row>
    <row r="801" spans="7:35">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row>
    <row r="802" spans="7:35">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row>
    <row r="803" spans="7:35">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row>
    <row r="804" spans="7:35">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row>
    <row r="805" spans="7:35">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row>
    <row r="806" spans="7:35">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row>
    <row r="807" spans="7:35">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row>
    <row r="808" spans="7:35">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row>
    <row r="809" spans="7:35">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row>
    <row r="810" spans="7:35">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row>
    <row r="811" spans="7:35">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row>
    <row r="812" spans="7:35">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row>
    <row r="813" spans="7:35">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row>
    <row r="814" spans="7:35">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row>
    <row r="815" spans="7:35">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row>
    <row r="816" spans="7:35">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row>
    <row r="817" spans="7:35">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row>
    <row r="818" spans="7:35">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row>
    <row r="819" spans="7:35">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row>
    <row r="820" spans="7:35">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row>
    <row r="821" spans="7:35">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row>
    <row r="822" spans="7:35">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row>
    <row r="823" spans="7:35">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row>
    <row r="824" spans="7:35">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row>
    <row r="825" spans="7:35">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row>
    <row r="826" spans="7:35">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row>
    <row r="827" spans="7:35">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row>
    <row r="828" spans="7:35">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row>
    <row r="829" spans="7:35">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row>
    <row r="830" spans="7:35">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row>
    <row r="831" spans="7:35">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row>
    <row r="832" spans="7:35">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row>
    <row r="833" spans="7:35">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row>
    <row r="834" spans="7:35">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row>
    <row r="835" spans="7:35">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row>
    <row r="836" spans="7:35">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row>
    <row r="837" spans="7:35">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row>
    <row r="838" spans="7:35">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row>
    <row r="839" spans="7:35">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row>
    <row r="840" spans="7:35">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row>
    <row r="841" spans="7:35">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row>
    <row r="842" spans="7:35">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row>
    <row r="843" spans="7:35">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row>
    <row r="844" spans="7:35">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row>
    <row r="845" spans="7:35">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row>
    <row r="846" spans="7:35">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row>
    <row r="847" spans="7:35">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row>
    <row r="848" spans="7:35">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row>
    <row r="849" spans="7:35">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row>
    <row r="850" spans="7:35">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row>
    <row r="851" spans="7:35">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row>
    <row r="852" spans="7:35">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row>
    <row r="853" spans="7:35">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row>
    <row r="854" spans="7:35">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row>
    <row r="855" spans="7:35">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row>
    <row r="856" spans="7:35">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row>
    <row r="857" spans="7:35">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row>
    <row r="858" spans="7:35">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row>
    <row r="859" spans="7:35">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row>
    <row r="860" spans="7:35">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row>
    <row r="861" spans="7:35">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row>
    <row r="862" spans="7:35">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row>
    <row r="863" spans="7:35">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row>
    <row r="864" spans="7:35">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row>
    <row r="865" spans="7:35">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row>
    <row r="866" spans="7:35">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row>
    <row r="867" spans="7:35">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row>
    <row r="868" spans="7:35">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row>
    <row r="869" spans="7:35">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row>
    <row r="870" spans="7:35">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row>
    <row r="871" spans="7:35">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row>
    <row r="872" spans="7:35">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row>
    <row r="873" spans="7:35">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row>
    <row r="874" spans="7:35">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row>
    <row r="875" spans="7:35">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row>
    <row r="876" spans="7:35">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row>
    <row r="877" spans="7:35">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row>
    <row r="878" spans="7:35">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row>
    <row r="879" spans="7:35">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row>
    <row r="880" spans="7:35">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row>
    <row r="881" spans="7:35">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row>
    <row r="882" spans="7:35">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row>
    <row r="883" spans="7:35">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row>
    <row r="884" spans="7:35">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row>
    <row r="885" spans="7:35">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row>
    <row r="886" spans="7:35">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row>
    <row r="887" spans="7:35">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row>
    <row r="888" spans="7:35">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row>
    <row r="889" spans="7:35">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row>
    <row r="890" spans="7:35">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row>
    <row r="891" spans="7:35">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row>
    <row r="892" spans="7:35">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row>
    <row r="893" spans="7:35">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row>
    <row r="894" spans="7:35">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row>
    <row r="895" spans="7:35">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row>
    <row r="896" spans="7:35">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row>
    <row r="897" spans="7:35">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row>
    <row r="898" spans="7:35">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row>
    <row r="899" spans="7:35">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row>
    <row r="900" spans="7:35">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row>
    <row r="901" spans="7:35">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row>
    <row r="902" spans="7:35">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row>
    <row r="903" spans="7:35">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row>
    <row r="904" spans="7:35">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row>
    <row r="905" spans="7:35">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row>
    <row r="906" spans="7:35">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row>
    <row r="907" spans="7:35">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row>
    <row r="908" spans="7:35">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row>
    <row r="909" spans="7:35">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row>
    <row r="910" spans="7:35">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row>
    <row r="911" spans="7:35">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row>
    <row r="912" spans="7:35">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row>
    <row r="913" spans="7:35">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row>
    <row r="914" spans="7:35">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row>
    <row r="915" spans="7:35">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row>
    <row r="916" spans="7:35">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row>
    <row r="917" spans="7:35">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row>
    <row r="918" spans="7:35">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row>
    <row r="919" spans="7:35">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row>
    <row r="920" spans="7:35">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row>
    <row r="921" spans="7:35">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row>
    <row r="922" spans="7:35">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row>
    <row r="923" spans="7:35">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row>
    <row r="924" spans="7:35">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row>
    <row r="925" spans="7:35">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row>
    <row r="926" spans="7:35">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row>
    <row r="927" spans="7:35">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row>
    <row r="928" spans="7:35">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row>
    <row r="929" spans="7:35">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row>
    <row r="930" spans="7:35">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row>
    <row r="931" spans="7:35">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row>
    <row r="932" spans="7:35">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row>
    <row r="933" spans="7:35">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row>
    <row r="934" spans="7:35">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row>
    <row r="935" spans="7:35">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row>
    <row r="936" spans="7:35">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row>
    <row r="937" spans="7:35">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row>
    <row r="938" spans="7:35">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row>
    <row r="939" spans="7:35">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row>
    <row r="940" spans="7:35">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row>
    <row r="941" spans="7:35">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row>
    <row r="942" spans="7:35">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row>
    <row r="943" spans="7:35">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row>
    <row r="944" spans="7:35">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row>
    <row r="945" spans="7:35">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row>
    <row r="946" spans="7:35">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row>
    <row r="947" spans="7:35">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row>
    <row r="948" spans="7:35">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row>
    <row r="949" spans="7:35">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row>
    <row r="950" spans="7:35">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row>
    <row r="951" spans="7:35">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row>
    <row r="952" spans="7:35">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row>
    <row r="953" spans="7:35">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row>
    <row r="954" spans="7:35">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row>
    <row r="955" spans="7:35">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row>
    <row r="956" spans="7:35">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row>
    <row r="957" spans="7:35">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row>
    <row r="958" spans="7:35">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row>
    <row r="959" spans="7:35">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row>
    <row r="960" spans="7:35">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row>
    <row r="961" spans="7:35">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row>
    <row r="962" spans="7:35">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row>
    <row r="963" spans="7:35">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row>
    <row r="964" spans="7:35">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row>
    <row r="965" spans="7:35">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row>
    <row r="966" spans="7:35">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row>
    <row r="967" spans="7:35">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row>
    <row r="968" spans="7:35">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row>
    <row r="969" spans="7:35">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row>
    <row r="970" spans="7:35">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row>
    <row r="971" spans="7:35">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row>
    <row r="972" spans="7:35">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row>
    <row r="973" spans="7:35">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row>
    <row r="974" spans="7:35">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row>
    <row r="975" spans="7:35">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row>
    <row r="976" spans="7:35">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row>
    <row r="977" spans="7:35">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row>
    <row r="978" spans="7:35">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row>
    <row r="979" spans="7:35">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row>
    <row r="980" spans="7:35">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row>
    <row r="981" spans="7:35">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row>
    <row r="982" spans="7:35">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row>
    <row r="983" spans="7:35">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row>
    <row r="984" spans="7:35">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row>
    <row r="985" spans="7:35">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row>
    <row r="986" spans="7:35">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row>
    <row r="987" spans="7:35">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row>
    <row r="988" spans="7:35">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row>
    <row r="989" spans="7:35">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row>
    <row r="990" spans="7:35">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row>
    <row r="991" spans="7:35">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row>
    <row r="992" spans="7:35">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row>
    <row r="993" spans="7:35">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row>
    <row r="994" spans="7:35">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row>
    <row r="995" spans="7:35">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row>
    <row r="996" spans="7:35">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row>
    <row r="997" spans="7:35">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row>
    <row r="998" spans="7:35">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row>
    <row r="999" spans="7:35">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row>
    <row r="1000" spans="7:35">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row>
    <row r="1001" spans="7:35">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row>
    <row r="1002" spans="7:35">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row>
    <row r="1003" spans="7:35">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row>
    <row r="1004" spans="7:35">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row>
    <row r="1005" spans="7:35">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row>
    <row r="1006" spans="7:35">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row>
    <row r="1007" spans="7:35">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row>
    <row r="1008" spans="7:35">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row>
    <row r="1009" spans="7:35">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row>
    <row r="1010" spans="7:35">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row>
    <row r="1011" spans="7:35">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row>
    <row r="1012" spans="7:35">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row>
    <row r="1013" spans="7:35">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row>
    <row r="1014" spans="7:35">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row>
    <row r="1015" spans="7:35">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row>
    <row r="1016" spans="7:35">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row>
    <row r="1017" spans="7:35">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row>
    <row r="1018" spans="7:35">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row>
    <row r="1019" spans="7:35">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row>
    <row r="1020" spans="7:35">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row>
    <row r="1021" spans="7:35">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row>
    <row r="1022" spans="7:35">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row>
    <row r="1023" spans="7:35">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row>
    <row r="1024" spans="7:35">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row>
    <row r="1025" spans="7:35">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row>
    <row r="1026" spans="7:35">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row>
    <row r="1027" spans="7:35">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row>
    <row r="1028" spans="7:35">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row>
    <row r="1029" spans="7:35">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row>
    <row r="1030" spans="7:35">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row>
    <row r="1031" spans="7:35">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row>
    <row r="1032" spans="7:35">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row>
    <row r="1033" spans="7:35">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row>
    <row r="1034" spans="7:35">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row>
    <row r="1035" spans="7:35">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row>
    <row r="1036" spans="7:35">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row>
    <row r="1037" spans="7:35">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row>
    <row r="1038" spans="7:35">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row>
    <row r="1039" spans="7:35">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row>
    <row r="1040" spans="7:35">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row>
    <row r="1041" spans="7:35">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row>
    <row r="1042" spans="7:35">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row>
    <row r="1043" spans="7:35">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row>
    <row r="1044" spans="7:35">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row>
    <row r="1045" spans="7:35">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row>
    <row r="1046" spans="7:35">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row>
    <row r="1047" spans="7:35">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row>
    <row r="1048" spans="7:35">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row>
    <row r="1049" spans="7:35">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row>
    <row r="1050" spans="7:35">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row>
    <row r="1051" spans="7:35">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row>
    <row r="1052" spans="7:35">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row>
    <row r="1053" spans="7:35">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row>
    <row r="1054" spans="7:35">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row>
    <row r="1055" spans="7:35">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row>
    <row r="1056" spans="7:35">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row>
    <row r="1057" spans="7:35">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row>
    <row r="1058" spans="7:35">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row>
    <row r="1059" spans="7:35">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row>
    <row r="1060" spans="7:35">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row>
    <row r="1061" spans="7:35">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row>
    <row r="1062" spans="7:35">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row>
    <row r="1063" spans="7:35">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row>
    <row r="1064" spans="7:35">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row>
    <row r="1065" spans="7:35">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row>
    <row r="1066" spans="7:35">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row>
    <row r="1067" spans="7:35">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row>
    <row r="1068" spans="7:35">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row>
    <row r="1069" spans="7:35">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row>
    <row r="1070" spans="7:35">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row>
    <row r="1071" spans="7:35">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row>
    <row r="1072" spans="7:35">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row>
    <row r="1073" spans="7:35">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row>
    <row r="1074" spans="7:35">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row>
    <row r="1075" spans="7:35">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row>
    <row r="1076" spans="7:35">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row>
    <row r="1077" spans="7:35">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4">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view="pageBreakPreview" topLeftCell="A2" zoomScaleSheetLayoutView="100" workbookViewId="0">
      <selection activeCell="AC23" sqref="AC23"/>
    </sheetView>
  </sheetViews>
  <sheetFormatPr defaultRowHeight="15.75"/>
  <cols>
    <col min="1" max="1" width="4" style="3" customWidth="1"/>
    <col min="2" max="2" width="14.42578125" style="3" customWidth="1"/>
    <col min="3" max="3" width="8.28515625" style="3" customWidth="1"/>
    <col min="4" max="4" width="7.28515625" style="3" customWidth="1"/>
    <col min="5" max="5" width="7.85546875" style="3" customWidth="1"/>
    <col min="6" max="6" width="6.855468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120" customWidth="1"/>
    <col min="26" max="26" width="7.140625" style="120"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97" t="s">
        <v>231</v>
      </c>
      <c r="W1" s="597"/>
      <c r="X1" s="597"/>
      <c r="Y1" s="594" t="str">
        <f>PROPER(IF(Master!H15="","",Master!H15))</f>
        <v>Plan</v>
      </c>
      <c r="Z1" s="594"/>
      <c r="AA1" s="594"/>
    </row>
    <row r="2" spans="1:89" s="104" customFormat="1" ht="23.1" customHeight="1">
      <c r="A2" s="614" t="s">
        <v>213</v>
      </c>
      <c r="B2" s="613"/>
      <c r="C2" s="613"/>
      <c r="D2" s="603" t="str">
        <f>UPPER(IF(Master!D9="","",Master!D9))</f>
        <v>ANITA CHOUDHARY</v>
      </c>
      <c r="E2" s="603"/>
      <c r="F2" s="603"/>
      <c r="G2" s="603"/>
      <c r="H2" s="603"/>
      <c r="I2" s="613" t="s">
        <v>212</v>
      </c>
      <c r="J2" s="613"/>
      <c r="K2" s="613"/>
      <c r="L2" s="612" t="str">
        <f>UPPER(IF(Master!H9="","",Master!H9))</f>
        <v>TEACHER</v>
      </c>
      <c r="M2" s="612"/>
      <c r="N2" s="612"/>
      <c r="O2" s="612"/>
      <c r="P2" s="613" t="s">
        <v>211</v>
      </c>
      <c r="Q2" s="613"/>
      <c r="R2" s="613"/>
      <c r="S2" s="613"/>
      <c r="T2" s="612" t="str">
        <f>UPPER(IF(Master!D10="","",Master!D10))</f>
        <v>G.U.P.S. BHILO KI DHANI, BARA KHURD</v>
      </c>
      <c r="U2" s="612"/>
      <c r="V2" s="612"/>
      <c r="W2" s="612"/>
      <c r="X2" s="612"/>
      <c r="Y2" s="612"/>
      <c r="Z2" s="610" t="s">
        <v>19</v>
      </c>
      <c r="AA2" s="611"/>
      <c r="AE2" s="105"/>
    </row>
    <row r="3" spans="1:89" s="104" customFormat="1" ht="23.1" customHeight="1">
      <c r="A3" s="589" t="s">
        <v>214</v>
      </c>
      <c r="B3" s="590"/>
      <c r="C3" s="606" t="str">
        <f>UPPER(IF(Master!D12="","",Master!D12))</f>
        <v>BNUPC2108M</v>
      </c>
      <c r="D3" s="606"/>
      <c r="E3" s="606"/>
      <c r="F3" s="59" t="s">
        <v>86</v>
      </c>
      <c r="G3" s="606" t="str">
        <f>IF(AND(Master!H13=""),"",Master!H13)</f>
        <v/>
      </c>
      <c r="H3" s="606"/>
      <c r="I3" s="606"/>
      <c r="J3" s="62" t="s">
        <v>7</v>
      </c>
      <c r="K3" s="598">
        <f>IF(AND(J3=""),"",IF(AND(J3=CH3),Master!H14,IF(AND(J3=CH4),Master!D13,"")))</f>
        <v>0</v>
      </c>
      <c r="L3" s="598"/>
      <c r="M3" s="598"/>
      <c r="N3" s="599" t="s">
        <v>215</v>
      </c>
      <c r="O3" s="599"/>
      <c r="P3" s="599"/>
      <c r="Q3" s="598" t="str">
        <f>IF(AND(Master!D14=""),"",Master!D14)</f>
        <v/>
      </c>
      <c r="R3" s="598"/>
      <c r="S3" s="598"/>
      <c r="T3" s="598"/>
      <c r="U3" s="598"/>
      <c r="V3" s="607" t="s">
        <v>154</v>
      </c>
      <c r="W3" s="607"/>
      <c r="X3" s="607"/>
      <c r="Y3" s="604" t="str">
        <f>IF(AND(Master!D15=""),"",Master!D15)</f>
        <v>2007xxxx375</v>
      </c>
      <c r="Z3" s="604"/>
      <c r="AA3" s="605"/>
      <c r="AE3" s="105"/>
      <c r="CH3" s="104" t="s">
        <v>153</v>
      </c>
    </row>
    <row r="4" spans="1:89" s="106" customFormat="1" ht="18.75" customHeight="1">
      <c r="A4" s="600" t="s">
        <v>17</v>
      </c>
      <c r="B4" s="592"/>
      <c r="C4" s="592"/>
      <c r="D4" s="592"/>
      <c r="E4" s="592"/>
      <c r="F4" s="592"/>
      <c r="G4" s="592"/>
      <c r="H4" s="592"/>
      <c r="I4" s="592"/>
      <c r="J4" s="592"/>
      <c r="K4" s="592"/>
      <c r="L4" s="601"/>
      <c r="M4" s="591" t="s">
        <v>18</v>
      </c>
      <c r="N4" s="592"/>
      <c r="O4" s="592"/>
      <c r="P4" s="592"/>
      <c r="Q4" s="592"/>
      <c r="R4" s="592"/>
      <c r="S4" s="592"/>
      <c r="T4" s="592"/>
      <c r="U4" s="592"/>
      <c r="V4" s="592"/>
      <c r="W4" s="592"/>
      <c r="X4" s="592"/>
      <c r="Y4" s="593" t="str">
        <f>IF(AND(Bills!AB5=""),"",Bills!AB5)</f>
        <v>NET PAY</v>
      </c>
      <c r="Z4" s="595" t="str">
        <f>IF(AND(Bills!AC5=""),"",Bills!AC5)</f>
        <v>TV.NO.</v>
      </c>
      <c r="AA4" s="596" t="str">
        <f>IF(AND(Bills!AD5=""),"",Bills!AD5)</f>
        <v>Enc.  DATE</v>
      </c>
      <c r="AE4" s="107"/>
      <c r="CH4" s="106" t="s">
        <v>7</v>
      </c>
    </row>
    <row r="5" spans="1:89" s="108" customFormat="1" ht="47.25" customHeight="1">
      <c r="A5" s="54" t="str">
        <f>IF(AND(Bills!B5=""),"",Bills!B5)</f>
        <v>S.N.</v>
      </c>
      <c r="B5" s="53" t="str">
        <f>IF(AND(Bills!C5=""),"",Bills!C5)</f>
        <v>Month</v>
      </c>
      <c r="C5" s="53" t="str">
        <f>IF(AND(Bills!F5=""),"",Bills!F5)</f>
        <v>Basic with Grade Pay</v>
      </c>
      <c r="D5" s="53" t="str">
        <f>IF(AND(Bills!G5=""),"",Bills!G5)</f>
        <v>DA</v>
      </c>
      <c r="E5" s="53" t="str">
        <f>IF(AND(Bills!H5=""),"",Bills!H5)</f>
        <v>HRA</v>
      </c>
      <c r="F5" s="53" t="str">
        <f>IF(AND(Bills!I5=""),"",Bills!I5)</f>
        <v>Wash All.</v>
      </c>
      <c r="G5" s="53" t="str">
        <f>IF(AND(Bills!J5=""),"",Bills!J5)</f>
        <v>Handi. All.</v>
      </c>
      <c r="H5" s="53" t="str">
        <f>IF(AND(Bills!K5=""),"",Bills!K5)</f>
        <v>Bonus</v>
      </c>
      <c r="I5" s="53" t="str">
        <f>IF(AND(Bills!L5=""),"",Bills!L5)</f>
        <v>CCA</v>
      </c>
      <c r="J5" s="53" t="str">
        <f>IF(AND(Bills!M5=""),"",Bills!M5)</f>
        <v>N.P.S. By Govt.</v>
      </c>
      <c r="K5" s="53" t="str">
        <f>IF(AND(Bills!N5=""),"",Bills!N5)</f>
        <v>other</v>
      </c>
      <c r="L5" s="53" t="str">
        <f>IF(AND(Bills!O5=""),"",Bills!O5)</f>
        <v>TOTAL</v>
      </c>
      <c r="M5" s="53" t="str">
        <f>IF(AND(Bills!P5=""),"",Bills!P5)</f>
        <v>SI</v>
      </c>
      <c r="N5" s="53" t="str">
        <f>IF(AND(Bills!Q5=""),"",Bills!Q5)</f>
        <v>GPF</v>
      </c>
      <c r="O5" s="53" t="str">
        <f>IF(AND(Bills!R5=""),"",Bills!R5)</f>
        <v>RPMF</v>
      </c>
      <c r="P5" s="53" t="str">
        <f>IF(AND(Bills!S5=""),"",Bills!S5)</f>
        <v>N.P.S. By SELF</v>
      </c>
      <c r="Q5" s="53" t="str">
        <f>IF(AND(Bills!T5=""),"",Bills!T5)</f>
        <v>L.I.C.</v>
      </c>
      <c r="R5" s="53" t="str">
        <f>IF(AND(Bills!U5=""),"",Bills!U5)</f>
        <v>SI LOAN</v>
      </c>
      <c r="S5" s="53" t="str">
        <f>IF(AND(Bills!V5=""),"",Bills!V5)</f>
        <v>GPF LOAN</v>
      </c>
      <c r="T5" s="53" t="str">
        <f>IF(AND(Bills!W5=""),"",Bills!W5)</f>
        <v>Home Loan</v>
      </c>
      <c r="U5" s="53" t="str">
        <f>IF(AND(Bills!X5=""),"",Bills!X5)</f>
        <v>Income Tax</v>
      </c>
      <c r="V5" s="53" t="str">
        <f>IF(AND(Bills!Y5=""),"",Bills!Y5)</f>
        <v>G.I. + S. Tax</v>
      </c>
      <c r="W5" s="53" t="str">
        <f>IF(AND(Bills!Z5=""),"",Bills!Z5)</f>
        <v>OTHER</v>
      </c>
      <c r="X5" s="55" t="str">
        <f>IF(AND(Bills!AA5=""),"",Bills!AA5)</f>
        <v>Total Ded.</v>
      </c>
      <c r="Y5" s="593"/>
      <c r="Z5" s="595"/>
      <c r="AA5" s="596"/>
      <c r="AE5" s="109"/>
    </row>
    <row r="6" spans="1:89" ht="22.5" customHeight="1">
      <c r="A6" s="51">
        <v>1</v>
      </c>
      <c r="B6" s="429">
        <f>IF(AND(Bills!C7=""),"",Bills!C7)</f>
        <v>43160</v>
      </c>
      <c r="C6" s="96">
        <f>IF(AND(Bills!F7=""),"",Bills!F7)</f>
        <v>23700</v>
      </c>
      <c r="D6" s="96" t="str">
        <f>IF(AND(Bills!G7=""),"",Bills!G7)</f>
        <v/>
      </c>
      <c r="E6" s="96" t="str">
        <f>IF(AND(Bills!H7=""),"",Bills!H7)</f>
        <v/>
      </c>
      <c r="F6" s="96" t="str">
        <f>IF(AND(Bills!I7=""),"",Bills!I7)</f>
        <v/>
      </c>
      <c r="G6" s="96" t="str">
        <f>IF(AND(Bills!J7=""),"",Bills!J7)</f>
        <v/>
      </c>
      <c r="H6" s="96" t="str">
        <f>IF(AND(Bills!K7=""),"",Bills!K7)</f>
        <v/>
      </c>
      <c r="I6" s="96" t="str">
        <f>IF(AND(Bills!L7=""),"",Bills!L7)</f>
        <v/>
      </c>
      <c r="J6" s="96" t="str">
        <f>IF(AND(Bills!M7=""),"",Bills!M7)</f>
        <v/>
      </c>
      <c r="K6" s="96" t="str">
        <f>IF(AND(Bills!N7=""),"",Bills!N7)</f>
        <v/>
      </c>
      <c r="L6" s="96">
        <f>IF(AND(Bills!O7=""),"",Bills!O7)</f>
        <v>23700</v>
      </c>
      <c r="M6" s="96" t="str">
        <f>IF(AND(Bills!P7=""),"",Bills!P7)</f>
        <v/>
      </c>
      <c r="N6" s="96" t="str">
        <f>IF(AND(Bills!Q7=""),"",Bills!Q7)</f>
        <v/>
      </c>
      <c r="O6" s="96" t="str">
        <f>IF(AND(Bills!R7=""),"",Bills!R7)</f>
        <v/>
      </c>
      <c r="P6" s="96">
        <f>IF(AND(Bills!S7=""),"",Bills!S7)</f>
        <v>2370</v>
      </c>
      <c r="Q6" s="96" t="str">
        <f>IF(AND(Bills!T7=""),"",Bills!T7)</f>
        <v/>
      </c>
      <c r="R6" s="96" t="str">
        <f>IF(AND(Bills!U7=""),"",Bills!U7)</f>
        <v/>
      </c>
      <c r="S6" s="96" t="str">
        <f>IF(AND(Bills!V7=""),"",Bills!V7)</f>
        <v/>
      </c>
      <c r="T6" s="96" t="str">
        <f>IF(AND(Bills!W7=""),"",Bills!W7)</f>
        <v/>
      </c>
      <c r="U6" s="96" t="str">
        <f>IF(AND(Bills!X7=""),"",Bills!X7)</f>
        <v/>
      </c>
      <c r="V6" s="96" t="str">
        <f>IF(AND(Bills!Y7=""),"",Bills!Y7)</f>
        <v/>
      </c>
      <c r="W6" s="96" t="str">
        <f>IF(AND(Bills!Z7=""),"",Bills!Z7)</f>
        <v/>
      </c>
      <c r="X6" s="96">
        <f>IF(AND(Bills!AA7=""),"",Bills!AA7)</f>
        <v>2370</v>
      </c>
      <c r="Y6" s="97">
        <f>IF(AND(Bills!AB7=""),"",Bills!AB7)</f>
        <v>21330</v>
      </c>
      <c r="Z6" s="375" t="str">
        <f>IF(AND(Bills!AC7=""),"",Bills!AC7)</f>
        <v/>
      </c>
      <c r="AA6" s="473" t="str">
        <f>IF(AND(Bills!AD7=""),"",Bills!AD7)</f>
        <v/>
      </c>
      <c r="CK6" s="4" t="s">
        <v>7</v>
      </c>
    </row>
    <row r="7" spans="1:89" ht="20.100000000000001" customHeight="1">
      <c r="A7" s="51">
        <v>2</v>
      </c>
      <c r="B7" s="429">
        <f>IF(AND(Bills!C8=""),"",Bills!C8)</f>
        <v>43191</v>
      </c>
      <c r="C7" s="96">
        <f>IF(AND(Bills!F8=""),"",Bills!F8)</f>
        <v>23700</v>
      </c>
      <c r="D7" s="96" t="str">
        <f>IF(AND(Bills!G8=""),"",Bills!G8)</f>
        <v/>
      </c>
      <c r="E7" s="96" t="str">
        <f>IF(AND(Bills!H8=""),"",Bills!H8)</f>
        <v/>
      </c>
      <c r="F7" s="96" t="str">
        <f>IF(AND(Bills!I8=""),"",Bills!I8)</f>
        <v/>
      </c>
      <c r="G7" s="96" t="str">
        <f>IF(AND(Bills!J8=""),"",Bills!J8)</f>
        <v/>
      </c>
      <c r="H7" s="96" t="str">
        <f>IF(AND(Bills!K8=""),"",Bills!K8)</f>
        <v/>
      </c>
      <c r="I7" s="96" t="str">
        <f>IF(AND(Bills!L8=""),"",Bills!L8)</f>
        <v/>
      </c>
      <c r="J7" s="96" t="str">
        <f>IF(AND(Bills!M8=""),"",Bills!M8)</f>
        <v/>
      </c>
      <c r="K7" s="96" t="str">
        <f>IF(AND(Bills!N8=""),"",Bills!N8)</f>
        <v/>
      </c>
      <c r="L7" s="96">
        <f>IF(AND(Bills!O8=""),"",Bills!O8)</f>
        <v>23700</v>
      </c>
      <c r="M7" s="96" t="str">
        <f>IF(AND(Bills!P8=""),"",Bills!P8)</f>
        <v/>
      </c>
      <c r="N7" s="96" t="str">
        <f>IF(AND(Bills!Q8=""),"",Bills!Q8)</f>
        <v/>
      </c>
      <c r="O7" s="96" t="str">
        <f>IF(AND(Bills!R8=""),"",Bills!R8)</f>
        <v/>
      </c>
      <c r="P7" s="96">
        <f>IF(AND(Bills!S8=""),"",Bills!S8)</f>
        <v>2370</v>
      </c>
      <c r="Q7" s="96" t="str">
        <f>IF(AND(Bills!T8=""),"",Bills!T8)</f>
        <v/>
      </c>
      <c r="R7" s="96" t="str">
        <f>IF(AND(Bills!U8=""),"",Bills!U8)</f>
        <v/>
      </c>
      <c r="S7" s="96" t="str">
        <f>IF(AND(Bills!V8=""),"",Bills!V8)</f>
        <v/>
      </c>
      <c r="T7" s="96" t="str">
        <f>IF(AND(Bills!W8=""),"",Bills!W8)</f>
        <v/>
      </c>
      <c r="U7" s="96" t="str">
        <f>IF(AND(Bills!X8=""),"",Bills!X8)</f>
        <v/>
      </c>
      <c r="V7" s="96" t="str">
        <f>IF(AND(Bills!Y8=""),"",Bills!Y8)</f>
        <v/>
      </c>
      <c r="W7" s="96" t="str">
        <f>IF(AND(Bills!Z8=""),"",Bills!Z8)</f>
        <v/>
      </c>
      <c r="X7" s="96">
        <f>IF(AND(Bills!AA8=""),"",Bills!AA8)</f>
        <v>2370</v>
      </c>
      <c r="Y7" s="97">
        <f>IF(AND(Bills!AB8=""),"",Bills!AB8)</f>
        <v>21330</v>
      </c>
      <c r="Z7" s="375" t="str">
        <f>IF(AND(Bills!AC8=""),"",Bills!AC8)</f>
        <v/>
      </c>
      <c r="AA7" s="473" t="str">
        <f>IF(AND(Bills!AD8=""),"",Bills!AD8)</f>
        <v/>
      </c>
      <c r="CK7" s="4" t="s">
        <v>152</v>
      </c>
    </row>
    <row r="8" spans="1:89" ht="20.100000000000001" customHeight="1">
      <c r="A8" s="51">
        <v>3</v>
      </c>
      <c r="B8" s="429">
        <f>IF(AND(Bills!C9=""),"",Bills!C9)</f>
        <v>43221</v>
      </c>
      <c r="C8" s="96">
        <f>IF(AND(Bills!F9=""),"",Bills!F9)</f>
        <v>23700</v>
      </c>
      <c r="D8" s="96" t="str">
        <f>IF(AND(Bills!G9=""),"",Bills!G9)</f>
        <v/>
      </c>
      <c r="E8" s="96" t="str">
        <f>IF(AND(Bills!H9=""),"",Bills!H9)</f>
        <v/>
      </c>
      <c r="F8" s="96" t="str">
        <f>IF(AND(Bills!I9=""),"",Bills!I9)</f>
        <v/>
      </c>
      <c r="G8" s="96" t="str">
        <f>IF(AND(Bills!J9=""),"",Bills!J9)</f>
        <v/>
      </c>
      <c r="H8" s="96" t="str">
        <f>IF(AND(Bills!K9=""),"",Bills!K9)</f>
        <v/>
      </c>
      <c r="I8" s="96" t="str">
        <f>IF(AND(Bills!L9=""),"",Bills!L9)</f>
        <v/>
      </c>
      <c r="J8" s="96" t="str">
        <f>IF(AND(Bills!M9=""),"",Bills!M9)</f>
        <v/>
      </c>
      <c r="K8" s="96" t="str">
        <f>IF(AND(Bills!N9=""),"",Bills!N9)</f>
        <v/>
      </c>
      <c r="L8" s="96">
        <f>IF(AND(Bills!O9=""),"",Bills!O9)</f>
        <v>23700</v>
      </c>
      <c r="M8" s="96" t="str">
        <f>IF(AND(Bills!P9=""),"",Bills!P9)</f>
        <v/>
      </c>
      <c r="N8" s="96" t="str">
        <f>IF(AND(Bills!Q9=""),"",Bills!Q9)</f>
        <v/>
      </c>
      <c r="O8" s="96" t="str">
        <f>IF(AND(Bills!R9=""),"",Bills!R9)</f>
        <v/>
      </c>
      <c r="P8" s="96">
        <f>IF(AND(Bills!S9=""),"",Bills!S9)</f>
        <v>2370</v>
      </c>
      <c r="Q8" s="96" t="str">
        <f>IF(AND(Bills!T9=""),"",Bills!T9)</f>
        <v/>
      </c>
      <c r="R8" s="96" t="str">
        <f>IF(AND(Bills!U9=""),"",Bills!U9)</f>
        <v/>
      </c>
      <c r="S8" s="96" t="str">
        <f>IF(AND(Bills!V9=""),"",Bills!V9)</f>
        <v/>
      </c>
      <c r="T8" s="96" t="str">
        <f>IF(AND(Bills!W9=""),"",Bills!W9)</f>
        <v/>
      </c>
      <c r="U8" s="96" t="str">
        <f>IF(AND(Bills!X9=""),"",Bills!X9)</f>
        <v/>
      </c>
      <c r="V8" s="96" t="str">
        <f>IF(AND(Bills!Y9=""),"",Bills!Y9)</f>
        <v/>
      </c>
      <c r="W8" s="96" t="str">
        <f>IF(AND(Bills!Z9=""),"",Bills!Z9)</f>
        <v/>
      </c>
      <c r="X8" s="96">
        <f>IF(AND(Bills!AA9=""),"",Bills!AA9)</f>
        <v>2370</v>
      </c>
      <c r="Y8" s="97">
        <f>IF(AND(Bills!AB9=""),"",Bills!AB9)</f>
        <v>21330</v>
      </c>
      <c r="Z8" s="375" t="str">
        <f>IF(AND(Bills!AC9=""),"",Bills!AC9)</f>
        <v/>
      </c>
      <c r="AA8" s="473" t="str">
        <f>IF(AND(Bills!AD9=""),"",Bills!AD9)</f>
        <v/>
      </c>
      <c r="CK8" s="4" t="s">
        <v>153</v>
      </c>
    </row>
    <row r="9" spans="1:89" ht="20.100000000000001" customHeight="1">
      <c r="A9" s="51">
        <v>4</v>
      </c>
      <c r="B9" s="429">
        <f>IF(AND(Bills!C10=""),"",Bills!C10)</f>
        <v>43252</v>
      </c>
      <c r="C9" s="96">
        <f>IF(AND(Bills!F10=""),"",Bills!F10)</f>
        <v>23700</v>
      </c>
      <c r="D9" s="96" t="str">
        <f>IF(AND(Bills!G10=""),"",Bills!G10)</f>
        <v/>
      </c>
      <c r="E9" s="96" t="str">
        <f>IF(AND(Bills!H10=""),"",Bills!H10)</f>
        <v/>
      </c>
      <c r="F9" s="96" t="str">
        <f>IF(AND(Bills!I10=""),"",Bills!I10)</f>
        <v/>
      </c>
      <c r="G9" s="96" t="str">
        <f>IF(AND(Bills!J10=""),"",Bills!J10)</f>
        <v/>
      </c>
      <c r="H9" s="96" t="str">
        <f>IF(AND(Bills!K10=""),"",Bills!K10)</f>
        <v/>
      </c>
      <c r="I9" s="96" t="str">
        <f>IF(AND(Bills!L10=""),"",Bills!L10)</f>
        <v/>
      </c>
      <c r="J9" s="96" t="str">
        <f>IF(AND(Bills!M10=""),"",Bills!M10)</f>
        <v/>
      </c>
      <c r="K9" s="96" t="str">
        <f>IF(AND(Bills!N10=""),"",Bills!N10)</f>
        <v/>
      </c>
      <c r="L9" s="96">
        <f>IF(AND(Bills!O10=""),"",Bills!O10)</f>
        <v>23700</v>
      </c>
      <c r="M9" s="96" t="str">
        <f>IF(AND(Bills!P10=""),"",Bills!P10)</f>
        <v/>
      </c>
      <c r="N9" s="96" t="str">
        <f>IF(AND(Bills!Q10=""),"",Bills!Q10)</f>
        <v/>
      </c>
      <c r="O9" s="96" t="str">
        <f>IF(AND(Bills!R10=""),"",Bills!R10)</f>
        <v/>
      </c>
      <c r="P9" s="96">
        <f>IF(AND(Bills!S10=""),"",Bills!S10)</f>
        <v>2370</v>
      </c>
      <c r="Q9" s="96" t="str">
        <f>IF(AND(Bills!T10=""),"",Bills!T10)</f>
        <v/>
      </c>
      <c r="R9" s="96" t="str">
        <f>IF(AND(Bills!U10=""),"",Bills!U10)</f>
        <v/>
      </c>
      <c r="S9" s="96" t="str">
        <f>IF(AND(Bills!V10=""),"",Bills!V10)</f>
        <v/>
      </c>
      <c r="T9" s="96" t="str">
        <f>IF(AND(Bills!W10=""),"",Bills!W10)</f>
        <v/>
      </c>
      <c r="U9" s="96" t="str">
        <f>IF(AND(Bills!X10=""),"",Bills!X10)</f>
        <v/>
      </c>
      <c r="V9" s="96" t="str">
        <f>IF(AND(Bills!Y10=""),"",Bills!Y10)</f>
        <v/>
      </c>
      <c r="W9" s="96" t="str">
        <f>IF(AND(Bills!Z10=""),"",Bills!Z10)</f>
        <v/>
      </c>
      <c r="X9" s="96">
        <f>IF(AND(Bills!AA10=""),"",Bills!AA10)</f>
        <v>2370</v>
      </c>
      <c r="Y9" s="97">
        <f>IF(AND(Bills!AB10=""),"",Bills!AB10)</f>
        <v>21330</v>
      </c>
      <c r="Z9" s="375" t="str">
        <f>IF(AND(Bills!AC10=""),"",Bills!AC10)</f>
        <v/>
      </c>
      <c r="AA9" s="473" t="str">
        <f>IF(AND(Bills!AD10=""),"",Bills!AD10)</f>
        <v/>
      </c>
    </row>
    <row r="10" spans="1:89" ht="20.100000000000001" customHeight="1">
      <c r="A10" s="51">
        <v>5</v>
      </c>
      <c r="B10" s="429">
        <f>IF(AND(Bills!C11=""),"",Bills!C11)</f>
        <v>43282</v>
      </c>
      <c r="C10" s="96">
        <f>IF(AND(Bills!F11=""),"",Bills!F11)</f>
        <v>23700</v>
      </c>
      <c r="D10" s="96" t="str">
        <f>IF(AND(Bills!G11=""),"",Bills!G11)</f>
        <v/>
      </c>
      <c r="E10" s="96" t="str">
        <f>IF(AND(Bills!H11=""),"",Bills!H11)</f>
        <v/>
      </c>
      <c r="F10" s="96" t="str">
        <f>IF(AND(Bills!I11=""),"",Bills!I11)</f>
        <v/>
      </c>
      <c r="G10" s="96" t="str">
        <f>IF(AND(Bills!J11=""),"",Bills!J11)</f>
        <v/>
      </c>
      <c r="H10" s="96" t="str">
        <f>IF(AND(Bills!K11=""),"",Bills!K11)</f>
        <v/>
      </c>
      <c r="I10" s="96" t="str">
        <f>IF(AND(Bills!L11=""),"",Bills!L11)</f>
        <v/>
      </c>
      <c r="J10" s="96" t="str">
        <f>IF(AND(Bills!M11=""),"",Bills!M11)</f>
        <v/>
      </c>
      <c r="K10" s="96" t="str">
        <f>IF(AND(Bills!N11=""),"",Bills!N11)</f>
        <v/>
      </c>
      <c r="L10" s="96">
        <f>IF(AND(Bills!O11=""),"",Bills!O11)</f>
        <v>23700</v>
      </c>
      <c r="M10" s="96" t="str">
        <f>IF(AND(Bills!P11=""),"",Bills!P11)</f>
        <v/>
      </c>
      <c r="N10" s="96" t="str">
        <f>IF(AND(Bills!Q11=""),"",Bills!Q11)</f>
        <v/>
      </c>
      <c r="O10" s="96" t="str">
        <f>IF(AND(Bills!R11=""),"",Bills!R11)</f>
        <v/>
      </c>
      <c r="P10" s="96">
        <f>IF(AND(Bills!S11=""),"",Bills!S11)</f>
        <v>2370</v>
      </c>
      <c r="Q10" s="96" t="str">
        <f>IF(AND(Bills!T11=""),"",Bills!T11)</f>
        <v/>
      </c>
      <c r="R10" s="96" t="str">
        <f>IF(AND(Bills!U11=""),"",Bills!U11)</f>
        <v/>
      </c>
      <c r="S10" s="96" t="str">
        <f>IF(AND(Bills!V11=""),"",Bills!V11)</f>
        <v/>
      </c>
      <c r="T10" s="96" t="str">
        <f>IF(AND(Bills!W11=""),"",Bills!W11)</f>
        <v/>
      </c>
      <c r="U10" s="96" t="str">
        <f>IF(AND(Bills!X11=""),"",Bills!X11)</f>
        <v/>
      </c>
      <c r="V10" s="96" t="str">
        <f>IF(AND(Bills!Y11=""),"",Bills!Y11)</f>
        <v/>
      </c>
      <c r="W10" s="96" t="str">
        <f>IF(AND(Bills!Z11=""),"",Bills!Z11)</f>
        <v/>
      </c>
      <c r="X10" s="96">
        <f>IF(AND(Bills!AA11=""),"",Bills!AA11)</f>
        <v>2370</v>
      </c>
      <c r="Y10" s="97">
        <f>IF(AND(Bills!AB11=""),"",Bills!AB11)</f>
        <v>21330</v>
      </c>
      <c r="Z10" s="375" t="str">
        <f>IF(AND(Bills!AC11=""),"",Bills!AC11)</f>
        <v/>
      </c>
      <c r="AA10" s="473" t="str">
        <f>IF(AND(Bills!AD11=""),"",Bills!AD11)</f>
        <v/>
      </c>
    </row>
    <row r="11" spans="1:89" ht="20.100000000000001" customHeight="1">
      <c r="A11" s="51">
        <v>6</v>
      </c>
      <c r="B11" s="429">
        <f>IF(AND(Bills!C12=""),"",Bills!C12)</f>
        <v>43313</v>
      </c>
      <c r="C11" s="96">
        <f>IF(AND(Bills!F12=""),"",Bills!F12)</f>
        <v>23700</v>
      </c>
      <c r="D11" s="96" t="str">
        <f>IF(AND(Bills!G12=""),"",Bills!G12)</f>
        <v/>
      </c>
      <c r="E11" s="96" t="str">
        <f>IF(AND(Bills!H12=""),"",Bills!H12)</f>
        <v/>
      </c>
      <c r="F11" s="96" t="str">
        <f>IF(AND(Bills!I12=""),"",Bills!I12)</f>
        <v/>
      </c>
      <c r="G11" s="96" t="str">
        <f>IF(AND(Bills!J12=""),"",Bills!J12)</f>
        <v/>
      </c>
      <c r="H11" s="96" t="str">
        <f>IF(AND(Bills!K12=""),"",Bills!K12)</f>
        <v/>
      </c>
      <c r="I11" s="96" t="str">
        <f>IF(AND(Bills!L12=""),"",Bills!L12)</f>
        <v/>
      </c>
      <c r="J11" s="96" t="str">
        <f>IF(AND(Bills!M12=""),"",Bills!M12)</f>
        <v/>
      </c>
      <c r="K11" s="96" t="str">
        <f>IF(AND(Bills!N12=""),"",Bills!N12)</f>
        <v/>
      </c>
      <c r="L11" s="96">
        <f>IF(AND(Bills!O12=""),"",Bills!O12)</f>
        <v>23700</v>
      </c>
      <c r="M11" s="96" t="str">
        <f>IF(AND(Bills!P12=""),"",Bills!P12)</f>
        <v/>
      </c>
      <c r="N11" s="96" t="str">
        <f>IF(AND(Bills!Q12=""),"",Bills!Q12)</f>
        <v/>
      </c>
      <c r="O11" s="96" t="str">
        <f>IF(AND(Bills!R12=""),"",Bills!R12)</f>
        <v/>
      </c>
      <c r="P11" s="96">
        <f>IF(AND(Bills!S12=""),"",Bills!S12)</f>
        <v>2370</v>
      </c>
      <c r="Q11" s="96" t="str">
        <f>IF(AND(Bills!T12=""),"",Bills!T12)</f>
        <v/>
      </c>
      <c r="R11" s="96" t="str">
        <f>IF(AND(Bills!U12=""),"",Bills!U12)</f>
        <v/>
      </c>
      <c r="S11" s="96" t="str">
        <f>IF(AND(Bills!V12=""),"",Bills!V12)</f>
        <v/>
      </c>
      <c r="T11" s="96" t="str">
        <f>IF(AND(Bills!W12=""),"",Bills!W12)</f>
        <v/>
      </c>
      <c r="U11" s="96" t="str">
        <f>IF(AND(Bills!X12=""),"",Bills!X12)</f>
        <v/>
      </c>
      <c r="V11" s="96" t="str">
        <f>IF(AND(Bills!Y12=""),"",Bills!Y12)</f>
        <v/>
      </c>
      <c r="W11" s="96" t="str">
        <f>IF(AND(Bills!Z12=""),"",Bills!Z12)</f>
        <v/>
      </c>
      <c r="X11" s="96">
        <f>IF(AND(Bills!AA12=""),"",Bills!AA12)</f>
        <v>2370</v>
      </c>
      <c r="Y11" s="97">
        <f>IF(AND(Bills!AB12=""),"",Bills!AB12)</f>
        <v>21330</v>
      </c>
      <c r="Z11" s="375" t="str">
        <f>IF(AND(Bills!AC12=""),"",Bills!AC12)</f>
        <v/>
      </c>
      <c r="AA11" s="473" t="str">
        <f>IF(AND(Bills!AD12=""),"",Bills!AD12)</f>
        <v/>
      </c>
    </row>
    <row r="12" spans="1:89" ht="20.100000000000001" customHeight="1">
      <c r="A12" s="51">
        <v>7</v>
      </c>
      <c r="B12" s="429">
        <f>IF(AND(Bills!C13=""),"",Bills!C13)</f>
        <v>43344</v>
      </c>
      <c r="C12" s="96">
        <f>IF(AND(Bills!F13=""),"",Bills!F13)</f>
        <v>23700</v>
      </c>
      <c r="D12" s="96" t="str">
        <f>IF(AND(Bills!G13=""),"",Bills!G13)</f>
        <v/>
      </c>
      <c r="E12" s="96" t="str">
        <f>IF(AND(Bills!H13=""),"",Bills!H13)</f>
        <v/>
      </c>
      <c r="F12" s="96" t="str">
        <f>IF(AND(Bills!I13=""),"",Bills!I13)</f>
        <v/>
      </c>
      <c r="G12" s="96" t="str">
        <f>IF(AND(Bills!J13=""),"",Bills!J13)</f>
        <v/>
      </c>
      <c r="H12" s="96" t="str">
        <f>IF(AND(Bills!K13=""),"",Bills!K13)</f>
        <v/>
      </c>
      <c r="I12" s="96" t="str">
        <f>IF(AND(Bills!L13=""),"",Bills!L13)</f>
        <v/>
      </c>
      <c r="J12" s="96" t="str">
        <f>IF(AND(Bills!M13=""),"",Bills!M13)</f>
        <v/>
      </c>
      <c r="K12" s="96" t="str">
        <f>IF(AND(Bills!N13=""),"",Bills!N13)</f>
        <v/>
      </c>
      <c r="L12" s="96">
        <f>IF(AND(Bills!O13=""),"",Bills!O13)</f>
        <v>23700</v>
      </c>
      <c r="M12" s="96" t="str">
        <f>IF(AND(Bills!P13=""),"",Bills!P13)</f>
        <v/>
      </c>
      <c r="N12" s="96" t="str">
        <f>IF(AND(Bills!Q13=""),"",Bills!Q13)</f>
        <v/>
      </c>
      <c r="O12" s="96" t="str">
        <f>IF(AND(Bills!R13=""),"",Bills!R13)</f>
        <v/>
      </c>
      <c r="P12" s="96">
        <f>IF(AND(Bills!S13=""),"",Bills!S13)</f>
        <v>2370</v>
      </c>
      <c r="Q12" s="96" t="str">
        <f>IF(AND(Bills!T13=""),"",Bills!T13)</f>
        <v/>
      </c>
      <c r="R12" s="96" t="str">
        <f>IF(AND(Bills!U13=""),"",Bills!U13)</f>
        <v/>
      </c>
      <c r="S12" s="96" t="str">
        <f>IF(AND(Bills!V13=""),"",Bills!V13)</f>
        <v/>
      </c>
      <c r="T12" s="96" t="str">
        <f>IF(AND(Bills!W13=""),"",Bills!W13)</f>
        <v/>
      </c>
      <c r="U12" s="96" t="str">
        <f>IF(AND(Bills!X13=""),"",Bills!X13)</f>
        <v/>
      </c>
      <c r="V12" s="96" t="str">
        <f>IF(AND(Bills!Y13=""),"",Bills!Y13)</f>
        <v/>
      </c>
      <c r="W12" s="96" t="str">
        <f>IF(AND(Bills!Z13=""),"",Bills!Z13)</f>
        <v/>
      </c>
      <c r="X12" s="96">
        <f>IF(AND(Bills!AA13=""),"",Bills!AA13)</f>
        <v>2370</v>
      </c>
      <c r="Y12" s="97">
        <f>IF(AND(Bills!AB13=""),"",Bills!AB13)</f>
        <v>21330</v>
      </c>
      <c r="Z12" s="375" t="str">
        <f>IF(AND(Bills!AC13=""),"",Bills!AC13)</f>
        <v/>
      </c>
      <c r="AA12" s="473" t="str">
        <f>IF(AND(Bills!AD13=""),"",Bills!AD13)</f>
        <v/>
      </c>
    </row>
    <row r="13" spans="1:89" ht="20.100000000000001" customHeight="1">
      <c r="A13" s="51">
        <v>8</v>
      </c>
      <c r="B13" s="429">
        <f>IF(AND(Bills!C14=""),"",Bills!C14)</f>
        <v>43374</v>
      </c>
      <c r="C13" s="96">
        <f>IF(AND(Bills!F14=""),"",Bills!F14)</f>
        <v>23700</v>
      </c>
      <c r="D13" s="96" t="str">
        <f>IF(AND(Bills!G14=""),"",Bills!G14)</f>
        <v/>
      </c>
      <c r="E13" s="96" t="str">
        <f>IF(AND(Bills!H14=""),"",Bills!H14)</f>
        <v/>
      </c>
      <c r="F13" s="96" t="str">
        <f>IF(AND(Bills!I14=""),"",Bills!I14)</f>
        <v/>
      </c>
      <c r="G13" s="96" t="str">
        <f>IF(AND(Bills!J14=""),"",Bills!J14)</f>
        <v/>
      </c>
      <c r="H13" s="96" t="str">
        <f>IF(AND(Bills!K14=""),"",Bills!K14)</f>
        <v/>
      </c>
      <c r="I13" s="96" t="str">
        <f>IF(AND(Bills!L14=""),"",Bills!L14)</f>
        <v/>
      </c>
      <c r="J13" s="96" t="str">
        <f>IF(AND(Bills!M14=""),"",Bills!M14)</f>
        <v/>
      </c>
      <c r="K13" s="96" t="str">
        <f>IF(AND(Bills!N14=""),"",Bills!N14)</f>
        <v/>
      </c>
      <c r="L13" s="96">
        <f>IF(AND(Bills!O14=""),"",Bills!O14)</f>
        <v>23700</v>
      </c>
      <c r="M13" s="96" t="str">
        <f>IF(AND(Bills!P14=""),"",Bills!P14)</f>
        <v/>
      </c>
      <c r="N13" s="96" t="str">
        <f>IF(AND(Bills!Q14=""),"",Bills!Q14)</f>
        <v/>
      </c>
      <c r="O13" s="96" t="str">
        <f>IF(AND(Bills!R14=""),"",Bills!R14)</f>
        <v/>
      </c>
      <c r="P13" s="96">
        <f>IF(AND(Bills!S14=""),"",Bills!S14)</f>
        <v>2370</v>
      </c>
      <c r="Q13" s="96" t="str">
        <f>IF(AND(Bills!T14=""),"",Bills!T14)</f>
        <v/>
      </c>
      <c r="R13" s="96" t="str">
        <f>IF(AND(Bills!U14=""),"",Bills!U14)</f>
        <v/>
      </c>
      <c r="S13" s="96" t="str">
        <f>IF(AND(Bills!V14=""),"",Bills!V14)</f>
        <v/>
      </c>
      <c r="T13" s="96" t="str">
        <f>IF(AND(Bills!W14=""),"",Bills!W14)</f>
        <v/>
      </c>
      <c r="U13" s="96" t="str">
        <f>IF(AND(Bills!X14=""),"",Bills!X14)</f>
        <v/>
      </c>
      <c r="V13" s="96" t="str">
        <f>IF(AND(Bills!Y14=""),"",Bills!Y14)</f>
        <v/>
      </c>
      <c r="W13" s="96" t="str">
        <f>IF(AND(Bills!Z14=""),"",Bills!Z14)</f>
        <v/>
      </c>
      <c r="X13" s="96">
        <f>IF(AND(Bills!AA14=""),"",Bills!AA14)</f>
        <v>2370</v>
      </c>
      <c r="Y13" s="97">
        <f>IF(AND(Bills!AB14=""),"",Bills!AB14)</f>
        <v>21330</v>
      </c>
      <c r="Z13" s="375" t="str">
        <f>IF(AND(Bills!AC14=""),"",Bills!AC14)</f>
        <v/>
      </c>
      <c r="AA13" s="473" t="str">
        <f>IF(AND(Bills!AD14=""),"",Bills!AD14)</f>
        <v/>
      </c>
    </row>
    <row r="14" spans="1:89" ht="20.100000000000001" customHeight="1">
      <c r="A14" s="51">
        <v>9</v>
      </c>
      <c r="B14" s="429">
        <f>IF(AND(Bills!C15=""),"",Bills!C15)</f>
        <v>43405</v>
      </c>
      <c r="C14" s="96">
        <f>IF(AND(Bills!F15=""),"",Bills!F15)</f>
        <v>23700</v>
      </c>
      <c r="D14" s="96" t="str">
        <f>IF(AND(Bills!G15=""),"",Bills!G15)</f>
        <v/>
      </c>
      <c r="E14" s="96" t="str">
        <f>IF(AND(Bills!H15=""),"",Bills!H15)</f>
        <v/>
      </c>
      <c r="F14" s="96" t="str">
        <f>IF(AND(Bills!I15=""),"",Bills!I15)</f>
        <v/>
      </c>
      <c r="G14" s="96" t="str">
        <f>IF(AND(Bills!J15=""),"",Bills!J15)</f>
        <v/>
      </c>
      <c r="H14" s="96" t="str">
        <f>IF(AND(Bills!K15=""),"",Bills!K15)</f>
        <v/>
      </c>
      <c r="I14" s="96" t="str">
        <f>IF(AND(Bills!L15=""),"",Bills!L15)</f>
        <v/>
      </c>
      <c r="J14" s="96" t="str">
        <f>IF(AND(Bills!M15=""),"",Bills!M15)</f>
        <v/>
      </c>
      <c r="K14" s="96" t="str">
        <f>IF(AND(Bills!N15=""),"",Bills!N15)</f>
        <v/>
      </c>
      <c r="L14" s="96">
        <f>IF(AND(Bills!O15=""),"",Bills!O15)</f>
        <v>23700</v>
      </c>
      <c r="M14" s="96" t="str">
        <f>IF(AND(Bills!P15=""),"",Bills!P15)</f>
        <v/>
      </c>
      <c r="N14" s="96" t="str">
        <f>IF(AND(Bills!Q15=""),"",Bills!Q15)</f>
        <v/>
      </c>
      <c r="O14" s="96" t="str">
        <f>IF(AND(Bills!R15=""),"",Bills!R15)</f>
        <v/>
      </c>
      <c r="P14" s="96">
        <f>IF(AND(Bills!S15=""),"",Bills!S15)</f>
        <v>2370</v>
      </c>
      <c r="Q14" s="96" t="str">
        <f>IF(AND(Bills!T15=""),"",Bills!T15)</f>
        <v/>
      </c>
      <c r="R14" s="96" t="str">
        <f>IF(AND(Bills!U15=""),"",Bills!U15)</f>
        <v/>
      </c>
      <c r="S14" s="96" t="str">
        <f>IF(AND(Bills!V15=""),"",Bills!V15)</f>
        <v/>
      </c>
      <c r="T14" s="96" t="str">
        <f>IF(AND(Bills!W15=""),"",Bills!W15)</f>
        <v/>
      </c>
      <c r="U14" s="96" t="str">
        <f>IF(AND(Bills!X15=""),"",Bills!X15)</f>
        <v/>
      </c>
      <c r="V14" s="96" t="str">
        <f>IF(AND(Bills!Y15=""),"",Bills!Y15)</f>
        <v/>
      </c>
      <c r="W14" s="96" t="str">
        <f>IF(AND(Bills!Z15=""),"",Bills!Z15)</f>
        <v/>
      </c>
      <c r="X14" s="96">
        <f>IF(AND(Bills!AA15=""),"",Bills!AA15)</f>
        <v>2370</v>
      </c>
      <c r="Y14" s="97">
        <f>IF(AND(Bills!AB15=""),"",Bills!AB15)</f>
        <v>21330</v>
      </c>
      <c r="Z14" s="375" t="str">
        <f>IF(AND(Bills!AC15=""),"",Bills!AC15)</f>
        <v/>
      </c>
      <c r="AA14" s="473" t="str">
        <f>IF(AND(Bills!AD15=""),"",Bills!AD15)</f>
        <v/>
      </c>
      <c r="AD14" s="110" t="str">
        <f>IF(AND(CG3=""),"",IF(AND(CG3="YES"),CH3,IF(AND(CG3="NO"),CH4,"")))</f>
        <v/>
      </c>
    </row>
    <row r="15" spans="1:89" ht="20.100000000000001" customHeight="1">
      <c r="A15" s="51">
        <v>10</v>
      </c>
      <c r="B15" s="429">
        <f>IF(AND(Bills!C16=""),"",Bills!C16)</f>
        <v>43435</v>
      </c>
      <c r="C15" s="96">
        <f>IF(AND(Bills!F16=""),"",Bills!F16)</f>
        <v>23700</v>
      </c>
      <c r="D15" s="96" t="str">
        <f>IF(AND(Bills!G16=""),"",Bills!G16)</f>
        <v/>
      </c>
      <c r="E15" s="96" t="str">
        <f>IF(AND(Bills!H16=""),"",Bills!H16)</f>
        <v/>
      </c>
      <c r="F15" s="96" t="str">
        <f>IF(AND(Bills!I16=""),"",Bills!I16)</f>
        <v/>
      </c>
      <c r="G15" s="96" t="str">
        <f>IF(AND(Bills!J16=""),"",Bills!J16)</f>
        <v/>
      </c>
      <c r="H15" s="96" t="str">
        <f>IF(AND(Bills!K16=""),"",Bills!K16)</f>
        <v/>
      </c>
      <c r="I15" s="96" t="str">
        <f>IF(AND(Bills!L16=""),"",Bills!L16)</f>
        <v/>
      </c>
      <c r="J15" s="96" t="str">
        <f>IF(AND(Bills!M16=""),"",Bills!M16)</f>
        <v/>
      </c>
      <c r="K15" s="96" t="str">
        <f>IF(AND(Bills!N16=""),"",Bills!N16)</f>
        <v/>
      </c>
      <c r="L15" s="96">
        <f>IF(AND(Bills!O16=""),"",Bills!O16)</f>
        <v>23700</v>
      </c>
      <c r="M15" s="96" t="str">
        <f>IF(AND(Bills!P16=""),"",Bills!P16)</f>
        <v/>
      </c>
      <c r="N15" s="96" t="str">
        <f>IF(AND(Bills!Q16=""),"",Bills!Q16)</f>
        <v/>
      </c>
      <c r="O15" s="96" t="str">
        <f>IF(AND(Bills!R16=""),"",Bills!R16)</f>
        <v/>
      </c>
      <c r="P15" s="96">
        <f>IF(AND(Bills!S16=""),"",Bills!S16)</f>
        <v>2370</v>
      </c>
      <c r="Q15" s="96" t="str">
        <f>IF(AND(Bills!T16=""),"",Bills!T16)</f>
        <v/>
      </c>
      <c r="R15" s="96" t="str">
        <f>IF(AND(Bills!U16=""),"",Bills!U16)</f>
        <v/>
      </c>
      <c r="S15" s="96" t="str">
        <f>IF(AND(Bills!V16=""),"",Bills!V16)</f>
        <v/>
      </c>
      <c r="T15" s="96" t="str">
        <f>IF(AND(Bills!W16=""),"",Bills!W16)</f>
        <v/>
      </c>
      <c r="U15" s="96" t="str">
        <f>IF(AND(Bills!X16=""),"",Bills!X16)</f>
        <v/>
      </c>
      <c r="V15" s="96" t="str">
        <f>IF(AND(Bills!Y16=""),"",Bills!Y16)</f>
        <v/>
      </c>
      <c r="W15" s="96" t="str">
        <f>IF(AND(Bills!Z16=""),"",Bills!Z16)</f>
        <v/>
      </c>
      <c r="X15" s="96">
        <f>IF(AND(Bills!AA16=""),"",Bills!AA16)</f>
        <v>2370</v>
      </c>
      <c r="Y15" s="97">
        <f>IF(AND(Bills!AB16=""),"",Bills!AB16)</f>
        <v>21330</v>
      </c>
      <c r="Z15" s="375" t="str">
        <f>IF(AND(Bills!AC16=""),"",Bills!AC16)</f>
        <v/>
      </c>
      <c r="AA15" s="473" t="str">
        <f>IF(AND(Bills!AD16=""),"",Bills!AD16)</f>
        <v/>
      </c>
    </row>
    <row r="16" spans="1:89" ht="20.100000000000001" customHeight="1">
      <c r="A16" s="51">
        <v>11</v>
      </c>
      <c r="B16" s="429">
        <f>IF(AND(Bills!C17=""),"",Bills!C17)</f>
        <v>43466</v>
      </c>
      <c r="C16" s="96">
        <f>IF(AND(Bills!F17=""),"",Bills!F17)</f>
        <v>23700</v>
      </c>
      <c r="D16" s="96" t="str">
        <f>IF(AND(Bills!G17=""),"",Bills!G17)</f>
        <v/>
      </c>
      <c r="E16" s="96" t="str">
        <f>IF(AND(Bills!H17=""),"",Bills!H17)</f>
        <v/>
      </c>
      <c r="F16" s="96" t="str">
        <f>IF(AND(Bills!I17=""),"",Bills!I17)</f>
        <v/>
      </c>
      <c r="G16" s="96" t="str">
        <f>IF(AND(Bills!J17=""),"",Bills!J17)</f>
        <v/>
      </c>
      <c r="H16" s="96" t="str">
        <f>IF(AND(Bills!K17=""),"",Bills!K17)</f>
        <v/>
      </c>
      <c r="I16" s="96" t="str">
        <f>IF(AND(Bills!L17=""),"",Bills!L17)</f>
        <v/>
      </c>
      <c r="J16" s="96" t="str">
        <f>IF(AND(Bills!M17=""),"",Bills!M17)</f>
        <v/>
      </c>
      <c r="K16" s="96" t="str">
        <f>IF(AND(Bills!N17=""),"",Bills!N17)</f>
        <v/>
      </c>
      <c r="L16" s="96">
        <f>IF(AND(Bills!O17=""),"",Bills!O17)</f>
        <v>23700</v>
      </c>
      <c r="M16" s="96" t="str">
        <f>IF(AND(Bills!P17=""),"",Bills!P17)</f>
        <v/>
      </c>
      <c r="N16" s="96" t="str">
        <f>IF(AND(Bills!Q17=""),"",Bills!Q17)</f>
        <v/>
      </c>
      <c r="O16" s="96" t="str">
        <f>IF(AND(Bills!R17=""),"",Bills!R17)</f>
        <v/>
      </c>
      <c r="P16" s="96">
        <f>IF(AND(Bills!S17=""),"",Bills!S17)</f>
        <v>2370</v>
      </c>
      <c r="Q16" s="96" t="str">
        <f>IF(AND(Bills!T17=""),"",Bills!T17)</f>
        <v/>
      </c>
      <c r="R16" s="96" t="str">
        <f>IF(AND(Bills!U17=""),"",Bills!U17)</f>
        <v/>
      </c>
      <c r="S16" s="96" t="str">
        <f>IF(AND(Bills!V17=""),"",Bills!V17)</f>
        <v/>
      </c>
      <c r="T16" s="96" t="str">
        <f>IF(AND(Bills!W17=""),"",Bills!W17)</f>
        <v/>
      </c>
      <c r="U16" s="96" t="str">
        <f>IF(AND(Bills!X17=""),"",Bills!X17)</f>
        <v/>
      </c>
      <c r="V16" s="96" t="str">
        <f>IF(AND(Bills!Y17=""),"",Bills!Y17)</f>
        <v/>
      </c>
      <c r="W16" s="96" t="str">
        <f>IF(AND(Bills!Z17=""),"",Bills!Z17)</f>
        <v/>
      </c>
      <c r="X16" s="96">
        <f>IF(AND(Bills!AA17=""),"",Bills!AA17)</f>
        <v>2370</v>
      </c>
      <c r="Y16" s="97">
        <f>IF(AND(Bills!AB17=""),"",Bills!AB17)</f>
        <v>21330</v>
      </c>
      <c r="Z16" s="375" t="str">
        <f>IF(AND(Bills!AC17=""),"",Bills!AC17)</f>
        <v/>
      </c>
      <c r="AA16" s="473" t="str">
        <f>IF(AND(Bills!AD17=""),"",Bills!AD17)</f>
        <v/>
      </c>
    </row>
    <row r="17" spans="1:27" ht="20.100000000000001" customHeight="1">
      <c r="A17" s="51">
        <v>12</v>
      </c>
      <c r="B17" s="429">
        <f>IF(AND(Bills!C18=""),"",Bills!C18)</f>
        <v>43497</v>
      </c>
      <c r="C17" s="96">
        <f>IF(AND(Bills!F18=""),"",Bills!F18)</f>
        <v>23700</v>
      </c>
      <c r="D17" s="96" t="str">
        <f>IF(AND(Bills!G18=""),"",Bills!G18)</f>
        <v/>
      </c>
      <c r="E17" s="96" t="str">
        <f>IF(AND(Bills!H18=""),"",Bills!H18)</f>
        <v/>
      </c>
      <c r="F17" s="96" t="str">
        <f>IF(AND(Bills!I18=""),"",Bills!I18)</f>
        <v/>
      </c>
      <c r="G17" s="96" t="str">
        <f>IF(AND(Bills!J18=""),"",Bills!J18)</f>
        <v/>
      </c>
      <c r="H17" s="96" t="str">
        <f>IF(AND(Bills!K18=""),"",Bills!K18)</f>
        <v/>
      </c>
      <c r="I17" s="96" t="str">
        <f>IF(AND(Bills!L18=""),"",Bills!L18)</f>
        <v/>
      </c>
      <c r="J17" s="96" t="str">
        <f>IF(AND(Bills!M18=""),"",Bills!M18)</f>
        <v/>
      </c>
      <c r="K17" s="96" t="str">
        <f>IF(AND(Bills!N18=""),"",Bills!N18)</f>
        <v/>
      </c>
      <c r="L17" s="96">
        <f>IF(AND(Bills!O18=""),"",Bills!O18)</f>
        <v>23700</v>
      </c>
      <c r="M17" s="96" t="str">
        <f>IF(AND(Bills!P18=""),"",Bills!P18)</f>
        <v/>
      </c>
      <c r="N17" s="96" t="str">
        <f>IF(AND(Bills!Q18=""),"",Bills!Q18)</f>
        <v/>
      </c>
      <c r="O17" s="96" t="str">
        <f>IF(AND(Bills!R18=""),"",Bills!R18)</f>
        <v/>
      </c>
      <c r="P17" s="96">
        <f>IF(AND(Bills!S18=""),"",Bills!S18)</f>
        <v>2370</v>
      </c>
      <c r="Q17" s="96" t="str">
        <f>IF(AND(Bills!T18=""),"",Bills!T18)</f>
        <v/>
      </c>
      <c r="R17" s="96" t="str">
        <f>IF(AND(Bills!U18=""),"",Bills!U18)</f>
        <v/>
      </c>
      <c r="S17" s="96" t="str">
        <f>IF(AND(Bills!V18=""),"",Bills!V18)</f>
        <v/>
      </c>
      <c r="T17" s="96" t="str">
        <f>IF(AND(Bills!W18=""),"",Bills!W18)</f>
        <v/>
      </c>
      <c r="U17" s="96" t="str">
        <f>IF(AND(Bills!X18=""),"",Bills!X18)</f>
        <v/>
      </c>
      <c r="V17" s="96" t="str">
        <f>IF(AND(Bills!Y18=""),"",Bills!Y18)</f>
        <v/>
      </c>
      <c r="W17" s="96" t="str">
        <f>IF(AND(Bills!Z18=""),"",Bills!Z18)</f>
        <v/>
      </c>
      <c r="X17" s="96">
        <f>IF(AND(Bills!AA18=""),"",Bills!AA18)</f>
        <v>2370</v>
      </c>
      <c r="Y17" s="97">
        <f>IF(AND(Bills!AB18=""),"",Bills!AB18)</f>
        <v>21330</v>
      </c>
      <c r="Z17" s="375" t="str">
        <f>IF(AND(Bills!AC18=""),"",Bills!AC18)</f>
        <v/>
      </c>
      <c r="AA17" s="473" t="str">
        <f>IF(AND(Bills!AD18=""),"",Bills!AD18)</f>
        <v/>
      </c>
    </row>
    <row r="18" spans="1:27" ht="20.100000000000001" customHeight="1">
      <c r="A18" s="51">
        <v>13</v>
      </c>
      <c r="B18" s="429" t="str">
        <f>IF(AND(Bills!C19=""),"",Bills!C19)</f>
        <v>Bonus</v>
      </c>
      <c r="C18" s="96" t="str">
        <f>IF(AND(Bills!F19=""),"",Bills!F19)</f>
        <v/>
      </c>
      <c r="D18" s="96" t="str">
        <f>IF(AND(Bills!G19=""),"",Bills!G19)</f>
        <v/>
      </c>
      <c r="E18" s="96" t="str">
        <f>IF(AND(Bills!H19=""),"",Bills!H19)</f>
        <v/>
      </c>
      <c r="F18" s="96" t="str">
        <f>IF(AND(Bills!I19=""),"",Bills!I19)</f>
        <v/>
      </c>
      <c r="G18" s="96" t="str">
        <f>IF(AND(Bills!J19=""),"",Bills!J19)</f>
        <v/>
      </c>
      <c r="H18" s="96" t="str">
        <f>IF(AND(Bills!K19=""),"",Bills!K19)</f>
        <v/>
      </c>
      <c r="I18" s="96" t="str">
        <f>IF(AND(Bills!L19=""),"",Bills!L19)</f>
        <v/>
      </c>
      <c r="J18" s="96" t="str">
        <f>IF(AND(Bills!M19=""),"",Bills!M19)</f>
        <v/>
      </c>
      <c r="K18" s="96" t="str">
        <f>IF(AND(Bills!N19=""),"",Bills!N19)</f>
        <v/>
      </c>
      <c r="L18" s="96">
        <f>IF(AND(Bills!O19=""),"",Bills!O19)</f>
        <v>0</v>
      </c>
      <c r="M18" s="96" t="str">
        <f>IF(AND(Bills!P19=""),"",Bills!P19)</f>
        <v/>
      </c>
      <c r="N18" s="96" t="str">
        <f>IF(AND(Bills!Q19=""),"",Bills!Q19)</f>
        <v/>
      </c>
      <c r="O18" s="96" t="str">
        <f>IF(AND(Bills!R19=""),"",Bills!R19)</f>
        <v/>
      </c>
      <c r="P18" s="96" t="str">
        <f>IF(AND(Bills!S19=""),"",Bills!S19)</f>
        <v/>
      </c>
      <c r="Q18" s="96" t="str">
        <f>IF(AND(Bills!T19=""),"",Bills!T19)</f>
        <v/>
      </c>
      <c r="R18" s="96" t="str">
        <f>IF(AND(Bills!U19=""),"",Bills!U19)</f>
        <v/>
      </c>
      <c r="S18" s="96" t="str">
        <f>IF(AND(Bills!V19=""),"",Bills!V19)</f>
        <v/>
      </c>
      <c r="T18" s="96" t="str">
        <f>IF(AND(Bills!W19=""),"",Bills!W19)</f>
        <v/>
      </c>
      <c r="U18" s="96" t="str">
        <f>IF(AND(Bills!X19=""),"",Bills!X19)</f>
        <v/>
      </c>
      <c r="V18" s="96" t="str">
        <f>IF(AND(Bills!Y19=""),"",Bills!Y19)</f>
        <v/>
      </c>
      <c r="W18" s="96" t="str">
        <f>IF(AND(Bills!Z19=""),"",Bills!Z19)</f>
        <v/>
      </c>
      <c r="X18" s="96">
        <f>IF(AND(Bills!AA19=""),"",Bills!AA19)</f>
        <v>0</v>
      </c>
      <c r="Y18" s="97">
        <f>IF(AND(Bills!AB19=""),"",Bills!AB19)</f>
        <v>0</v>
      </c>
      <c r="Z18" s="375" t="str">
        <f>IF(AND(Bills!AC19=""),"",Bills!AC19)</f>
        <v/>
      </c>
      <c r="AA18" s="473" t="str">
        <f>IF(AND(Bills!AD19=""),"",Bills!AD19)</f>
        <v/>
      </c>
    </row>
    <row r="19" spans="1:27" ht="24" customHeight="1">
      <c r="A19" s="51">
        <v>14</v>
      </c>
      <c r="B19" s="430" t="str">
        <f>IF(AND(Bills!C20=""),"",Bills!C20)</f>
        <v>DA Arrear 7%</v>
      </c>
      <c r="C19" s="96" t="str">
        <f>IF(AND(Bills!F20=""),"",Bills!F20)</f>
        <v/>
      </c>
      <c r="D19" s="96" t="str">
        <f>IF(AND(Bills!G20=""),"",Bills!G20)</f>
        <v/>
      </c>
      <c r="E19" s="96" t="str">
        <f>IF(AND(Bills!H20=""),"",Bills!H20)</f>
        <v/>
      </c>
      <c r="F19" s="96" t="str">
        <f>IF(AND(Bills!I20=""),"",Bills!I20)</f>
        <v/>
      </c>
      <c r="G19" s="96" t="str">
        <f>IF(AND(Bills!J20=""),"",Bills!J20)</f>
        <v/>
      </c>
      <c r="H19" s="96" t="str">
        <f>IF(AND(Bills!K20=""),"",Bills!K20)</f>
        <v/>
      </c>
      <c r="I19" s="96" t="str">
        <f>IF(AND(Bills!L20=""),"",Bills!L20)</f>
        <v/>
      </c>
      <c r="J19" s="96" t="str">
        <f>IF(AND(Bills!M20=""),"",Bills!M20)</f>
        <v/>
      </c>
      <c r="K19" s="96" t="str">
        <f>IF(AND(Bills!N20=""),"",Bills!N20)</f>
        <v/>
      </c>
      <c r="L19" s="96">
        <f>IF(AND(Bills!O20=""),"",Bills!O20)</f>
        <v>0</v>
      </c>
      <c r="M19" s="96" t="str">
        <f>IF(AND(Bills!P20=""),"",Bills!P20)</f>
        <v/>
      </c>
      <c r="N19" s="96" t="str">
        <f>IF(AND(Bills!Q20=""),"",Bills!Q20)</f>
        <v/>
      </c>
      <c r="O19" s="96" t="str">
        <f>IF(AND(Bills!R20=""),"",Bills!R20)</f>
        <v/>
      </c>
      <c r="P19" s="96" t="str">
        <f>IF(AND(Bills!S20=""),"",Bills!S20)</f>
        <v/>
      </c>
      <c r="Q19" s="96" t="str">
        <f>IF(AND(Bills!T20=""),"",Bills!T20)</f>
        <v/>
      </c>
      <c r="R19" s="96" t="str">
        <f>IF(AND(Bills!U20=""),"",Bills!U20)</f>
        <v/>
      </c>
      <c r="S19" s="96" t="str">
        <f>IF(AND(Bills!V20=""),"",Bills!V20)</f>
        <v/>
      </c>
      <c r="T19" s="96" t="str">
        <f>IF(AND(Bills!W20=""),"",Bills!W20)</f>
        <v/>
      </c>
      <c r="U19" s="96" t="str">
        <f>IF(AND(Bills!X20=""),"",Bills!X20)</f>
        <v/>
      </c>
      <c r="V19" s="96" t="str">
        <f>IF(AND(Bills!Y20=""),"",Bills!Y20)</f>
        <v/>
      </c>
      <c r="W19" s="96" t="str">
        <f>IF(AND(Bills!Z20=""),"",Bills!Z20)</f>
        <v/>
      </c>
      <c r="X19" s="96">
        <f>IF(AND(Bills!AA20=""),"",Bills!AA20)</f>
        <v>0</v>
      </c>
      <c r="Y19" s="97">
        <f>IF(AND(Bills!AB20=""),"",Bills!AB20)</f>
        <v>0</v>
      </c>
      <c r="Z19" s="375" t="str">
        <f>IF(AND(Bills!AC20=""),"",Bills!AC20)</f>
        <v/>
      </c>
      <c r="AA19" s="473" t="str">
        <f>IF(AND(Bills!AD20=""),"",Bills!AD20)</f>
        <v/>
      </c>
    </row>
    <row r="20" spans="1:27" ht="24" customHeight="1">
      <c r="A20" s="51">
        <v>15</v>
      </c>
      <c r="B20" s="430" t="str">
        <f>IF(AND(Bills!C21=""),"",Bills!C21)</f>
        <v>DA Arrear 9%</v>
      </c>
      <c r="C20" s="96" t="str">
        <f>IF(AND(Bills!F21=""),"",Bills!F21)</f>
        <v/>
      </c>
      <c r="D20" s="96" t="str">
        <f>IF(AND(Bills!G21=""),"",Bills!G21)</f>
        <v/>
      </c>
      <c r="E20" s="96" t="str">
        <f>IF(AND(Bills!H21=""),"",Bills!H21)</f>
        <v/>
      </c>
      <c r="F20" s="96" t="str">
        <f>IF(AND(Bills!I21=""),"",Bills!I21)</f>
        <v/>
      </c>
      <c r="G20" s="96" t="str">
        <f>IF(AND(Bills!J21=""),"",Bills!J21)</f>
        <v/>
      </c>
      <c r="H20" s="96" t="str">
        <f>IF(AND(Bills!K21=""),"",Bills!K21)</f>
        <v/>
      </c>
      <c r="I20" s="96" t="str">
        <f>IF(AND(Bills!L21=""),"",Bills!L21)</f>
        <v/>
      </c>
      <c r="J20" s="96" t="str">
        <f>IF(AND(Bills!M21=""),"",Bills!M21)</f>
        <v/>
      </c>
      <c r="K20" s="96" t="str">
        <f>IF(AND(Bills!N21=""),"",Bills!N21)</f>
        <v/>
      </c>
      <c r="L20" s="96">
        <f>IF(AND(Bills!O21=""),"",Bills!O21)</f>
        <v>0</v>
      </c>
      <c r="M20" s="96" t="str">
        <f>IF(AND(Bills!P21=""),"",Bills!P21)</f>
        <v/>
      </c>
      <c r="N20" s="96" t="str">
        <f>IF(AND(Bills!Q21=""),"",Bills!Q21)</f>
        <v/>
      </c>
      <c r="O20" s="96" t="str">
        <f>IF(AND(Bills!R21=""),"",Bills!R21)</f>
        <v/>
      </c>
      <c r="P20" s="96" t="str">
        <f>IF(AND(Bills!S21=""),"",Bills!S21)</f>
        <v/>
      </c>
      <c r="Q20" s="96" t="str">
        <f>IF(AND(Bills!T21=""),"",Bills!T21)</f>
        <v/>
      </c>
      <c r="R20" s="96" t="str">
        <f>IF(AND(Bills!U21=""),"",Bills!U21)</f>
        <v/>
      </c>
      <c r="S20" s="96" t="str">
        <f>IF(AND(Bills!V21=""),"",Bills!V21)</f>
        <v/>
      </c>
      <c r="T20" s="96" t="str">
        <f>IF(AND(Bills!W21=""),"",Bills!W21)</f>
        <v/>
      </c>
      <c r="U20" s="96" t="str">
        <f>IF(AND(Bills!X21=""),"",Bills!X21)</f>
        <v/>
      </c>
      <c r="V20" s="96" t="str">
        <f>IF(AND(Bills!Y21=""),"",Bills!Y21)</f>
        <v/>
      </c>
      <c r="W20" s="96" t="str">
        <f>IF(AND(Bills!Z21=""),"",Bills!Z21)</f>
        <v/>
      </c>
      <c r="X20" s="96">
        <f>IF(AND(Bills!AA21=""),"",Bills!AA21)</f>
        <v>0</v>
      </c>
      <c r="Y20" s="97">
        <f>IF(AND(Bills!AB21=""),"",Bills!AB21)</f>
        <v>0</v>
      </c>
      <c r="Z20" s="375" t="str">
        <f>IF(AND(Bills!AC21=""),"",Bills!AC21)</f>
        <v/>
      </c>
      <c r="AA20" s="473" t="str">
        <f>IF(AND(Bills!AD21=""),"",Bills!AD21)</f>
        <v/>
      </c>
    </row>
    <row r="21" spans="1:27" ht="21" customHeight="1">
      <c r="A21" s="51">
        <v>16</v>
      </c>
      <c r="B21" s="429" t="str">
        <f>IF(AND(Bills!C22=""),"",Bills!C22)</f>
        <v>Surrender</v>
      </c>
      <c r="C21" s="96" t="str">
        <f>IF(AND(Bills!F22=""),"",Bills!F22)</f>
        <v/>
      </c>
      <c r="D21" s="96" t="str">
        <f>IF(AND(Bills!G22=""),"",Bills!G22)</f>
        <v/>
      </c>
      <c r="E21" s="96" t="str">
        <f>IF(AND(Bills!H22=""),"",Bills!H22)</f>
        <v/>
      </c>
      <c r="F21" s="96" t="str">
        <f>IF(AND(Bills!I22=""),"",Bills!I22)</f>
        <v/>
      </c>
      <c r="G21" s="96" t="str">
        <f>IF(AND(Bills!J22=""),"",Bills!J22)</f>
        <v/>
      </c>
      <c r="H21" s="96" t="str">
        <f>IF(AND(Bills!K22=""),"",Bills!K22)</f>
        <v/>
      </c>
      <c r="I21" s="96" t="str">
        <f>IF(AND(Bills!L22=""),"",Bills!L22)</f>
        <v/>
      </c>
      <c r="J21" s="96" t="str">
        <f>IF(AND(Bills!M22=""),"",Bills!M22)</f>
        <v/>
      </c>
      <c r="K21" s="96" t="str">
        <f>IF(AND(Bills!N22=""),"",Bills!N22)</f>
        <v/>
      </c>
      <c r="L21" s="96">
        <f>IF(AND(Bills!O22=""),"",Bills!O22)</f>
        <v>0</v>
      </c>
      <c r="M21" s="96" t="str">
        <f>IF(AND(Bills!P22=""),"",Bills!P22)</f>
        <v/>
      </c>
      <c r="N21" s="96" t="str">
        <f>IF(AND(Bills!Q22=""),"",Bills!Q22)</f>
        <v/>
      </c>
      <c r="O21" s="96" t="str">
        <f>IF(AND(Bills!R22=""),"",Bills!R22)</f>
        <v/>
      </c>
      <c r="P21" s="96" t="str">
        <f>IF(AND(Bills!S22=""),"",Bills!S22)</f>
        <v/>
      </c>
      <c r="Q21" s="96" t="str">
        <f>IF(AND(Bills!T22=""),"",Bills!T22)</f>
        <v/>
      </c>
      <c r="R21" s="96" t="str">
        <f>IF(AND(Bills!U22=""),"",Bills!U22)</f>
        <v/>
      </c>
      <c r="S21" s="96" t="str">
        <f>IF(AND(Bills!V22=""),"",Bills!V22)</f>
        <v/>
      </c>
      <c r="T21" s="96" t="str">
        <f>IF(AND(Bills!W22=""),"",Bills!W22)</f>
        <v/>
      </c>
      <c r="U21" s="96" t="str">
        <f>IF(AND(Bills!X22=""),"",Bills!X22)</f>
        <v/>
      </c>
      <c r="V21" s="96" t="str">
        <f>IF(AND(Bills!Y22=""),"",Bills!Y22)</f>
        <v/>
      </c>
      <c r="W21" s="96" t="str">
        <f>IF(AND(Bills!Z22=""),"",Bills!Z22)</f>
        <v/>
      </c>
      <c r="X21" s="96">
        <f>IF(AND(Bills!AA22=""),"",Bills!AA22)</f>
        <v>0</v>
      </c>
      <c r="Y21" s="97">
        <f>IF(AND(Bills!AB22=""),"",Bills!AB22)</f>
        <v>0</v>
      </c>
      <c r="Z21" s="375" t="str">
        <f>IF(AND(Bills!AC22=""),"",Bills!AC22)</f>
        <v/>
      </c>
      <c r="AA21" s="473" t="str">
        <f>IF(AND(Bills!AD22=""),"",Bills!AD22)</f>
        <v/>
      </c>
    </row>
    <row r="22" spans="1:27" ht="18.75" customHeight="1">
      <c r="A22" s="51">
        <v>17</v>
      </c>
      <c r="B22" s="431" t="str">
        <f>IF(AND(Bills!C23=""),"",Bills!C23)</f>
        <v>Fixation Arrear 30%</v>
      </c>
      <c r="C22" s="96" t="str">
        <f>IF(AND(Bills!F23=""),"",Bills!F23)</f>
        <v/>
      </c>
      <c r="D22" s="96" t="str">
        <f>IF(AND(Bills!G23=""),"",Bills!G23)</f>
        <v/>
      </c>
      <c r="E22" s="96" t="str">
        <f>IF(AND(Bills!H23=""),"",Bills!H23)</f>
        <v/>
      </c>
      <c r="F22" s="96" t="str">
        <f>IF(AND(Bills!I23=""),"",Bills!I23)</f>
        <v/>
      </c>
      <c r="G22" s="96" t="str">
        <f>IF(AND(Bills!J23=""),"",Bills!J23)</f>
        <v/>
      </c>
      <c r="H22" s="96" t="str">
        <f>IF(AND(Bills!K23=""),"",Bills!K23)</f>
        <v/>
      </c>
      <c r="I22" s="96" t="str">
        <f>IF(AND(Bills!L23=""),"",Bills!L23)</f>
        <v/>
      </c>
      <c r="J22" s="96" t="str">
        <f>IF(AND(Bills!M23=""),"",Bills!M23)</f>
        <v/>
      </c>
      <c r="K22" s="96" t="str">
        <f>IF(AND(Bills!N23=""),"",Bills!N23)</f>
        <v/>
      </c>
      <c r="L22" s="96">
        <f>IF(AND(Bills!O23=""),"",Bills!O23)</f>
        <v>0</v>
      </c>
      <c r="M22" s="96" t="str">
        <f>IF(AND(Bills!P23=""),"",Bills!P23)</f>
        <v/>
      </c>
      <c r="N22" s="96" t="str">
        <f>IF(AND(Bills!Q23=""),"",Bills!Q23)</f>
        <v/>
      </c>
      <c r="O22" s="96" t="str">
        <f>IF(AND(Bills!R23=""),"",Bills!R23)</f>
        <v/>
      </c>
      <c r="P22" s="96" t="str">
        <f>IF(AND(Bills!S23=""),"",Bills!S23)</f>
        <v/>
      </c>
      <c r="Q22" s="96" t="str">
        <f>IF(AND(Bills!T23=""),"",Bills!T23)</f>
        <v/>
      </c>
      <c r="R22" s="96" t="str">
        <f>IF(AND(Bills!U23=""),"",Bills!U23)</f>
        <v/>
      </c>
      <c r="S22" s="96" t="str">
        <f>IF(AND(Bills!V23=""),"",Bills!V23)</f>
        <v/>
      </c>
      <c r="T22" s="96" t="str">
        <f>IF(AND(Bills!W23=""),"",Bills!W23)</f>
        <v/>
      </c>
      <c r="U22" s="96" t="str">
        <f>IF(AND(Bills!X23=""),"",Bills!X23)</f>
        <v/>
      </c>
      <c r="V22" s="96" t="str">
        <f>IF(AND(Bills!Y23=""),"",Bills!Y23)</f>
        <v/>
      </c>
      <c r="W22" s="96" t="str">
        <f>IF(AND(Bills!Z23=""),"",Bills!Z23)</f>
        <v/>
      </c>
      <c r="X22" s="96">
        <f>IF(AND(Bills!AA23=""),"",Bills!AA23)</f>
        <v>0</v>
      </c>
      <c r="Y22" s="97">
        <f>IF(AND(Bills!AB23=""),"",Bills!AB23)</f>
        <v>0</v>
      </c>
      <c r="Z22" s="375" t="str">
        <f>IF(AND(Bills!AC23=""),"",Bills!AC23)</f>
        <v/>
      </c>
      <c r="AA22" s="473" t="str">
        <f>IF(AND(Bills!AD23=""),"",Bills!AD23)</f>
        <v/>
      </c>
    </row>
    <row r="23" spans="1:27" ht="17.25" customHeight="1">
      <c r="A23" s="51">
        <v>18</v>
      </c>
      <c r="B23" s="431" t="str">
        <f>IF(AND(Bills!C24=""),"",Bills!C24)</f>
        <v>Fixation Arrear 30%</v>
      </c>
      <c r="C23" s="96" t="str">
        <f>IF(AND(Bills!F24=""),"",Bills!F24)</f>
        <v/>
      </c>
      <c r="D23" s="96" t="str">
        <f>IF(AND(Bills!G24=""),"",Bills!G24)</f>
        <v/>
      </c>
      <c r="E23" s="96" t="str">
        <f>IF(AND(Bills!H24=""),"",Bills!H24)</f>
        <v/>
      </c>
      <c r="F23" s="96" t="str">
        <f>IF(AND(Bills!I24=""),"",Bills!I24)</f>
        <v/>
      </c>
      <c r="G23" s="96" t="str">
        <f>IF(AND(Bills!J24=""),"",Bills!J24)</f>
        <v/>
      </c>
      <c r="H23" s="96" t="str">
        <f>IF(AND(Bills!K24=""),"",Bills!K24)</f>
        <v/>
      </c>
      <c r="I23" s="96" t="str">
        <f>IF(AND(Bills!L24=""),"",Bills!L24)</f>
        <v/>
      </c>
      <c r="J23" s="96" t="str">
        <f>IF(AND(Bills!M24=""),"",Bills!M24)</f>
        <v/>
      </c>
      <c r="K23" s="96" t="str">
        <f>IF(AND(Bills!N24=""),"",Bills!N24)</f>
        <v/>
      </c>
      <c r="L23" s="96">
        <f>IF(AND(Bills!O24=""),"",Bills!O24)</f>
        <v>0</v>
      </c>
      <c r="M23" s="96" t="str">
        <f>IF(AND(Bills!P24=""),"",Bills!P24)</f>
        <v/>
      </c>
      <c r="N23" s="96" t="str">
        <f>IF(AND(Bills!Q24=""),"",Bills!Q24)</f>
        <v/>
      </c>
      <c r="O23" s="96" t="str">
        <f>IF(AND(Bills!R24=""),"",Bills!R24)</f>
        <v/>
      </c>
      <c r="P23" s="96" t="str">
        <f>IF(AND(Bills!S24=""),"",Bills!S24)</f>
        <v/>
      </c>
      <c r="Q23" s="96" t="str">
        <f>IF(AND(Bills!T24=""),"",Bills!T24)</f>
        <v/>
      </c>
      <c r="R23" s="96" t="str">
        <f>IF(AND(Bills!U24=""),"",Bills!U24)</f>
        <v/>
      </c>
      <c r="S23" s="96" t="str">
        <f>IF(AND(Bills!V24=""),"",Bills!V24)</f>
        <v/>
      </c>
      <c r="T23" s="96" t="str">
        <f>IF(AND(Bills!W24=""),"",Bills!W24)</f>
        <v/>
      </c>
      <c r="U23" s="96" t="str">
        <f>IF(AND(Bills!X24=""),"",Bills!X24)</f>
        <v/>
      </c>
      <c r="V23" s="96" t="str">
        <f>IF(AND(Bills!Y24=""),"",Bills!Y24)</f>
        <v/>
      </c>
      <c r="W23" s="96" t="str">
        <f>IF(AND(Bills!Z24=""),"",Bills!Z24)</f>
        <v/>
      </c>
      <c r="X23" s="96">
        <f>IF(AND(Bills!AA24=""),"",Bills!AA24)</f>
        <v>0</v>
      </c>
      <c r="Y23" s="97">
        <f>IF(AND(Bills!AB24=""),"",Bills!AB24)</f>
        <v>0</v>
      </c>
      <c r="Z23" s="375" t="str">
        <f>IF(AND(Bills!AC24=""),"",Bills!AC24)</f>
        <v/>
      </c>
      <c r="AA23" s="473" t="str">
        <f>IF(AND(Bills!AD24=""),"",Bills!AD24)</f>
        <v/>
      </c>
    </row>
    <row r="24" spans="1:27" ht="17.25" customHeight="1">
      <c r="A24" s="51"/>
      <c r="B24" s="431" t="str">
        <f>IF(AND(Bills!C25=""),"",Bills!C25)</f>
        <v>Fixation Arrear 40%</v>
      </c>
      <c r="C24" s="96" t="str">
        <f>IF(AND(Bills!F25=""),"",Bills!F25)</f>
        <v/>
      </c>
      <c r="D24" s="96" t="str">
        <f>IF(AND(Bills!G25=""),"",Bills!G25)</f>
        <v/>
      </c>
      <c r="E24" s="96" t="str">
        <f>IF(AND(Bills!H25=""),"",Bills!H25)</f>
        <v/>
      </c>
      <c r="F24" s="96" t="str">
        <f>IF(AND(Bills!I25=""),"",Bills!I25)</f>
        <v/>
      </c>
      <c r="G24" s="96" t="str">
        <f>IF(AND(Bills!J25=""),"",Bills!J25)</f>
        <v/>
      </c>
      <c r="H24" s="96" t="str">
        <f>IF(AND(Bills!K25=""),"",Bills!K25)</f>
        <v/>
      </c>
      <c r="I24" s="96" t="str">
        <f>IF(AND(Bills!L25=""),"",Bills!L25)</f>
        <v/>
      </c>
      <c r="J24" s="96" t="str">
        <f>IF(AND(Bills!M25=""),"",Bills!M25)</f>
        <v/>
      </c>
      <c r="K24" s="96" t="str">
        <f>IF(AND(Bills!N25=""),"",Bills!N25)</f>
        <v/>
      </c>
      <c r="L24" s="96">
        <f>IF(AND(Bills!O25=""),"",Bills!O25)</f>
        <v>0</v>
      </c>
      <c r="M24" s="96" t="str">
        <f>IF(AND(Bills!P25=""),"",Bills!P25)</f>
        <v/>
      </c>
      <c r="N24" s="96" t="str">
        <f>IF(AND(Bills!Q25=""),"",Bills!Q25)</f>
        <v/>
      </c>
      <c r="O24" s="96" t="str">
        <f>IF(AND(Bills!R25=""),"",Bills!R25)</f>
        <v/>
      </c>
      <c r="P24" s="96" t="str">
        <f>IF(AND(Bills!S25=""),"",Bills!S25)</f>
        <v/>
      </c>
      <c r="Q24" s="96" t="str">
        <f>IF(AND(Bills!T25=""),"",Bills!T25)</f>
        <v/>
      </c>
      <c r="R24" s="96" t="str">
        <f>IF(AND(Bills!U25=""),"",Bills!U25)</f>
        <v/>
      </c>
      <c r="S24" s="96" t="str">
        <f>IF(AND(Bills!V25=""),"",Bills!V25)</f>
        <v/>
      </c>
      <c r="T24" s="96" t="str">
        <f>IF(AND(Bills!W25=""),"",Bills!W25)</f>
        <v/>
      </c>
      <c r="U24" s="96" t="str">
        <f>IF(AND(Bills!X25=""),"",Bills!X25)</f>
        <v/>
      </c>
      <c r="V24" s="96" t="str">
        <f>IF(AND(Bills!Y25=""),"",Bills!Y25)</f>
        <v/>
      </c>
      <c r="W24" s="96" t="str">
        <f>IF(AND(Bills!Z25=""),"",Bills!Z25)</f>
        <v/>
      </c>
      <c r="X24" s="96">
        <f>IF(AND(Bills!AA25=""),"",Bills!AA25)</f>
        <v>0</v>
      </c>
      <c r="Y24" s="97">
        <f>IF(AND(Bills!AB25=""),"",Bills!AB25)</f>
        <v>0</v>
      </c>
      <c r="Z24" s="375" t="str">
        <f>IF(AND(Bills!AC25=""),"",Bills!AC25)</f>
        <v/>
      </c>
      <c r="AA24" s="473" t="str">
        <f>IF(AND(Bills!AD25=""),"",Bills!AD25)</f>
        <v/>
      </c>
    </row>
    <row r="25" spans="1:27" ht="17.25" customHeight="1">
      <c r="A25" s="51">
        <v>19</v>
      </c>
      <c r="B25" s="431" t="str">
        <f>IF(AND(Bills!C26=""),"",Bills!C26)</f>
        <v>Salary Diff. Arrear</v>
      </c>
      <c r="C25" s="96" t="str">
        <f>IF(AND(Bills!F26=""),"",Bills!F26)</f>
        <v/>
      </c>
      <c r="D25" s="96" t="str">
        <f>IF(AND(Bills!G26=""),"",Bills!G26)</f>
        <v/>
      </c>
      <c r="E25" s="96" t="str">
        <f>IF(AND(Bills!H26=""),"",Bills!H26)</f>
        <v/>
      </c>
      <c r="F25" s="96" t="str">
        <f>IF(AND(Bills!I26=""),"",Bills!I26)</f>
        <v/>
      </c>
      <c r="G25" s="96" t="str">
        <f>IF(AND(Bills!J26=""),"",Bills!J26)</f>
        <v/>
      </c>
      <c r="H25" s="96" t="str">
        <f>IF(AND(Bills!K26=""),"",Bills!K26)</f>
        <v/>
      </c>
      <c r="I25" s="96" t="str">
        <f>IF(AND(Bills!L26=""),"",Bills!L26)</f>
        <v/>
      </c>
      <c r="J25" s="96" t="str">
        <f>IF(AND(Bills!M26=""),"",Bills!M26)</f>
        <v/>
      </c>
      <c r="K25" s="96" t="str">
        <f>IF(AND(Bills!N26=""),"",Bills!N26)</f>
        <v/>
      </c>
      <c r="L25" s="96">
        <f>IF(AND(Bills!O26=""),"",Bills!O26)</f>
        <v>0</v>
      </c>
      <c r="M25" s="96" t="str">
        <f>IF(AND(Bills!P26=""),"",Bills!P26)</f>
        <v/>
      </c>
      <c r="N25" s="96" t="str">
        <f>IF(AND(Bills!Q26=""),"",Bills!Q26)</f>
        <v/>
      </c>
      <c r="O25" s="96" t="str">
        <f>IF(AND(Bills!R26=""),"",Bills!R26)</f>
        <v/>
      </c>
      <c r="P25" s="96" t="str">
        <f>IF(AND(Bills!S26=""),"",Bills!S26)</f>
        <v/>
      </c>
      <c r="Q25" s="96" t="str">
        <f>IF(AND(Bills!T26=""),"",Bills!T26)</f>
        <v/>
      </c>
      <c r="R25" s="96" t="str">
        <f>IF(AND(Bills!U26=""),"",Bills!U26)</f>
        <v/>
      </c>
      <c r="S25" s="96" t="str">
        <f>IF(AND(Bills!V26=""),"",Bills!V26)</f>
        <v/>
      </c>
      <c r="T25" s="96" t="str">
        <f>IF(AND(Bills!W26=""),"",Bills!W26)</f>
        <v/>
      </c>
      <c r="U25" s="96" t="str">
        <f>IF(AND(Bills!X26=""),"",Bills!X26)</f>
        <v/>
      </c>
      <c r="V25" s="96" t="str">
        <f>IF(AND(Bills!Y26=""),"",Bills!Y26)</f>
        <v/>
      </c>
      <c r="W25" s="96" t="str">
        <f>IF(AND(Bills!Z26=""),"",Bills!Z26)</f>
        <v/>
      </c>
      <c r="X25" s="96">
        <f>IF(AND(Bills!AA26=""),"",Bills!AA26)</f>
        <v>0</v>
      </c>
      <c r="Y25" s="97">
        <f>IF(AND(Bills!AB26=""),"",Bills!AB26)</f>
        <v>0</v>
      </c>
      <c r="Z25" s="375" t="str">
        <f>IF(AND(Bills!AC26=""),"",Bills!AC26)</f>
        <v/>
      </c>
      <c r="AA25" s="473" t="str">
        <f>IF(AND(Bills!AD26=""),"",Bills!AD26)</f>
        <v/>
      </c>
    </row>
    <row r="26" spans="1:27" ht="20.100000000000001" customHeight="1">
      <c r="A26" s="51">
        <v>20</v>
      </c>
      <c r="B26" s="429" t="str">
        <f>IF(AND(Bills!C27=""),"",Bills!C27)</f>
        <v>OTHER</v>
      </c>
      <c r="C26" s="96" t="str">
        <f>IF(AND(Bills!F27=""),"",Bills!F27)</f>
        <v/>
      </c>
      <c r="D26" s="96" t="str">
        <f>IF(AND(Bills!G27=""),"",Bills!G27)</f>
        <v/>
      </c>
      <c r="E26" s="96" t="str">
        <f>IF(AND(Bills!H27=""),"",Bills!H27)</f>
        <v/>
      </c>
      <c r="F26" s="96" t="str">
        <f>IF(AND(Bills!I27=""),"",Bills!I27)</f>
        <v/>
      </c>
      <c r="G26" s="96" t="str">
        <f>IF(AND(Bills!J27=""),"",Bills!J27)</f>
        <v/>
      </c>
      <c r="H26" s="96" t="str">
        <f>IF(AND(Bills!K27=""),"",Bills!K27)</f>
        <v/>
      </c>
      <c r="I26" s="96" t="str">
        <f>IF(AND(Bills!L27=""),"",Bills!L27)</f>
        <v/>
      </c>
      <c r="J26" s="96" t="str">
        <f>IF(AND(Bills!M27=""),"",Bills!M27)</f>
        <v/>
      </c>
      <c r="K26" s="96" t="str">
        <f>IF(AND(Bills!N27=""),"",Bills!N27)</f>
        <v/>
      </c>
      <c r="L26" s="96">
        <f>IF(AND(Bills!O27=""),"",Bills!O27)</f>
        <v>0</v>
      </c>
      <c r="M26" s="96" t="str">
        <f>IF(AND(Bills!P27=""),"",Bills!P27)</f>
        <v/>
      </c>
      <c r="N26" s="96" t="str">
        <f>IF(AND(Bills!Q27=""),"",Bills!Q27)</f>
        <v/>
      </c>
      <c r="O26" s="96" t="str">
        <f>IF(AND(Bills!R27=""),"",Bills!R27)</f>
        <v/>
      </c>
      <c r="P26" s="96" t="str">
        <f>IF(AND(Bills!S27=""),"",Bills!S27)</f>
        <v/>
      </c>
      <c r="Q26" s="96" t="str">
        <f>IF(AND(Bills!T27=""),"",Bills!T27)</f>
        <v/>
      </c>
      <c r="R26" s="96" t="str">
        <f>IF(AND(Bills!U27=""),"",Bills!U27)</f>
        <v/>
      </c>
      <c r="S26" s="96" t="str">
        <f>IF(AND(Bills!V27=""),"",Bills!V27)</f>
        <v/>
      </c>
      <c r="T26" s="96" t="str">
        <f>IF(AND(Bills!W27=""),"",Bills!W27)</f>
        <v/>
      </c>
      <c r="U26" s="96" t="str">
        <f>IF(AND(Bills!X27=""),"",Bills!X27)</f>
        <v/>
      </c>
      <c r="V26" s="96" t="str">
        <f>IF(AND(Bills!Y27=""),"",Bills!Y27)</f>
        <v/>
      </c>
      <c r="W26" s="96" t="str">
        <f>IF(AND(Bills!Z27=""),"",Bills!Z27)</f>
        <v/>
      </c>
      <c r="X26" s="96">
        <f>IF(AND(Bills!AA27=""),"",Bills!AA27)</f>
        <v>0</v>
      </c>
      <c r="Y26" s="97">
        <f>IF(AND(Bills!AB27=""),"",Bills!AB27)</f>
        <v>0</v>
      </c>
      <c r="Z26" s="375" t="str">
        <f>IF(AND(Bills!AC27=""),"",Bills!AC27)</f>
        <v/>
      </c>
      <c r="AA26" s="473" t="str">
        <f>IF(AND(Bills!AD27=""),"",Bills!AD27)</f>
        <v/>
      </c>
    </row>
    <row r="27" spans="1:27" ht="28.5" customHeight="1">
      <c r="A27" s="52"/>
      <c r="B27" s="129" t="s">
        <v>155</v>
      </c>
      <c r="C27" s="376">
        <f>IF(AND($D$2=""),"",SUM(C6:C26))</f>
        <v>284400</v>
      </c>
      <c r="D27" s="376">
        <f>IF(AND($D$2=""),"",SUM(D6:D26))</f>
        <v>0</v>
      </c>
      <c r="E27" s="376">
        <f>IF(AND($D$2=""),"",SUM(E6:E26))</f>
        <v>0</v>
      </c>
      <c r="F27" s="376">
        <f t="shared" ref="F27:W27" si="0">IF(AND($D$2=""),"",SUM(F6:F26))</f>
        <v>0</v>
      </c>
      <c r="G27" s="376">
        <f t="shared" si="0"/>
        <v>0</v>
      </c>
      <c r="H27" s="376">
        <f t="shared" si="0"/>
        <v>0</v>
      </c>
      <c r="I27" s="376">
        <f t="shared" si="0"/>
        <v>0</v>
      </c>
      <c r="J27" s="376">
        <f>IF(AND($D$2=""),"",SUM(J6:J26))</f>
        <v>0</v>
      </c>
      <c r="K27" s="376">
        <f t="shared" si="0"/>
        <v>0</v>
      </c>
      <c r="L27" s="376">
        <f t="shared" si="0"/>
        <v>284400</v>
      </c>
      <c r="M27" s="376">
        <f t="shared" si="0"/>
        <v>0</v>
      </c>
      <c r="N27" s="376">
        <f t="shared" si="0"/>
        <v>0</v>
      </c>
      <c r="O27" s="376">
        <f t="shared" si="0"/>
        <v>0</v>
      </c>
      <c r="P27" s="376">
        <f t="shared" si="0"/>
        <v>28440</v>
      </c>
      <c r="Q27" s="376">
        <f t="shared" si="0"/>
        <v>0</v>
      </c>
      <c r="R27" s="376">
        <f t="shared" si="0"/>
        <v>0</v>
      </c>
      <c r="S27" s="376">
        <f t="shared" si="0"/>
        <v>0</v>
      </c>
      <c r="T27" s="376">
        <f t="shared" si="0"/>
        <v>0</v>
      </c>
      <c r="U27" s="376">
        <f t="shared" si="0"/>
        <v>0</v>
      </c>
      <c r="V27" s="376">
        <f t="shared" si="0"/>
        <v>0</v>
      </c>
      <c r="W27" s="376">
        <f t="shared" si="0"/>
        <v>0</v>
      </c>
      <c r="X27" s="376">
        <f>IF(AND($D$2=""),"",SUM(X6:X26))</f>
        <v>28440</v>
      </c>
      <c r="Y27" s="376">
        <f>IF(AND($D$2=""),"",SUM(Y6:Y26))</f>
        <v>255960</v>
      </c>
      <c r="Z27" s="377"/>
      <c r="AA27" s="378"/>
    </row>
    <row r="28" spans="1:27" ht="30" customHeight="1">
      <c r="A28" s="111"/>
      <c r="B28" s="112"/>
      <c r="C28" s="112"/>
      <c r="D28" s="112"/>
      <c r="E28" s="112"/>
      <c r="F28" s="112"/>
      <c r="G28" s="112"/>
      <c r="H28" s="112"/>
      <c r="I28" s="112"/>
      <c r="J28" s="112"/>
      <c r="K28" s="112"/>
      <c r="L28" s="112"/>
      <c r="M28" s="112"/>
      <c r="N28" s="112"/>
      <c r="O28" s="112"/>
      <c r="P28" s="113"/>
      <c r="Q28" s="113"/>
      <c r="R28" s="113"/>
      <c r="S28" s="113"/>
      <c r="T28" s="113"/>
      <c r="U28" s="113"/>
      <c r="V28" s="113"/>
      <c r="W28" s="113"/>
      <c r="X28" s="113"/>
      <c r="Y28" s="113"/>
      <c r="Z28" s="113"/>
      <c r="AA28" s="10"/>
    </row>
    <row r="29" spans="1:27" ht="20.25" customHeight="1">
      <c r="A29" s="111"/>
      <c r="B29" s="112"/>
      <c r="C29" s="608" t="str">
        <f>UPPER(IF(Master!D9="","",Master!D9))</f>
        <v>ANITA CHOUDHARY</v>
      </c>
      <c r="D29" s="608"/>
      <c r="E29" s="608"/>
      <c r="F29" s="608"/>
      <c r="G29" s="608"/>
      <c r="H29" s="608"/>
      <c r="I29" s="112"/>
      <c r="J29" s="112"/>
      <c r="K29" s="112"/>
      <c r="L29" s="112"/>
      <c r="M29" s="112"/>
      <c r="N29" s="112"/>
      <c r="O29" s="112"/>
      <c r="P29" s="113"/>
      <c r="Q29" s="113"/>
      <c r="R29" s="609" t="str">
        <f>IF(AND(Master!D17=""),"",CONCATENATE("( ",UPPER( Master!D17), " )",))</f>
        <v>( GIRDHARI RAM VISHNOI )</v>
      </c>
      <c r="S29" s="609"/>
      <c r="T29" s="609"/>
      <c r="U29" s="609"/>
      <c r="V29" s="609"/>
      <c r="W29" s="609"/>
      <c r="X29" s="609"/>
      <c r="Y29" s="609"/>
      <c r="Z29" s="114"/>
      <c r="AA29" s="10"/>
    </row>
    <row r="30" spans="1:27" ht="21" customHeight="1" thickBot="1">
      <c r="A30" s="115"/>
      <c r="B30" s="116"/>
      <c r="C30" s="116"/>
      <c r="D30" s="597" t="s">
        <v>218</v>
      </c>
      <c r="E30" s="597"/>
      <c r="F30" s="597"/>
      <c r="G30" s="597"/>
      <c r="H30" s="117"/>
      <c r="I30" s="117"/>
      <c r="J30" s="117"/>
      <c r="K30" s="116"/>
      <c r="L30" s="116"/>
      <c r="M30" s="116"/>
      <c r="N30" s="116"/>
      <c r="O30" s="116"/>
      <c r="P30" s="118"/>
      <c r="Q30" s="118"/>
      <c r="R30" s="602" t="s">
        <v>219</v>
      </c>
      <c r="S30" s="602"/>
      <c r="T30" s="602"/>
      <c r="U30" s="602"/>
      <c r="V30" s="602"/>
      <c r="W30" s="602"/>
      <c r="X30" s="602"/>
      <c r="Y30" s="602"/>
      <c r="Z30" s="119"/>
      <c r="AA30" s="11"/>
    </row>
    <row r="31" spans="1:27" ht="15">
      <c r="Y31" s="3"/>
      <c r="Z31" s="3"/>
    </row>
    <row r="32" spans="1:27" ht="15">
      <c r="Y32" s="3"/>
      <c r="Z32" s="3"/>
    </row>
  </sheetData>
  <sheetProtection password="C1FB" sheet="1" objects="1" scenarios="1" formatCells="0" formatColumns="0" formatRows="0" selectLockedCells="1"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AND(Bills!#REF!,"AAAAAD///oM=")</f>
        <v>#REF!</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AND(Bills!#REF!,"AAAAAD///rY=")</f>
        <v>#REF!</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e">
        <f>IF(Bills!14:14,"AAAAAG+7bg8=",0)</f>
        <v>#VALUE!</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AND(Bills!D28,"AAAAAFxa/9M=")</f>
        <v>#VALUE!</v>
      </c>
      <c r="HE37" t="e">
        <f>AND(Bills!E28,"AAAAAFxa/9Q=")</f>
        <v>#VALUE!</v>
      </c>
      <c r="HF37" t="e">
        <f>AND(Bills!#REF!,"AAAAAFxa/9U=")</f>
        <v>#REF!</v>
      </c>
      <c r="HG37" t="e">
        <f>AND(Bills!#REF!,"AAAAAFxa/9Y=")</f>
        <v>#REF!</v>
      </c>
      <c r="HH37" t="e">
        <f>AND(Bills!#REF!,"AAAAAFxa/9c=")</f>
        <v>#REF!</v>
      </c>
      <c r="HI37" t="e">
        <f>AND(Bills!F28,"AAAAAFxa/9g=")</f>
        <v>#VALUE!</v>
      </c>
      <c r="HJ37" t="e">
        <f>AND(Bills!#REF!,"AAAAAFxa/9k=")</f>
        <v>#REF!</v>
      </c>
      <c r="HK37" t="e">
        <f>AND(Bills!G28,"AAAAAFxa/9o=")</f>
        <v>#VALUE!</v>
      </c>
      <c r="HL37" t="e">
        <f>AND(Bills!H28,"AAAAAFxa/9s=")</f>
        <v>#VALUE!</v>
      </c>
      <c r="HM37" t="e">
        <f>AND(Bills!I28,"AAAAAFxa/9w=")</f>
        <v>#VALUE!</v>
      </c>
      <c r="HN37" t="e">
        <f>AND(Bills!J28,"AAAAAFxa/90=")</f>
        <v>#VALUE!</v>
      </c>
      <c r="HO37" t="e">
        <f>AND(Bills!K28,"AAAAAFxa/94=")</f>
        <v>#VALUE!</v>
      </c>
      <c r="HP37" t="e">
        <f>AND(Bills!L28,"AAAAAFxa/98=")</f>
        <v>#VALUE!</v>
      </c>
      <c r="HQ37" t="e">
        <f>AND(Bills!#REF!,"AAAAAFxa/+A=")</f>
        <v>#REF!</v>
      </c>
      <c r="HR37" t="e">
        <f>AND(Bills!M28,"AAAAAFxa/+E=")</f>
        <v>#VALUE!</v>
      </c>
      <c r="HS37" t="e">
        <f>AND(Bills!N28,"AAAAAFxa/+I=")</f>
        <v>#VALUE!</v>
      </c>
      <c r="HT37" t="e">
        <f>AND(Bills!O28,"AAAAAFxa/+M=")</f>
        <v>#VALUE!</v>
      </c>
      <c r="HU37" t="e">
        <f>AND(Bills!P28,"AAAAAFxa/+Q=")</f>
        <v>#VALUE!</v>
      </c>
      <c r="HV37" t="e">
        <f>AND(Bills!Q28,"AAAAAFxa/+U=")</f>
        <v>#VALUE!</v>
      </c>
      <c r="HW37" t="e">
        <f>AND(Bills!R28,"AAAAAFxa/+Y=")</f>
        <v>#VALUE!</v>
      </c>
      <c r="HX37" t="e">
        <f>AND(Bills!S28,"AAAAAFxa/+c=")</f>
        <v>#VALUE!</v>
      </c>
      <c r="HY37" t="e">
        <f>AND(Bills!T28,"AAAAAFxa/+g=")</f>
        <v>#VALUE!</v>
      </c>
      <c r="HZ37" t="e">
        <f>AND(Bills!#REF!,"AAAAAFxa/+k=")</f>
        <v>#REF!</v>
      </c>
      <c r="IA37" t="e">
        <f>AND(Bills!U28,"AAAAAFxa/+o=")</f>
        <v>#VALUE!</v>
      </c>
      <c r="IB37" t="e">
        <f>AND(Bills!V28,"AAAAAFxa/+s=")</f>
        <v>#VALUE!</v>
      </c>
      <c r="IC37" t="e">
        <f>AND(Bills!W28,"AAAAAFxa/+w=")</f>
        <v>#VALUE!</v>
      </c>
      <c r="ID37" t="e">
        <f>AND(Bills!#REF!,"AAAAAFxa/+0=")</f>
        <v>#REF!</v>
      </c>
      <c r="IE37" t="e">
        <f>AND(Bills!#REF!,"AAAAAFxa/+4=")</f>
        <v>#REF!</v>
      </c>
      <c r="IF37" t="e">
        <f>AND(Bills!Y28,"AAAAAFxa/+8=")</f>
        <v>#VALUE!</v>
      </c>
      <c r="IG37" t="e">
        <f>AND(Bills!Z28,"AAAAAFxa//A=")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AND(Bills!AA28,"AAAAAFxa//o=")</f>
        <v>#VALUE!</v>
      </c>
      <c r="IR37" t="e">
        <f>AND(Bills!AB28,"AAAAAFxa//s=")</f>
        <v>#VALUE!</v>
      </c>
      <c r="IS37" t="e">
        <f>AND(Bills!#REF!,"AAAAAFxa//w=")</f>
        <v>#REF!</v>
      </c>
      <c r="IT37" t="e">
        <f>AND(Bills!#REF!,"AAAAAFxa//0=")</f>
        <v>#REF!</v>
      </c>
      <c r="IU37" t="e">
        <f>AND(Bills!#REF!,"AAAAAFxa//4=")</f>
        <v>#REF!</v>
      </c>
      <c r="IV37" t="e">
        <f>AND(Bills!AC28,"AAAAAFxa//8=")</f>
        <v>#VALUE!</v>
      </c>
    </row>
    <row r="38" spans="1:256">
      <c r="A38" t="e">
        <f>AND(Bills!AD28,"AAAAAGvk7gA=")</f>
        <v>#VALUE!</v>
      </c>
      <c r="B38" t="e">
        <f>AND(Bills!#REF!,"AAAAAGvk7gE=")</f>
        <v>#REF!</v>
      </c>
      <c r="C38">
        <f>IF(Bills!29:29,"AAAAAGvk7gI=",0)</f>
        <v>0</v>
      </c>
      <c r="D38" t="e">
        <f>AND(Bills!B29,"AAAAAGvk7gM=")</f>
        <v>#VALUE!</v>
      </c>
      <c r="E38" t="e">
        <f>AND(Bills!#REF!,"AAAAAGvk7gQ=")</f>
        <v>#REF!</v>
      </c>
      <c r="F38" t="e">
        <f>AND(Bills!C29,"AAAAAGvk7gU=")</f>
        <v>#VALUE!</v>
      </c>
      <c r="G38" t="e">
        <f>AND(Bills!D29,"AAAAAGvk7gY=")</f>
        <v>#VALUE!</v>
      </c>
      <c r="H38" t="e">
        <f>AND(Bills!E29,"AAAAAGvk7gc=")</f>
        <v>#VALUE!</v>
      </c>
      <c r="I38" t="e">
        <f>AND(Bills!#REF!,"AAAAAGvk7gg=")</f>
        <v>#REF!</v>
      </c>
      <c r="J38" t="e">
        <f>AND(Bills!#REF!,"AAAAAGvk7gk=")</f>
        <v>#REF!</v>
      </c>
      <c r="K38" t="e">
        <f>AND(Bills!#REF!,"AAAAAGvk7go=")</f>
        <v>#REF!</v>
      </c>
      <c r="L38" t="e">
        <f>AND(Bills!F29,"AAAAAGvk7gs=")</f>
        <v>#VALUE!</v>
      </c>
      <c r="M38" t="e">
        <f>AND(Bills!#REF!,"AAAAAGvk7gw=")</f>
        <v>#REF!</v>
      </c>
      <c r="N38" t="e">
        <f>AND(Bills!G29,"AAAAAGvk7g0=")</f>
        <v>#VALUE!</v>
      </c>
      <c r="O38" t="e">
        <f>AND(Bills!H29,"AAAAAGvk7g4=")</f>
        <v>#VALUE!</v>
      </c>
      <c r="P38" t="e">
        <f>AND(Bills!I29,"AAAAAGvk7g8=")</f>
        <v>#VALUE!</v>
      </c>
      <c r="Q38" t="e">
        <f>AND(Bills!J29,"AAAAAGvk7hA=")</f>
        <v>#VALUE!</v>
      </c>
      <c r="R38" t="e">
        <f>AND(Bills!K29,"AAAAAGvk7hE=")</f>
        <v>#VALUE!</v>
      </c>
      <c r="S38" t="e">
        <f>AND(Bills!L29,"AAAAAGvk7hI=")</f>
        <v>#VALUE!</v>
      </c>
      <c r="T38" t="e">
        <f>AND(Bills!#REF!,"AAAAAGvk7hM=")</f>
        <v>#REF!</v>
      </c>
      <c r="U38" t="e">
        <f>AND(Bills!M29,"AAAAAGvk7hQ=")</f>
        <v>#VALUE!</v>
      </c>
      <c r="V38" t="e">
        <f>AND(Bills!N29,"AAAAAGvk7hU=")</f>
        <v>#VALUE!</v>
      </c>
      <c r="W38" t="e">
        <f>AND(Bills!O29,"AAAAAGvk7hY=")</f>
        <v>#VALUE!</v>
      </c>
      <c r="X38" t="e">
        <f>AND(Bills!P29,"AAAAAGvk7hc=")</f>
        <v>#VALUE!</v>
      </c>
      <c r="Y38" t="e">
        <f>AND(Bills!Q29,"AAAAAGvk7hg=")</f>
        <v>#VALUE!</v>
      </c>
      <c r="Z38" t="e">
        <f>AND(Bills!R29,"AAAAAGvk7hk=")</f>
        <v>#VALUE!</v>
      </c>
      <c r="AA38" t="e">
        <f>AND(Bills!S29,"AAAAAGvk7ho=")</f>
        <v>#VALUE!</v>
      </c>
      <c r="AB38" t="e">
        <f>AND(Bills!T29,"AAAAAGvk7hs=")</f>
        <v>#VALUE!</v>
      </c>
      <c r="AC38" t="e">
        <f>AND(Bills!#REF!,"AAAAAGvk7hw=")</f>
        <v>#REF!</v>
      </c>
      <c r="AD38" t="e">
        <f>AND(Bills!U29,"AAAAAGvk7h0=")</f>
        <v>#VALUE!</v>
      </c>
      <c r="AE38" t="e">
        <f>AND(Bills!V29,"AAAAAGvk7h4=")</f>
        <v>#VALUE!</v>
      </c>
      <c r="AF38" t="e">
        <f>AND(Bills!W29,"AAAAAGvk7h8=")</f>
        <v>#VALUE!</v>
      </c>
      <c r="AG38" t="e">
        <f>AND(Bills!#REF!,"AAAAAGvk7iA=")</f>
        <v>#REF!</v>
      </c>
      <c r="AH38" t="e">
        <f>AND(Bills!#REF!,"AAAAAGvk7iE=")</f>
        <v>#REF!</v>
      </c>
      <c r="AI38" t="e">
        <f>AND(Bills!Y29,"AAAAAGvk7iI=")</f>
        <v>#VALUE!</v>
      </c>
      <c r="AJ38" t="e">
        <f>AND(Bills!Z29,"AAAAAGvk7iM=")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AND(Bills!AA29,"AAAAAGvk7i0=")</f>
        <v>#VALUE!</v>
      </c>
      <c r="AU38" t="e">
        <f>AND(Bills!AB29,"AAAAAGvk7i4=")</f>
        <v>#VALUE!</v>
      </c>
      <c r="AV38" t="e">
        <f>AND(Bills!#REF!,"AAAAAGvk7i8=")</f>
        <v>#REF!</v>
      </c>
      <c r="AW38" t="e">
        <f>AND(Bills!#REF!,"AAAAAGvk7jA=")</f>
        <v>#REF!</v>
      </c>
      <c r="AX38" t="e">
        <f>AND(Bills!#REF!,"AAAAAGvk7jE=")</f>
        <v>#REF!</v>
      </c>
      <c r="AY38" t="e">
        <f>AND(Bills!AC29,"AAAAAGvk7jI=")</f>
        <v>#VALUE!</v>
      </c>
      <c r="AZ38" t="e">
        <f>AND(Bills!AD29,"AAAAAGvk7jM=")</f>
        <v>#VALUE!</v>
      </c>
      <c r="BA38" t="e">
        <f>AND(Bills!#REF!,"AAAAAGvk7jQ=")</f>
        <v>#REF!</v>
      </c>
      <c r="BB38">
        <f>IF(Bills!30:30,"AAAAAGvk7jU=",0)</f>
        <v>0</v>
      </c>
      <c r="BC38" t="e">
        <f>AND(Bills!B30,"AAAAAGvk7jY=")</f>
        <v>#VALUE!</v>
      </c>
      <c r="BD38" t="e">
        <f>AND(Bills!#REF!,"AAAAAGvk7jc=")</f>
        <v>#REF!</v>
      </c>
      <c r="BE38" t="e">
        <f>AND(Bills!C30,"AAAAAGvk7jg=")</f>
        <v>#VALUE!</v>
      </c>
      <c r="BF38" t="e">
        <f>AND(Bills!D30,"AAAAAGvk7jk=")</f>
        <v>#VALUE!</v>
      </c>
      <c r="BG38" t="e">
        <f>AND(Bills!E30,"AAAAAGvk7jo=")</f>
        <v>#VALUE!</v>
      </c>
      <c r="BH38" t="e">
        <f>AND(Bills!#REF!,"AAAAAGvk7js=")</f>
        <v>#REF!</v>
      </c>
      <c r="BI38" t="e">
        <f>AND(Bills!#REF!,"AAAAAGvk7jw=")</f>
        <v>#REF!</v>
      </c>
      <c r="BJ38" t="e">
        <f>AND(Bills!#REF!,"AAAAAGvk7j0=")</f>
        <v>#REF!</v>
      </c>
      <c r="BK38" t="e">
        <f>AND(Bills!F30,"AAAAAGvk7j4=")</f>
        <v>#VALUE!</v>
      </c>
      <c r="BL38" t="e">
        <f>AND(Bills!#REF!,"AAAAAGvk7j8=")</f>
        <v>#REF!</v>
      </c>
      <c r="BM38" t="e">
        <f>AND(Bills!G30,"AAAAAGvk7kA=")</f>
        <v>#VALUE!</v>
      </c>
      <c r="BN38" t="e">
        <f>AND(Bills!H30,"AAAAAGvk7kE=")</f>
        <v>#VALUE!</v>
      </c>
      <c r="BO38" t="e">
        <f>AND(Bills!I30,"AAAAAGvk7kI=")</f>
        <v>#VALUE!</v>
      </c>
      <c r="BP38" t="e">
        <f>AND(Bills!J30,"AAAAAGvk7kM=")</f>
        <v>#VALUE!</v>
      </c>
      <c r="BQ38" t="e">
        <f>AND(Bills!K30,"AAAAAGvk7kQ=")</f>
        <v>#VALUE!</v>
      </c>
      <c r="BR38" t="e">
        <f>AND(Bills!L30,"AAAAAGvk7kU=")</f>
        <v>#VALUE!</v>
      </c>
      <c r="BS38" t="e">
        <f>AND(Bills!#REF!,"AAAAAGvk7kY=")</f>
        <v>#REF!</v>
      </c>
      <c r="BT38" t="e">
        <f>AND(Bills!M30,"AAAAAGvk7kc=")</f>
        <v>#VALUE!</v>
      </c>
      <c r="BU38" t="e">
        <f>AND(Bills!N30,"AAAAAGvk7kg=")</f>
        <v>#VALUE!</v>
      </c>
      <c r="BV38" t="e">
        <f>AND(Bills!O30,"AAAAAGvk7kk=")</f>
        <v>#VALUE!</v>
      </c>
      <c r="BW38" t="e">
        <f>AND(Bills!P30,"AAAAAGvk7ko=")</f>
        <v>#VALUE!</v>
      </c>
      <c r="BX38" t="e">
        <f>AND(Bills!Q30,"AAAAAGvk7ks=")</f>
        <v>#VALUE!</v>
      </c>
      <c r="BY38" t="e">
        <f>AND(Bills!R30,"AAAAAGvk7kw=")</f>
        <v>#VALUE!</v>
      </c>
      <c r="BZ38" t="e">
        <f>AND(Bills!S30,"AAAAAGvk7k0=")</f>
        <v>#VALUE!</v>
      </c>
      <c r="CA38" t="e">
        <f>AND(Bills!T30,"AAAAAGvk7k4=")</f>
        <v>#VALUE!</v>
      </c>
      <c r="CB38" t="e">
        <f>AND(Bills!#REF!,"AAAAAGvk7k8=")</f>
        <v>#REF!</v>
      </c>
      <c r="CC38" t="e">
        <f>AND(Bills!U30,"AAAAAGvk7lA=")</f>
        <v>#VALUE!</v>
      </c>
      <c r="CD38" t="e">
        <f>AND(Bills!V30,"AAAAAGvk7lE=")</f>
        <v>#VALUE!</v>
      </c>
      <c r="CE38" t="e">
        <f>AND(Bills!W30,"AAAAAGvk7lI=")</f>
        <v>#VALUE!</v>
      </c>
      <c r="CF38" t="e">
        <f>AND(Bills!#REF!,"AAAAAGvk7lM=")</f>
        <v>#REF!</v>
      </c>
      <c r="CG38" t="e">
        <f>AND(Bills!#REF!,"AAAAAGvk7lQ=")</f>
        <v>#REF!</v>
      </c>
      <c r="CH38" t="e">
        <f>AND(Bills!Y30,"AAAAAGvk7lU=")</f>
        <v>#VALUE!</v>
      </c>
      <c r="CI38" t="e">
        <f>AND(Bills!Z30,"AAAAAGvk7lY=")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AND(Bills!AA30,"AAAAAGvk7mA=")</f>
        <v>#VALUE!</v>
      </c>
      <c r="CT38" t="e">
        <f>AND(Bills!AB30,"AAAAAGvk7mE=")</f>
        <v>#VALUE!</v>
      </c>
      <c r="CU38" t="e">
        <f>AND(Bills!#REF!,"AAAAAGvk7mI=")</f>
        <v>#REF!</v>
      </c>
      <c r="CV38" t="e">
        <f>AND(Bills!#REF!,"AAAAAGvk7mM=")</f>
        <v>#REF!</v>
      </c>
      <c r="CW38" t="e">
        <f>AND(Bills!#REF!,"AAAAAGvk7mQ=")</f>
        <v>#REF!</v>
      </c>
      <c r="CX38" t="e">
        <f>AND(Bills!AC30,"AAAAAGvk7mU=")</f>
        <v>#VALUE!</v>
      </c>
      <c r="CY38" t="e">
        <f>AND(Bills!AD30,"AAAAAGvk7mY=")</f>
        <v>#VALUE!</v>
      </c>
      <c r="CZ38" t="e">
        <f>AND(Bills!#REF!,"AAAAAGvk7mc=")</f>
        <v>#REF!</v>
      </c>
      <c r="DA38">
        <f>IF(Bills!31:31,"AAAAAGvk7mg=",0)</f>
        <v>0</v>
      </c>
      <c r="DB38" t="e">
        <f>AND(Bills!B31,"AAAAAGvk7mk=")</f>
        <v>#VALUE!</v>
      </c>
      <c r="DC38" t="e">
        <f>AND(Bills!#REF!,"AAAAAGvk7mo=")</f>
        <v>#REF!</v>
      </c>
      <c r="DD38" t="e">
        <f>AND(Bills!C31,"AAAAAGvk7ms=")</f>
        <v>#VALUE!</v>
      </c>
      <c r="DE38" t="e">
        <f>AND(Bills!D31,"AAAAAGvk7mw=")</f>
        <v>#VALUE!</v>
      </c>
      <c r="DF38" t="e">
        <f>AND(Bills!E31,"AAAAAGvk7m0=")</f>
        <v>#VALUE!</v>
      </c>
      <c r="DG38" t="e">
        <f>AND(Bills!#REF!,"AAAAAGvk7m4=")</f>
        <v>#REF!</v>
      </c>
      <c r="DH38" t="e">
        <f>AND(Bills!#REF!,"AAAAAGvk7m8=")</f>
        <v>#REF!</v>
      </c>
      <c r="DI38" t="e">
        <f>AND(Bills!#REF!,"AAAAAGvk7nA=")</f>
        <v>#REF!</v>
      </c>
      <c r="DJ38" t="e">
        <f>AND(Bills!F31,"AAAAAGvk7nE=")</f>
        <v>#VALUE!</v>
      </c>
      <c r="DK38" t="e">
        <f>AND(Bills!#REF!,"AAAAAGvk7nI=")</f>
        <v>#REF!</v>
      </c>
      <c r="DL38" t="e">
        <f>AND(Bills!G31,"AAAAAGvk7nM=")</f>
        <v>#VALUE!</v>
      </c>
      <c r="DM38" t="e">
        <f>AND(Bills!H31,"AAAAAGvk7nQ=")</f>
        <v>#VALUE!</v>
      </c>
      <c r="DN38" t="e">
        <f>AND(Bills!I31,"AAAAAGvk7nU=")</f>
        <v>#VALUE!</v>
      </c>
      <c r="DO38" t="e">
        <f>AND(Bills!J31,"AAAAAGvk7nY=")</f>
        <v>#VALUE!</v>
      </c>
      <c r="DP38" t="e">
        <f>AND(Bills!K31,"AAAAAGvk7nc=")</f>
        <v>#VALUE!</v>
      </c>
      <c r="DQ38" t="e">
        <f>AND(Bills!L31,"AAAAAGvk7ng=")</f>
        <v>#VALUE!</v>
      </c>
      <c r="DR38" t="e">
        <f>AND(Bills!#REF!,"AAAAAGvk7nk=")</f>
        <v>#REF!</v>
      </c>
      <c r="DS38" t="e">
        <f>AND(Bills!M31,"AAAAAGvk7no=")</f>
        <v>#VALUE!</v>
      </c>
      <c r="DT38" t="e">
        <f>AND(Bills!N31,"AAAAAGvk7ns=")</f>
        <v>#VALUE!</v>
      </c>
      <c r="DU38" t="e">
        <f>AND(Bills!O31,"AAAAAGvk7nw=")</f>
        <v>#VALUE!</v>
      </c>
      <c r="DV38" t="e">
        <f>AND(Bills!P31,"AAAAAGvk7n0=")</f>
        <v>#VALUE!</v>
      </c>
      <c r="DW38" t="e">
        <f>AND(Bills!Q31,"AAAAAGvk7n4=")</f>
        <v>#VALUE!</v>
      </c>
      <c r="DX38" t="e">
        <f>AND(Bills!R31,"AAAAAGvk7n8=")</f>
        <v>#VALUE!</v>
      </c>
      <c r="DY38" t="e">
        <f>AND(Bills!S31,"AAAAAGvk7oA=")</f>
        <v>#VALUE!</v>
      </c>
      <c r="DZ38" t="e">
        <f>AND(Bills!T31,"AAAAAGvk7oE=")</f>
        <v>#VALUE!</v>
      </c>
      <c r="EA38" t="e">
        <f>AND(Bills!#REF!,"AAAAAGvk7oI=")</f>
        <v>#REF!</v>
      </c>
      <c r="EB38" t="e">
        <f>AND(Bills!U31,"AAAAAGvk7oM=")</f>
        <v>#VALUE!</v>
      </c>
      <c r="EC38" t="e">
        <f>AND(Bills!V31,"AAAAAGvk7oQ=")</f>
        <v>#VALUE!</v>
      </c>
      <c r="ED38" t="e">
        <f>AND(Bills!W31,"AAAAAGvk7oU=")</f>
        <v>#VALUE!</v>
      </c>
      <c r="EE38" t="e">
        <f>AND(Bills!#REF!,"AAAAAGvk7oY=")</f>
        <v>#REF!</v>
      </c>
      <c r="EF38" t="e">
        <f>AND(Bills!#REF!,"AAAAAGvk7oc=")</f>
        <v>#REF!</v>
      </c>
      <c r="EG38" t="e">
        <f>AND(Bills!Y31,"AAAAAGvk7og=")</f>
        <v>#VALUE!</v>
      </c>
      <c r="EH38" t="e">
        <f>AND(Bills!Z31,"AAAAAGvk7ok=")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AND(Bills!AA31,"AAAAAGvk7pM=")</f>
        <v>#VALUE!</v>
      </c>
      <c r="ES38" t="e">
        <f>AND(Bills!AB31,"AAAAAGvk7pQ=")</f>
        <v>#VALUE!</v>
      </c>
      <c r="ET38" t="e">
        <f>AND(Bills!#REF!,"AAAAAGvk7pU=")</f>
        <v>#REF!</v>
      </c>
      <c r="EU38" t="e">
        <f>AND(Bills!#REF!,"AAAAAGvk7pY=")</f>
        <v>#REF!</v>
      </c>
      <c r="EV38" t="e">
        <f>AND(Bills!#REF!,"AAAAAGvk7pc=")</f>
        <v>#REF!</v>
      </c>
      <c r="EW38" t="e">
        <f>AND(Bills!AC31,"AAAAAGvk7pg=")</f>
        <v>#VALUE!</v>
      </c>
      <c r="EX38" t="e">
        <f>AND(Bills!AD31,"AAAAAGvk7pk=")</f>
        <v>#VALUE!</v>
      </c>
      <c r="EY38" t="e">
        <f>AND(Bills!#REF!,"AAAAAGvk7po=")</f>
        <v>#REF!</v>
      </c>
      <c r="EZ38">
        <f>IF(Bills!32:32,"AAAAAGvk7ps=",0)</f>
        <v>0</v>
      </c>
      <c r="FA38" t="e">
        <f>AND(Bills!B32,"AAAAAGvk7pw=")</f>
        <v>#VALUE!</v>
      </c>
      <c r="FB38" t="e">
        <f>AND(Bills!#REF!,"AAAAAGvk7p0=")</f>
        <v>#REF!</v>
      </c>
      <c r="FC38" t="e">
        <f>AND(Bills!C32,"AAAAAGvk7p4=")</f>
        <v>#VALUE!</v>
      </c>
      <c r="FD38" t="e">
        <f>AND(Bills!D32,"AAAAAGvk7p8=")</f>
        <v>#VALUE!</v>
      </c>
      <c r="FE38" t="e">
        <f>AND(Bills!E32,"AAAAAGvk7qA=")</f>
        <v>#VALUE!</v>
      </c>
      <c r="FF38" t="e">
        <f>AND(Bills!#REF!,"AAAAAGvk7qE=")</f>
        <v>#REF!</v>
      </c>
      <c r="FG38" t="e">
        <f>AND(Bills!#REF!,"AAAAAGvk7qI=")</f>
        <v>#REF!</v>
      </c>
      <c r="FH38" t="e">
        <f>AND(Bills!#REF!,"AAAAAGvk7qM=")</f>
        <v>#REF!</v>
      </c>
      <c r="FI38" t="e">
        <f>AND(Bills!F32,"AAAAAGvk7qQ=")</f>
        <v>#VALUE!</v>
      </c>
      <c r="FJ38" t="e">
        <f>AND(Bills!#REF!,"AAAAAGvk7qU=")</f>
        <v>#REF!</v>
      </c>
      <c r="FK38" t="e">
        <f>AND(Bills!G32,"AAAAAGvk7qY=")</f>
        <v>#VALUE!</v>
      </c>
      <c r="FL38" t="e">
        <f>AND(Bills!H32,"AAAAAGvk7qc=")</f>
        <v>#VALUE!</v>
      </c>
      <c r="FM38" t="e">
        <f>AND(Bills!I32,"AAAAAGvk7qg=")</f>
        <v>#VALUE!</v>
      </c>
      <c r="FN38" t="e">
        <f>AND(Bills!J32,"AAAAAGvk7qk=")</f>
        <v>#VALUE!</v>
      </c>
      <c r="FO38" t="e">
        <f>AND(Bills!K32,"AAAAAGvk7qo=")</f>
        <v>#VALUE!</v>
      </c>
      <c r="FP38" t="e">
        <f>AND(Bills!L32,"AAAAAGvk7qs=")</f>
        <v>#VALUE!</v>
      </c>
      <c r="FQ38" t="e">
        <f>AND(Bills!#REF!,"AAAAAGvk7qw=")</f>
        <v>#REF!</v>
      </c>
      <c r="FR38" t="e">
        <f>AND(Bills!M32,"AAAAAGvk7q0=")</f>
        <v>#VALUE!</v>
      </c>
      <c r="FS38" t="e">
        <f>AND(Bills!N32,"AAAAAGvk7q4=")</f>
        <v>#VALUE!</v>
      </c>
      <c r="FT38" t="e">
        <f>AND(Bills!O32,"AAAAAGvk7q8=")</f>
        <v>#VALUE!</v>
      </c>
      <c r="FU38" t="e">
        <f>AND(Bills!P32,"AAAAAGvk7rA=")</f>
        <v>#VALUE!</v>
      </c>
      <c r="FV38" t="e">
        <f>AND(Bills!Q32,"AAAAAGvk7rE=")</f>
        <v>#VALUE!</v>
      </c>
      <c r="FW38" t="e">
        <f>AND(Bills!R32,"AAAAAGvk7rI=")</f>
        <v>#VALUE!</v>
      </c>
      <c r="FX38" t="e">
        <f>AND(Bills!S32,"AAAAAGvk7rM=")</f>
        <v>#VALUE!</v>
      </c>
      <c r="FY38" t="e">
        <f>AND(Bills!T32,"AAAAAGvk7rQ=")</f>
        <v>#VALUE!</v>
      </c>
      <c r="FZ38" t="e">
        <f>AND(Bills!#REF!,"AAAAAGvk7rU=")</f>
        <v>#REF!</v>
      </c>
      <c r="GA38" t="e">
        <f>AND(Bills!U32,"AAAAAGvk7rY=")</f>
        <v>#VALUE!</v>
      </c>
      <c r="GB38" t="e">
        <f>AND(Bills!V32,"AAAAAGvk7rc=")</f>
        <v>#VALUE!</v>
      </c>
      <c r="GC38" t="e">
        <f>AND(Bills!W32,"AAAAAGvk7rg=")</f>
        <v>#VALUE!</v>
      </c>
      <c r="GD38" t="e">
        <f>AND(Bills!#REF!,"AAAAAGvk7rk=")</f>
        <v>#REF!</v>
      </c>
      <c r="GE38" t="e">
        <f>AND(Bills!#REF!,"AAAAAGvk7ro=")</f>
        <v>#REF!</v>
      </c>
      <c r="GF38" t="e">
        <f>AND(Bills!Y32,"AAAAAGvk7rs=")</f>
        <v>#VALUE!</v>
      </c>
      <c r="GG38" t="e">
        <f>AND(Bills!Z32,"AAAAAGvk7rw=")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AND(Bills!AA32,"AAAAAGvk7sY=")</f>
        <v>#VALUE!</v>
      </c>
      <c r="GR38" t="e">
        <f>AND(Bills!AB32,"AAAAAGvk7sc=")</f>
        <v>#VALUE!</v>
      </c>
      <c r="GS38" t="e">
        <f>AND(Bills!#REF!,"AAAAAGvk7sg=")</f>
        <v>#REF!</v>
      </c>
      <c r="GT38" t="e">
        <f>AND(Bills!#REF!,"AAAAAGvk7sk=")</f>
        <v>#REF!</v>
      </c>
      <c r="GU38" t="e">
        <f>AND(Bills!#REF!,"AAAAAGvk7so=")</f>
        <v>#REF!</v>
      </c>
      <c r="GV38" t="e">
        <f>AND(Bills!AC32,"AAAAAGvk7ss=")</f>
        <v>#VALUE!</v>
      </c>
      <c r="GW38" t="e">
        <f>AND(Bills!AD32,"AAAAAGvk7sw=")</f>
        <v>#VALUE!</v>
      </c>
      <c r="GX38" t="e">
        <f>AND(Bills!#REF!,"AAAAAGvk7s0=")</f>
        <v>#REF!</v>
      </c>
      <c r="GY38">
        <f>IF(Bills!33:33,"AAAAAGvk7s4=",0)</f>
        <v>0</v>
      </c>
      <c r="GZ38" t="e">
        <f>AND(Bills!B33,"AAAAAGvk7s8=")</f>
        <v>#VALUE!</v>
      </c>
      <c r="HA38" t="e">
        <f>AND(Bills!#REF!,"AAAAAGvk7tA=")</f>
        <v>#REF!</v>
      </c>
      <c r="HB38" t="e">
        <f>AND(Bills!C33,"AAAAAGvk7tE=")</f>
        <v>#VALUE!</v>
      </c>
      <c r="HC38" t="e">
        <f>AND(Bills!D33,"AAAAAGvk7tI=")</f>
        <v>#VALUE!</v>
      </c>
      <c r="HD38" t="e">
        <f>AND(Bills!E33,"AAAAAGvk7tM=")</f>
        <v>#VALUE!</v>
      </c>
      <c r="HE38" t="e">
        <f>AND(Bills!#REF!,"AAAAAGvk7tQ=")</f>
        <v>#REF!</v>
      </c>
      <c r="HF38" t="e">
        <f>AND(Bills!#REF!,"AAAAAGvk7tU=")</f>
        <v>#REF!</v>
      </c>
      <c r="HG38" t="e">
        <f>AND(Bills!#REF!,"AAAAAGvk7tY=")</f>
        <v>#REF!</v>
      </c>
      <c r="HH38" t="e">
        <f>AND(Bills!F33,"AAAAAGvk7tc=")</f>
        <v>#VALUE!</v>
      </c>
      <c r="HI38" t="e">
        <f>AND(Bills!#REF!,"AAAAAGvk7tg=")</f>
        <v>#REF!</v>
      </c>
      <c r="HJ38" t="e">
        <f>AND(Bills!G33,"AAAAAGvk7tk=")</f>
        <v>#VALUE!</v>
      </c>
      <c r="HK38" t="e">
        <f>AND(Bills!H33,"AAAAAGvk7to=")</f>
        <v>#VALUE!</v>
      </c>
      <c r="HL38" t="e">
        <f>AND(Bills!I33,"AAAAAGvk7ts=")</f>
        <v>#VALUE!</v>
      </c>
      <c r="HM38" t="e">
        <f>AND(Bills!J33,"AAAAAGvk7tw=")</f>
        <v>#VALUE!</v>
      </c>
      <c r="HN38" t="e">
        <f>AND(Bills!K33,"AAAAAGvk7t0=")</f>
        <v>#VALUE!</v>
      </c>
      <c r="HO38" t="e">
        <f>AND(Bills!L33,"AAAAAGvk7t4=")</f>
        <v>#VALUE!</v>
      </c>
      <c r="HP38" t="e">
        <f>AND(Bills!#REF!,"AAAAAGvk7t8=")</f>
        <v>#REF!</v>
      </c>
      <c r="HQ38" t="e">
        <f>AND(Bills!M33,"AAAAAGvk7uA=")</f>
        <v>#VALUE!</v>
      </c>
      <c r="HR38" t="e">
        <f>AND(Bills!N33,"AAAAAGvk7uE=")</f>
        <v>#VALUE!</v>
      </c>
      <c r="HS38" t="e">
        <f>AND(Bills!O33,"AAAAAGvk7uI=")</f>
        <v>#VALUE!</v>
      </c>
      <c r="HT38" t="e">
        <f>AND(Bills!P33,"AAAAAGvk7uM=")</f>
        <v>#VALUE!</v>
      </c>
      <c r="HU38" t="e">
        <f>AND(Bills!Q33,"AAAAAGvk7uQ=")</f>
        <v>#VALUE!</v>
      </c>
      <c r="HV38" t="e">
        <f>AND(Bills!R33,"AAAAAGvk7uU=")</f>
        <v>#VALUE!</v>
      </c>
      <c r="HW38" t="e">
        <f>AND(Bills!S33,"AAAAAGvk7uY=")</f>
        <v>#VALUE!</v>
      </c>
      <c r="HX38" t="e">
        <f>AND(Bills!T33,"AAAAAGvk7uc=")</f>
        <v>#VALUE!</v>
      </c>
      <c r="HY38" t="e">
        <f>AND(Bills!#REF!,"AAAAAGvk7ug=")</f>
        <v>#REF!</v>
      </c>
      <c r="HZ38" t="e">
        <f>AND(Bills!U33,"AAAAAGvk7uk=")</f>
        <v>#VALUE!</v>
      </c>
      <c r="IA38" t="e">
        <f>AND(Bills!V33,"AAAAAGvk7uo=")</f>
        <v>#VALUE!</v>
      </c>
      <c r="IB38" t="e">
        <f>AND(Bills!W33,"AAAAAGvk7us=")</f>
        <v>#VALUE!</v>
      </c>
      <c r="IC38" t="e">
        <f>AND(Bills!#REF!,"AAAAAGvk7uw=")</f>
        <v>#REF!</v>
      </c>
      <c r="ID38" t="e">
        <f>AND(Bills!#REF!,"AAAAAGvk7u0=")</f>
        <v>#REF!</v>
      </c>
      <c r="IE38" t="e">
        <f>AND(Bills!Y33,"AAAAAGvk7u4=")</f>
        <v>#VALUE!</v>
      </c>
      <c r="IF38" t="e">
        <f>AND(Bills!Z33,"AAAAAGvk7u8=")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AND(Bills!AA33,"AAAAAGvk7vk=")</f>
        <v>#VALUE!</v>
      </c>
      <c r="IQ38" t="e">
        <f>AND(Bills!AB33,"AAAAAGvk7vo=")</f>
        <v>#VALUE!</v>
      </c>
      <c r="IR38" t="e">
        <f>AND(Bills!#REF!,"AAAAAGvk7vs=")</f>
        <v>#REF!</v>
      </c>
      <c r="IS38" t="e">
        <f>AND(Bills!#REF!,"AAAAAGvk7vw=")</f>
        <v>#REF!</v>
      </c>
      <c r="IT38" t="e">
        <f>AND(Bills!#REF!,"AAAAAGvk7v0=")</f>
        <v>#REF!</v>
      </c>
      <c r="IU38" t="e">
        <f>AND(Bills!AC33,"AAAAAGvk7v4=")</f>
        <v>#VALUE!</v>
      </c>
      <c r="IV38" t="e">
        <f>AND(Bills!AD33,"AAAAAGvk7v8=")</f>
        <v>#VALUE!</v>
      </c>
    </row>
    <row r="39" spans="1:256">
      <c r="A39" t="e">
        <f>AND(Bills!#REF!,"AAAAAD8zdwA=")</f>
        <v>#REF!</v>
      </c>
      <c r="B39">
        <f>IF(Bills!34:34,"AAAAAD8zdwE=",0)</f>
        <v>0</v>
      </c>
      <c r="C39" t="e">
        <f>AND(Bills!B34,"AAAAAD8zdwI=")</f>
        <v>#VALUE!</v>
      </c>
      <c r="D39" t="e">
        <f>AND(Bills!#REF!,"AAAAAD8zdwM=")</f>
        <v>#REF!</v>
      </c>
      <c r="E39" t="e">
        <f>AND(Bills!C34,"AAAAAD8zdwQ=")</f>
        <v>#VALUE!</v>
      </c>
      <c r="F39" t="e">
        <f>AND(Bills!D34,"AAAAAD8zdwU=")</f>
        <v>#VALUE!</v>
      </c>
      <c r="G39" t="e">
        <f>AND(Bills!E34,"AAAAAD8zdwY=")</f>
        <v>#VALUE!</v>
      </c>
      <c r="H39" t="e">
        <f>AND(Bills!#REF!,"AAAAAD8zdwc=")</f>
        <v>#REF!</v>
      </c>
      <c r="I39" t="e">
        <f>AND(Bills!#REF!,"AAAAAD8zdwg=")</f>
        <v>#REF!</v>
      </c>
      <c r="J39" t="e">
        <f>AND(Bills!#REF!,"AAAAAD8zdwk=")</f>
        <v>#REF!</v>
      </c>
      <c r="K39" t="e">
        <f>AND(Bills!F34,"AAAAAD8zdwo=")</f>
        <v>#VALUE!</v>
      </c>
      <c r="L39" t="e">
        <f>AND(Bills!#REF!,"AAAAAD8zdws=")</f>
        <v>#REF!</v>
      </c>
      <c r="M39" t="e">
        <f>AND(Bills!G34,"AAAAAD8zdww=")</f>
        <v>#VALUE!</v>
      </c>
      <c r="N39" t="e">
        <f>AND(Bills!H34,"AAAAAD8zdw0=")</f>
        <v>#VALUE!</v>
      </c>
      <c r="O39" t="e">
        <f>AND(Bills!I34,"AAAAAD8zdw4=")</f>
        <v>#VALUE!</v>
      </c>
      <c r="P39" t="e">
        <f>AND(Bills!J34,"AAAAAD8zdw8=")</f>
        <v>#VALUE!</v>
      </c>
      <c r="Q39" t="e">
        <f>AND(Bills!K34,"AAAAAD8zdxA=")</f>
        <v>#VALUE!</v>
      </c>
      <c r="R39" t="e">
        <f>AND(Bills!L34,"AAAAAD8zdxE=")</f>
        <v>#VALUE!</v>
      </c>
      <c r="S39" t="e">
        <f>AND(Bills!#REF!,"AAAAAD8zdxI=")</f>
        <v>#REF!</v>
      </c>
      <c r="T39" t="e">
        <f>AND(Bills!M34,"AAAAAD8zdxM=")</f>
        <v>#VALUE!</v>
      </c>
      <c r="U39" t="e">
        <f>AND(Bills!N34,"AAAAAD8zdxQ=")</f>
        <v>#VALUE!</v>
      </c>
      <c r="V39" t="e">
        <f>AND(Bills!O34,"AAAAAD8zdxU=")</f>
        <v>#VALUE!</v>
      </c>
      <c r="W39" t="e">
        <f>AND(Bills!P34,"AAAAAD8zdxY=")</f>
        <v>#VALUE!</v>
      </c>
      <c r="X39" t="e">
        <f>AND(Bills!Q34,"AAAAAD8zdxc=")</f>
        <v>#VALUE!</v>
      </c>
      <c r="Y39" t="e">
        <f>AND(Bills!R34,"AAAAAD8zdxg=")</f>
        <v>#VALUE!</v>
      </c>
      <c r="Z39" t="e">
        <f>AND(Bills!S34,"AAAAAD8zdxk=")</f>
        <v>#VALUE!</v>
      </c>
      <c r="AA39" t="e">
        <f>AND(Bills!T34,"AAAAAD8zdxo=")</f>
        <v>#VALUE!</v>
      </c>
      <c r="AB39" t="e">
        <f>AND(Bills!#REF!,"AAAAAD8zdxs=")</f>
        <v>#REF!</v>
      </c>
      <c r="AC39" t="e">
        <f>AND(Bills!U34,"AAAAAD8zdxw=")</f>
        <v>#VALUE!</v>
      </c>
      <c r="AD39" t="e">
        <f>AND(Bills!V34,"AAAAAD8zdx0=")</f>
        <v>#VALUE!</v>
      </c>
      <c r="AE39" t="e">
        <f>AND(Bills!W34,"AAAAAD8zdx4=")</f>
        <v>#VALUE!</v>
      </c>
      <c r="AF39" t="e">
        <f>AND(Bills!#REF!,"AAAAAD8zdx8=")</f>
        <v>#REF!</v>
      </c>
      <c r="AG39" t="e">
        <f>AND(Bills!#REF!,"AAAAAD8zdyA=")</f>
        <v>#REF!</v>
      </c>
      <c r="AH39" t="e">
        <f>AND(Bills!Y34,"AAAAAD8zdyE=")</f>
        <v>#VALUE!</v>
      </c>
      <c r="AI39" t="e">
        <f>AND(Bills!Z34,"AAAAAD8zdyI=")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AND(Bills!AA34,"AAAAAD8zdyw=")</f>
        <v>#VALUE!</v>
      </c>
      <c r="AT39" t="e">
        <f>AND(Bills!AB34,"AAAAAD8zdy0=")</f>
        <v>#VALUE!</v>
      </c>
      <c r="AU39" t="e">
        <f>AND(Bills!#REF!,"AAAAAD8zdy4=")</f>
        <v>#REF!</v>
      </c>
      <c r="AV39" t="e">
        <f>AND(Bills!#REF!,"AAAAAD8zdy8=")</f>
        <v>#REF!</v>
      </c>
      <c r="AW39" t="e">
        <f>AND(Bills!#REF!,"AAAAAD8zdzA=")</f>
        <v>#REF!</v>
      </c>
      <c r="AX39" t="e">
        <f>AND(Bills!AC34,"AAAAAD8zdzE=")</f>
        <v>#VALUE!</v>
      </c>
      <c r="AY39" t="e">
        <f>AND(Bills!AD34,"AAAAAD8zdzI=")</f>
        <v>#VALUE!</v>
      </c>
      <c r="AZ39" t="e">
        <f>AND(Bills!#REF!,"AAAAAD8zdzM=")</f>
        <v>#REF!</v>
      </c>
      <c r="BA39">
        <f>IF(Bills!35:35,"AAAAAD8zdzQ=",0)</f>
        <v>0</v>
      </c>
      <c r="BB39" t="e">
        <f>AND(Bills!B35,"AAAAAD8zdzU=")</f>
        <v>#VALUE!</v>
      </c>
      <c r="BC39" t="e">
        <f>AND(Bills!#REF!,"AAAAAD8zdzY=")</f>
        <v>#REF!</v>
      </c>
      <c r="BD39" t="e">
        <f>AND(Bills!C35,"AAAAAD8zdzc=")</f>
        <v>#VALUE!</v>
      </c>
      <c r="BE39" t="e">
        <f>AND(Bills!D35,"AAAAAD8zdzg=")</f>
        <v>#VALUE!</v>
      </c>
      <c r="BF39" t="e">
        <f>AND(Bills!E35,"AAAAAD8zdzk=")</f>
        <v>#VALUE!</v>
      </c>
      <c r="BG39" t="e">
        <f>AND(Bills!#REF!,"AAAAAD8zdzo=")</f>
        <v>#REF!</v>
      </c>
      <c r="BH39" t="e">
        <f>AND(Bills!#REF!,"AAAAAD8zdzs=")</f>
        <v>#REF!</v>
      </c>
      <c r="BI39" t="e">
        <f>AND(Bills!#REF!,"AAAAAD8zdzw=")</f>
        <v>#REF!</v>
      </c>
      <c r="BJ39" t="e">
        <f>AND(Bills!F35,"AAAAAD8zdz0=")</f>
        <v>#VALUE!</v>
      </c>
      <c r="BK39" t="e">
        <f>AND(Bills!#REF!,"AAAAAD8zdz4=")</f>
        <v>#REF!</v>
      </c>
      <c r="BL39" t="e">
        <f>AND(Bills!G35,"AAAAAD8zdz8=")</f>
        <v>#VALUE!</v>
      </c>
      <c r="BM39" t="e">
        <f>AND(Bills!H35,"AAAAAD8zd0A=")</f>
        <v>#VALUE!</v>
      </c>
      <c r="BN39" t="e">
        <f>AND(Bills!I35,"AAAAAD8zd0E=")</f>
        <v>#VALUE!</v>
      </c>
      <c r="BO39" t="e">
        <f>AND(Bills!J35,"AAAAAD8zd0I=")</f>
        <v>#VALUE!</v>
      </c>
      <c r="BP39" t="e">
        <f>AND(Bills!K35,"AAAAAD8zd0M=")</f>
        <v>#VALUE!</v>
      </c>
      <c r="BQ39" t="e">
        <f>AND(Bills!L35,"AAAAAD8zd0Q=")</f>
        <v>#VALUE!</v>
      </c>
      <c r="BR39" t="e">
        <f>AND(Bills!#REF!,"AAAAAD8zd0U=")</f>
        <v>#REF!</v>
      </c>
      <c r="BS39" t="e">
        <f>AND(Bills!M35,"AAAAAD8zd0Y=")</f>
        <v>#VALUE!</v>
      </c>
      <c r="BT39" t="e">
        <f>AND(Bills!N35,"AAAAAD8zd0c=")</f>
        <v>#VALUE!</v>
      </c>
      <c r="BU39" t="e">
        <f>AND(Bills!O35,"AAAAAD8zd0g=")</f>
        <v>#VALUE!</v>
      </c>
      <c r="BV39" t="e">
        <f>AND(Bills!P35,"AAAAAD8zd0k=")</f>
        <v>#VALUE!</v>
      </c>
      <c r="BW39" t="e">
        <f>AND(Bills!Q35,"AAAAAD8zd0o=")</f>
        <v>#VALUE!</v>
      </c>
      <c r="BX39" t="e">
        <f>AND(Bills!R35,"AAAAAD8zd0s=")</f>
        <v>#VALUE!</v>
      </c>
      <c r="BY39" t="e">
        <f>AND(Bills!S35,"AAAAAD8zd0w=")</f>
        <v>#VALUE!</v>
      </c>
      <c r="BZ39" t="e">
        <f>AND(Bills!T35,"AAAAAD8zd00=")</f>
        <v>#VALUE!</v>
      </c>
      <c r="CA39" t="e">
        <f>AND(Bills!#REF!,"AAAAAD8zd04=")</f>
        <v>#REF!</v>
      </c>
      <c r="CB39" t="e">
        <f>AND(Bills!U35,"AAAAAD8zd08=")</f>
        <v>#VALUE!</v>
      </c>
      <c r="CC39" t="e">
        <f>AND(Bills!V35,"AAAAAD8zd1A=")</f>
        <v>#VALUE!</v>
      </c>
      <c r="CD39" t="e">
        <f>AND(Bills!W35,"AAAAAD8zd1E=")</f>
        <v>#VALUE!</v>
      </c>
      <c r="CE39" t="e">
        <f>AND(Bills!#REF!,"AAAAAD8zd1I=")</f>
        <v>#REF!</v>
      </c>
      <c r="CF39" t="e">
        <f>AND(Bills!#REF!,"AAAAAD8zd1M=")</f>
        <v>#REF!</v>
      </c>
      <c r="CG39" t="e">
        <f>AND(Bills!Y35,"AAAAAD8zd1Q=")</f>
        <v>#VALUE!</v>
      </c>
      <c r="CH39" t="e">
        <f>AND(Bills!Z35,"AAAAAD8zd1U=")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AND(Bills!AA35,"AAAAAD8zd18=")</f>
        <v>#VALUE!</v>
      </c>
      <c r="CS39" t="e">
        <f>AND(Bills!AB35,"AAAAAD8zd2A=")</f>
        <v>#VALUE!</v>
      </c>
      <c r="CT39" t="e">
        <f>AND(Bills!#REF!,"AAAAAD8zd2E=")</f>
        <v>#REF!</v>
      </c>
      <c r="CU39" t="e">
        <f>AND(Bills!#REF!,"AAAAAD8zd2I=")</f>
        <v>#REF!</v>
      </c>
      <c r="CV39" t="e">
        <f>AND(Bills!#REF!,"AAAAAD8zd2M=")</f>
        <v>#REF!</v>
      </c>
      <c r="CW39" t="e">
        <f>AND(Bills!AC35,"AAAAAD8zd2Q=")</f>
        <v>#VALUE!</v>
      </c>
      <c r="CX39" t="e">
        <f>AND(Bills!AD35,"AAAAAD8zd2U=")</f>
        <v>#VALUE!</v>
      </c>
      <c r="CY39" t="e">
        <f>AND(Bills!#REF!,"AAAAAD8zd2Y=")</f>
        <v>#REF!</v>
      </c>
      <c r="CZ39">
        <f>IF(Bills!36:36,"AAAAAD8zd2c=",0)</f>
        <v>0</v>
      </c>
      <c r="DA39" t="e">
        <f>AND(Bills!B36,"AAAAAD8zd2g=")</f>
        <v>#VALUE!</v>
      </c>
      <c r="DB39" t="e">
        <f>AND(Bills!#REF!,"AAAAAD8zd2k=")</f>
        <v>#REF!</v>
      </c>
      <c r="DC39" t="e">
        <f>AND(Bills!C36,"AAAAAD8zd2o=")</f>
        <v>#VALUE!</v>
      </c>
      <c r="DD39" t="e">
        <f>AND(Bills!D36,"AAAAAD8zd2s=")</f>
        <v>#VALUE!</v>
      </c>
      <c r="DE39" t="e">
        <f>AND(Bills!E36,"AAAAAD8zd2w=")</f>
        <v>#VALUE!</v>
      </c>
      <c r="DF39" t="e">
        <f>AND(Bills!#REF!,"AAAAAD8zd20=")</f>
        <v>#REF!</v>
      </c>
      <c r="DG39" t="e">
        <f>AND(Bills!#REF!,"AAAAAD8zd24=")</f>
        <v>#REF!</v>
      </c>
      <c r="DH39" t="e">
        <f>AND(Bills!#REF!,"AAAAAD8zd28=")</f>
        <v>#REF!</v>
      </c>
      <c r="DI39" t="e">
        <f>AND(Bills!F36,"AAAAAD8zd3A=")</f>
        <v>#VALUE!</v>
      </c>
      <c r="DJ39" t="e">
        <f>AND(Bills!#REF!,"AAAAAD8zd3E=")</f>
        <v>#REF!</v>
      </c>
      <c r="DK39" t="e">
        <f>AND(Bills!G36,"AAAAAD8zd3I=")</f>
        <v>#VALUE!</v>
      </c>
      <c r="DL39" t="e">
        <f>AND(Bills!H36,"AAAAAD8zd3M=")</f>
        <v>#VALUE!</v>
      </c>
      <c r="DM39" t="e">
        <f>AND(Bills!I36,"AAAAAD8zd3Q=")</f>
        <v>#VALUE!</v>
      </c>
      <c r="DN39" t="e">
        <f>AND(Bills!J36,"AAAAAD8zd3U=")</f>
        <v>#VALUE!</v>
      </c>
      <c r="DO39" t="e">
        <f>AND(Bills!K36,"AAAAAD8zd3Y=")</f>
        <v>#VALUE!</v>
      </c>
      <c r="DP39" t="e">
        <f>AND(Bills!L36,"AAAAAD8zd3c=")</f>
        <v>#VALUE!</v>
      </c>
      <c r="DQ39" t="e">
        <f>AND(Bills!#REF!,"AAAAAD8zd3g=")</f>
        <v>#REF!</v>
      </c>
      <c r="DR39" t="e">
        <f>AND(Bills!M36,"AAAAAD8zd3k=")</f>
        <v>#VALUE!</v>
      </c>
      <c r="DS39" t="e">
        <f>AND(Bills!N36,"AAAAAD8zd3o=")</f>
        <v>#VALUE!</v>
      </c>
      <c r="DT39" t="e">
        <f>AND(Bills!O36,"AAAAAD8zd3s=")</f>
        <v>#VALUE!</v>
      </c>
      <c r="DU39" t="e">
        <f>AND(Bills!P36,"AAAAAD8zd3w=")</f>
        <v>#VALUE!</v>
      </c>
      <c r="DV39" t="e">
        <f>AND(Bills!Q36,"AAAAAD8zd30=")</f>
        <v>#VALUE!</v>
      </c>
      <c r="DW39" t="e">
        <f>AND(Bills!R36,"AAAAAD8zd34=")</f>
        <v>#VALUE!</v>
      </c>
      <c r="DX39" t="e">
        <f>AND(Bills!S36,"AAAAAD8zd38=")</f>
        <v>#VALUE!</v>
      </c>
      <c r="DY39" t="e">
        <f>AND(Bills!T36,"AAAAAD8zd4A=")</f>
        <v>#VALUE!</v>
      </c>
      <c r="DZ39" t="e">
        <f>AND(Bills!#REF!,"AAAAAD8zd4E=")</f>
        <v>#REF!</v>
      </c>
      <c r="EA39" t="e">
        <f>AND(Bills!U36,"AAAAAD8zd4I=")</f>
        <v>#VALUE!</v>
      </c>
      <c r="EB39" t="e">
        <f>AND(Bills!V36,"AAAAAD8zd4M=")</f>
        <v>#VALUE!</v>
      </c>
      <c r="EC39" t="e">
        <f>AND(Bills!W36,"AAAAAD8zd4Q=")</f>
        <v>#VALUE!</v>
      </c>
      <c r="ED39" t="e">
        <f>AND(Bills!#REF!,"AAAAAD8zd4U=")</f>
        <v>#REF!</v>
      </c>
      <c r="EE39" t="e">
        <f>AND(Bills!#REF!,"AAAAAD8zd4Y=")</f>
        <v>#REF!</v>
      </c>
      <c r="EF39" t="e">
        <f>AND(Bills!Y36,"AAAAAD8zd4c=")</f>
        <v>#VALUE!</v>
      </c>
      <c r="EG39" t="e">
        <f>AND(Bills!Z36,"AAAAAD8zd4g=")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AND(Bills!AA36,"AAAAAD8zd5I=")</f>
        <v>#VALUE!</v>
      </c>
      <c r="ER39" t="e">
        <f>AND(Bills!AB36,"AAAAAD8zd5M=")</f>
        <v>#VALUE!</v>
      </c>
      <c r="ES39" t="e">
        <f>AND(Bills!#REF!,"AAAAAD8zd5Q=")</f>
        <v>#REF!</v>
      </c>
      <c r="ET39" t="e">
        <f>AND(Bills!#REF!,"AAAAAD8zd5U=")</f>
        <v>#REF!</v>
      </c>
      <c r="EU39" t="e">
        <f>AND(Bills!#REF!,"AAAAAD8zd5Y=")</f>
        <v>#REF!</v>
      </c>
      <c r="EV39" t="e">
        <f>AND(Bills!AC36,"AAAAAD8zd5c=")</f>
        <v>#VALUE!</v>
      </c>
      <c r="EW39" t="e">
        <f>AND(Bills!AD36,"AAAAAD8zd5g=")</f>
        <v>#VALUE!</v>
      </c>
      <c r="EX39" t="e">
        <f>AND(Bills!#REF!,"AAAAAD8zd5k=")</f>
        <v>#REF!</v>
      </c>
      <c r="EY39">
        <f>IF(Bills!37:37,"AAAAAD8zd5o=",0)</f>
        <v>0</v>
      </c>
      <c r="EZ39" t="e">
        <f>AND(Bills!B37,"AAAAAD8zd5s=")</f>
        <v>#VALUE!</v>
      </c>
      <c r="FA39" t="e">
        <f>AND(Bills!#REF!,"AAAAAD8zd5w=")</f>
        <v>#REF!</v>
      </c>
      <c r="FB39" t="e">
        <f>AND(Bills!C37,"AAAAAD8zd50=")</f>
        <v>#VALUE!</v>
      </c>
      <c r="FC39" t="e">
        <f>AND(Bills!D37,"AAAAAD8zd54=")</f>
        <v>#VALUE!</v>
      </c>
      <c r="FD39" t="e">
        <f>AND(Bills!E37,"AAAAAD8zd58=")</f>
        <v>#VALUE!</v>
      </c>
      <c r="FE39" t="e">
        <f>AND(Bills!#REF!,"AAAAAD8zd6A=")</f>
        <v>#REF!</v>
      </c>
      <c r="FF39" t="e">
        <f>AND(Bills!#REF!,"AAAAAD8zd6E=")</f>
        <v>#REF!</v>
      </c>
      <c r="FG39" t="e">
        <f>AND(Bills!#REF!,"AAAAAD8zd6I=")</f>
        <v>#REF!</v>
      </c>
      <c r="FH39" t="e">
        <f>AND(Bills!F37,"AAAAAD8zd6M=")</f>
        <v>#VALUE!</v>
      </c>
      <c r="FI39" t="e">
        <f>AND(Bills!#REF!,"AAAAAD8zd6Q=")</f>
        <v>#REF!</v>
      </c>
      <c r="FJ39" t="e">
        <f>AND(Bills!G37,"AAAAAD8zd6U=")</f>
        <v>#VALUE!</v>
      </c>
      <c r="FK39" t="e">
        <f>AND(Bills!H37,"AAAAAD8zd6Y=")</f>
        <v>#VALUE!</v>
      </c>
      <c r="FL39" t="e">
        <f>AND(Bills!I37,"AAAAAD8zd6c=")</f>
        <v>#VALUE!</v>
      </c>
      <c r="FM39" t="e">
        <f>AND(Bills!J37,"AAAAAD8zd6g=")</f>
        <v>#VALUE!</v>
      </c>
      <c r="FN39" t="e">
        <f>AND(Bills!K37,"AAAAAD8zd6k=")</f>
        <v>#VALUE!</v>
      </c>
      <c r="FO39" t="e">
        <f>AND(Bills!L37,"AAAAAD8zd6o=")</f>
        <v>#VALUE!</v>
      </c>
      <c r="FP39" t="e">
        <f>AND(Bills!#REF!,"AAAAAD8zd6s=")</f>
        <v>#REF!</v>
      </c>
      <c r="FQ39" t="e">
        <f>AND(Bills!M37,"AAAAAD8zd6w=")</f>
        <v>#VALUE!</v>
      </c>
      <c r="FR39" t="e">
        <f>AND(Bills!N37,"AAAAAD8zd60=")</f>
        <v>#VALUE!</v>
      </c>
      <c r="FS39" t="e">
        <f>AND(Bills!O37,"AAAAAD8zd64=")</f>
        <v>#VALUE!</v>
      </c>
      <c r="FT39" t="e">
        <f>AND(Bills!P37,"AAAAAD8zd68=")</f>
        <v>#VALUE!</v>
      </c>
      <c r="FU39" t="e">
        <f>AND(Bills!Q37,"AAAAAD8zd7A=")</f>
        <v>#VALUE!</v>
      </c>
      <c r="FV39" t="e">
        <f>AND(Bills!R37,"AAAAAD8zd7E=")</f>
        <v>#VALUE!</v>
      </c>
      <c r="FW39" t="e">
        <f>AND(Bills!S37,"AAAAAD8zd7I=")</f>
        <v>#VALUE!</v>
      </c>
      <c r="FX39" t="e">
        <f>AND(Bills!T37,"AAAAAD8zd7M=")</f>
        <v>#VALUE!</v>
      </c>
      <c r="FY39" t="e">
        <f>AND(Bills!#REF!,"AAAAAD8zd7Q=")</f>
        <v>#REF!</v>
      </c>
      <c r="FZ39" t="e">
        <f>AND(Bills!U37,"AAAAAD8zd7U=")</f>
        <v>#VALUE!</v>
      </c>
      <c r="GA39" t="e">
        <f>AND(Bills!V37,"AAAAAD8zd7Y=")</f>
        <v>#VALUE!</v>
      </c>
      <c r="GB39" t="e">
        <f>AND(Bills!W37,"AAAAAD8zd7c=")</f>
        <v>#VALUE!</v>
      </c>
      <c r="GC39" t="e">
        <f>AND(Bills!#REF!,"AAAAAD8zd7g=")</f>
        <v>#REF!</v>
      </c>
      <c r="GD39" t="e">
        <f>AND(Bills!#REF!,"AAAAAD8zd7k=")</f>
        <v>#REF!</v>
      </c>
      <c r="GE39" t="e">
        <f>AND(Bills!Y37,"AAAAAD8zd7o=")</f>
        <v>#VALUE!</v>
      </c>
      <c r="GF39" t="e">
        <f>AND(Bills!Z37,"AAAAAD8zd7s=")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AND(Bills!AA37,"AAAAAD8zd8U=")</f>
        <v>#VALUE!</v>
      </c>
      <c r="GQ39" t="e">
        <f>AND(Bills!AB37,"AAAAAD8zd8Y=")</f>
        <v>#VALUE!</v>
      </c>
      <c r="GR39" t="e">
        <f>AND(Bills!#REF!,"AAAAAD8zd8c=")</f>
        <v>#REF!</v>
      </c>
      <c r="GS39" t="e">
        <f>AND(Bills!#REF!,"AAAAAD8zd8g=")</f>
        <v>#REF!</v>
      </c>
      <c r="GT39" t="e">
        <f>AND(Bills!#REF!,"AAAAAD8zd8k=")</f>
        <v>#REF!</v>
      </c>
      <c r="GU39" t="e">
        <f>AND(Bills!AC37,"AAAAAD8zd8o=")</f>
        <v>#VALUE!</v>
      </c>
      <c r="GV39" t="e">
        <f>AND(Bills!AD37,"AAAAAD8zd8s=")</f>
        <v>#VALUE!</v>
      </c>
      <c r="GW39" t="e">
        <f>AND(Bills!#REF!,"AAAAAD8zd8w=")</f>
        <v>#REF!</v>
      </c>
      <c r="GX39">
        <f>IF(Bills!38:38,"AAAAAD8zd80=",0)</f>
        <v>0</v>
      </c>
      <c r="GY39" t="e">
        <f>AND(Bills!B38,"AAAAAD8zd84=")</f>
        <v>#VALUE!</v>
      </c>
      <c r="GZ39" t="e">
        <f>AND(Bills!#REF!,"AAAAAD8zd88=")</f>
        <v>#REF!</v>
      </c>
      <c r="HA39" t="e">
        <f>AND(Bills!C38,"AAAAAD8zd9A=")</f>
        <v>#VALUE!</v>
      </c>
      <c r="HB39" t="e">
        <f>AND(Bills!D38,"AAAAAD8zd9E=")</f>
        <v>#VALUE!</v>
      </c>
      <c r="HC39" t="e">
        <f>AND(Bills!E38,"AAAAAD8zd9I=")</f>
        <v>#VALUE!</v>
      </c>
      <c r="HD39" t="e">
        <f>AND(Bills!#REF!,"AAAAAD8zd9M=")</f>
        <v>#REF!</v>
      </c>
      <c r="HE39" t="e">
        <f>AND(Bills!#REF!,"AAAAAD8zd9Q=")</f>
        <v>#REF!</v>
      </c>
      <c r="HF39" t="e">
        <f>AND(Bills!#REF!,"AAAAAD8zd9U=")</f>
        <v>#REF!</v>
      </c>
      <c r="HG39" t="e">
        <f>AND(Bills!F38,"AAAAAD8zd9Y=")</f>
        <v>#VALUE!</v>
      </c>
      <c r="HH39" t="e">
        <f>AND(Bills!#REF!,"AAAAAD8zd9c=")</f>
        <v>#REF!</v>
      </c>
      <c r="HI39" t="e">
        <f>AND(Bills!G38,"AAAAAD8zd9g=")</f>
        <v>#VALUE!</v>
      </c>
      <c r="HJ39" t="e">
        <f>AND(Bills!H38,"AAAAAD8zd9k=")</f>
        <v>#VALUE!</v>
      </c>
      <c r="HK39" t="e">
        <f>AND(Bills!I38,"AAAAAD8zd9o=")</f>
        <v>#VALUE!</v>
      </c>
      <c r="HL39" t="e">
        <f>AND(Bills!J38,"AAAAAD8zd9s=")</f>
        <v>#VALUE!</v>
      </c>
      <c r="HM39" t="e">
        <f>AND(Bills!K38,"AAAAAD8zd9w=")</f>
        <v>#VALUE!</v>
      </c>
      <c r="HN39" t="e">
        <f>AND(Bills!L38,"AAAAAD8zd90=")</f>
        <v>#VALUE!</v>
      </c>
      <c r="HO39" t="e">
        <f>AND(Bills!#REF!,"AAAAAD8zd94=")</f>
        <v>#REF!</v>
      </c>
      <c r="HP39" t="e">
        <f>AND(Bills!M38,"AAAAAD8zd98=")</f>
        <v>#VALUE!</v>
      </c>
      <c r="HQ39" t="e">
        <f>AND(Bills!N38,"AAAAAD8zd+A=")</f>
        <v>#VALUE!</v>
      </c>
      <c r="HR39" t="e">
        <f>AND(Bills!O38,"AAAAAD8zd+E=")</f>
        <v>#VALUE!</v>
      </c>
      <c r="HS39" t="e">
        <f>AND(Bills!P38,"AAAAAD8zd+I=")</f>
        <v>#VALUE!</v>
      </c>
      <c r="HT39" t="e">
        <f>AND(Bills!Q38,"AAAAAD8zd+M=")</f>
        <v>#VALUE!</v>
      </c>
      <c r="HU39" t="e">
        <f>AND(Bills!R38,"AAAAAD8zd+Q=")</f>
        <v>#VALUE!</v>
      </c>
      <c r="HV39" t="e">
        <f>AND(Bills!S38,"AAAAAD8zd+U=")</f>
        <v>#VALUE!</v>
      </c>
      <c r="HW39" t="e">
        <f>AND(Bills!T38,"AAAAAD8zd+Y=")</f>
        <v>#VALUE!</v>
      </c>
      <c r="HX39" t="e">
        <f>AND(Bills!#REF!,"AAAAAD8zd+c=")</f>
        <v>#REF!</v>
      </c>
      <c r="HY39" t="e">
        <f>AND(Bills!U38,"AAAAAD8zd+g=")</f>
        <v>#VALUE!</v>
      </c>
      <c r="HZ39" t="e">
        <f>AND(Bills!V38,"AAAAAD8zd+k=")</f>
        <v>#VALUE!</v>
      </c>
      <c r="IA39" t="e">
        <f>AND(Bills!W38,"AAAAAD8zd+o=")</f>
        <v>#VALUE!</v>
      </c>
      <c r="IB39" t="e">
        <f>AND(Bills!#REF!,"AAAAAD8zd+s=")</f>
        <v>#REF!</v>
      </c>
      <c r="IC39" t="e">
        <f>AND(Bills!#REF!,"AAAAAD8zd+w=")</f>
        <v>#REF!</v>
      </c>
      <c r="ID39" t="e">
        <f>AND(Bills!Y38,"AAAAAD8zd+0=")</f>
        <v>#VALUE!</v>
      </c>
      <c r="IE39" t="e">
        <f>AND(Bills!Z38,"AAAAAD8zd+4=")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AND(Bills!AA38,"AAAAAD8zd/g=")</f>
        <v>#VALUE!</v>
      </c>
      <c r="IP39" t="e">
        <f>AND(Bills!AB38,"AAAAAD8zd/k=")</f>
        <v>#VALUE!</v>
      </c>
      <c r="IQ39" t="e">
        <f>AND(Bills!#REF!,"AAAAAD8zd/o=")</f>
        <v>#REF!</v>
      </c>
      <c r="IR39" t="e">
        <f>AND(Bills!#REF!,"AAAAAD8zd/s=")</f>
        <v>#REF!</v>
      </c>
      <c r="IS39" t="e">
        <f>AND(Bills!#REF!,"AAAAAD8zd/w=")</f>
        <v>#REF!</v>
      </c>
      <c r="IT39" t="e">
        <f>AND(Bills!AC38,"AAAAAD8zd/0=")</f>
        <v>#VALUE!</v>
      </c>
      <c r="IU39" t="e">
        <f>AND(Bills!AD38,"AAAAAD8zd/4=")</f>
        <v>#VALUE!</v>
      </c>
      <c r="IV39" t="e">
        <f>AND(Bills!#REF!,"AAAAAD8zd/8=")</f>
        <v>#REF!</v>
      </c>
    </row>
    <row r="40" spans="1:256">
      <c r="A40">
        <f>IF(Bills!39:39,"AAAAADqr6AA=",0)</f>
        <v>0</v>
      </c>
      <c r="B40" t="e">
        <f>AND(Bills!B39,"AAAAADqr6AE=")</f>
        <v>#VALUE!</v>
      </c>
      <c r="C40" t="e">
        <f>AND(Bills!#REF!,"AAAAADqr6AI=")</f>
        <v>#REF!</v>
      </c>
      <c r="D40" t="e">
        <f>AND(Bills!C39,"AAAAADqr6AM=")</f>
        <v>#VALUE!</v>
      </c>
      <c r="E40" t="e">
        <f>AND(Bills!D39,"AAAAADqr6AQ=")</f>
        <v>#VALUE!</v>
      </c>
      <c r="F40" t="e">
        <f>AND(Bills!E39,"AAAAADqr6AU=")</f>
        <v>#VALUE!</v>
      </c>
      <c r="G40" t="e">
        <f>AND(Bills!#REF!,"AAAAADqr6AY=")</f>
        <v>#REF!</v>
      </c>
      <c r="H40" t="e">
        <f>AND(Bills!#REF!,"AAAAADqr6Ac=")</f>
        <v>#REF!</v>
      </c>
      <c r="I40" t="e">
        <f>AND(Bills!#REF!,"AAAAADqr6Ag=")</f>
        <v>#REF!</v>
      </c>
      <c r="J40" t="e">
        <f>AND(Bills!F39,"AAAAADqr6Ak=")</f>
        <v>#VALUE!</v>
      </c>
      <c r="K40" t="e">
        <f>AND(Bills!#REF!,"AAAAADqr6Ao=")</f>
        <v>#REF!</v>
      </c>
      <c r="L40" t="e">
        <f>AND(Bills!G39,"AAAAADqr6As=")</f>
        <v>#VALUE!</v>
      </c>
      <c r="M40" t="e">
        <f>AND(Bills!H39,"AAAAADqr6Aw=")</f>
        <v>#VALUE!</v>
      </c>
      <c r="N40" t="e">
        <f>AND(Bills!I39,"AAAAADqr6A0=")</f>
        <v>#VALUE!</v>
      </c>
      <c r="O40" t="e">
        <f>AND(Bills!J39,"AAAAADqr6A4=")</f>
        <v>#VALUE!</v>
      </c>
      <c r="P40" t="e">
        <f>AND(Bills!K39,"AAAAADqr6A8=")</f>
        <v>#VALUE!</v>
      </c>
      <c r="Q40" t="e">
        <f>AND(Bills!L39,"AAAAADqr6BA=")</f>
        <v>#VALUE!</v>
      </c>
      <c r="R40" t="e">
        <f>AND(Bills!#REF!,"AAAAADqr6BE=")</f>
        <v>#REF!</v>
      </c>
      <c r="S40" t="e">
        <f>AND(Bills!M39,"AAAAADqr6BI=")</f>
        <v>#VALUE!</v>
      </c>
      <c r="T40" t="e">
        <f>AND(Bills!N39,"AAAAADqr6BM=")</f>
        <v>#VALUE!</v>
      </c>
      <c r="U40" t="e">
        <f>AND(Bills!O39,"AAAAADqr6BQ=")</f>
        <v>#VALUE!</v>
      </c>
      <c r="V40" t="e">
        <f>AND(Bills!P39,"AAAAADqr6BU=")</f>
        <v>#VALUE!</v>
      </c>
      <c r="W40" t="e">
        <f>AND(Bills!Q39,"AAAAADqr6BY=")</f>
        <v>#VALUE!</v>
      </c>
      <c r="X40" t="e">
        <f>AND(Bills!R39,"AAAAADqr6Bc=")</f>
        <v>#VALUE!</v>
      </c>
      <c r="Y40" t="e">
        <f>AND(Bills!S39,"AAAAADqr6Bg=")</f>
        <v>#VALUE!</v>
      </c>
      <c r="Z40" t="e">
        <f>AND(Bills!T39,"AAAAADqr6Bk=")</f>
        <v>#VALUE!</v>
      </c>
      <c r="AA40" t="e">
        <f>AND(Bills!#REF!,"AAAAADqr6Bo=")</f>
        <v>#REF!</v>
      </c>
      <c r="AB40" t="e">
        <f>AND(Bills!U39,"AAAAADqr6Bs=")</f>
        <v>#VALUE!</v>
      </c>
      <c r="AC40" t="e">
        <f>AND(Bills!V39,"AAAAADqr6Bw=")</f>
        <v>#VALUE!</v>
      </c>
      <c r="AD40" t="e">
        <f>AND(Bills!W39,"AAAAADqr6B0=")</f>
        <v>#VALUE!</v>
      </c>
      <c r="AE40" t="e">
        <f>AND(Bills!#REF!,"AAAAADqr6B4=")</f>
        <v>#REF!</v>
      </c>
      <c r="AF40" t="e">
        <f>AND(Bills!#REF!,"AAAAADqr6B8=")</f>
        <v>#REF!</v>
      </c>
      <c r="AG40" t="e">
        <f>AND(Bills!Y39,"AAAAADqr6CA=")</f>
        <v>#VALUE!</v>
      </c>
      <c r="AH40" t="e">
        <f>AND(Bills!Z39,"AAAAADqr6CE=")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AND(Bills!AA39,"AAAAADqr6Cs=")</f>
        <v>#VALUE!</v>
      </c>
      <c r="AS40" t="e">
        <f>AND(Bills!AB39,"AAAAADqr6Cw=")</f>
        <v>#VALUE!</v>
      </c>
      <c r="AT40" t="e">
        <f>AND(Bills!#REF!,"AAAAADqr6C0=")</f>
        <v>#REF!</v>
      </c>
      <c r="AU40" t="e">
        <f>AND(Bills!#REF!,"AAAAADqr6C4=")</f>
        <v>#REF!</v>
      </c>
      <c r="AV40" t="e">
        <f>AND(Bills!#REF!,"AAAAADqr6C8=")</f>
        <v>#REF!</v>
      </c>
      <c r="AW40" t="e">
        <f>AND(Bills!AC39,"AAAAADqr6DA=")</f>
        <v>#VALUE!</v>
      </c>
      <c r="AX40" t="e">
        <f>AND(Bills!AD39,"AAAAADqr6DE=")</f>
        <v>#VALUE!</v>
      </c>
      <c r="AY40" t="e">
        <f>AND(Bills!#REF!,"AAAAADqr6DI=")</f>
        <v>#REF!</v>
      </c>
      <c r="AZ40">
        <f>IF(Bills!40:40,"AAAAADqr6DM=",0)</f>
        <v>0</v>
      </c>
      <c r="BA40" t="e">
        <f>AND(Bills!B40,"AAAAADqr6DQ=")</f>
        <v>#VALUE!</v>
      </c>
      <c r="BB40" t="e">
        <f>AND(Bills!#REF!,"AAAAADqr6DU=")</f>
        <v>#REF!</v>
      </c>
      <c r="BC40" t="e">
        <f>AND(Bills!C40,"AAAAADqr6DY=")</f>
        <v>#VALUE!</v>
      </c>
      <c r="BD40" t="e">
        <f>AND(Bills!D40,"AAAAADqr6Dc=")</f>
        <v>#VALUE!</v>
      </c>
      <c r="BE40" t="e">
        <f>AND(Bills!E40,"AAAAADqr6Dg=")</f>
        <v>#VALUE!</v>
      </c>
      <c r="BF40" t="e">
        <f>AND(Bills!#REF!,"AAAAADqr6Dk=")</f>
        <v>#REF!</v>
      </c>
      <c r="BG40" t="e">
        <f>AND(Bills!#REF!,"AAAAADqr6Do=")</f>
        <v>#REF!</v>
      </c>
      <c r="BH40" t="e">
        <f>AND(Bills!#REF!,"AAAAADqr6Ds=")</f>
        <v>#REF!</v>
      </c>
      <c r="BI40" t="e">
        <f>AND(Bills!F40,"AAAAADqr6Dw=")</f>
        <v>#VALUE!</v>
      </c>
      <c r="BJ40" t="e">
        <f>AND(Bills!#REF!,"AAAAADqr6D0=")</f>
        <v>#REF!</v>
      </c>
      <c r="BK40" t="e">
        <f>AND(Bills!G40,"AAAAADqr6D4=")</f>
        <v>#VALUE!</v>
      </c>
      <c r="BL40" t="e">
        <f>AND(Bills!H40,"AAAAADqr6D8=")</f>
        <v>#VALUE!</v>
      </c>
      <c r="BM40" t="e">
        <f>AND(Bills!I40,"AAAAADqr6EA=")</f>
        <v>#VALUE!</v>
      </c>
      <c r="BN40" t="e">
        <f>AND(Bills!J40,"AAAAADqr6EE=")</f>
        <v>#VALUE!</v>
      </c>
      <c r="BO40" t="e">
        <f>AND(Bills!K40,"AAAAADqr6EI=")</f>
        <v>#VALUE!</v>
      </c>
      <c r="BP40" t="e">
        <f>AND(Bills!L40,"AAAAADqr6EM=")</f>
        <v>#VALUE!</v>
      </c>
      <c r="BQ40" t="e">
        <f>AND(Bills!#REF!,"AAAAADqr6EQ=")</f>
        <v>#REF!</v>
      </c>
      <c r="BR40" t="e">
        <f>AND(Bills!M40,"AAAAADqr6EU=")</f>
        <v>#VALUE!</v>
      </c>
      <c r="BS40" t="e">
        <f>AND(Bills!N40,"AAAAADqr6EY=")</f>
        <v>#VALUE!</v>
      </c>
      <c r="BT40" t="e">
        <f>AND(Bills!O40,"AAAAADqr6Ec=")</f>
        <v>#VALUE!</v>
      </c>
      <c r="BU40" t="e">
        <f>AND(Bills!P40,"AAAAADqr6Eg=")</f>
        <v>#VALUE!</v>
      </c>
      <c r="BV40" t="e">
        <f>AND(Bills!Q40,"AAAAADqr6Ek=")</f>
        <v>#VALUE!</v>
      </c>
      <c r="BW40" t="e">
        <f>AND(Bills!R40,"AAAAADqr6Eo=")</f>
        <v>#VALUE!</v>
      </c>
      <c r="BX40" t="e">
        <f>AND(Bills!S40,"AAAAADqr6Es=")</f>
        <v>#VALUE!</v>
      </c>
      <c r="BY40" t="e">
        <f>AND(Bills!T40,"AAAAADqr6Ew=")</f>
        <v>#VALUE!</v>
      </c>
      <c r="BZ40" t="e">
        <f>AND(Bills!#REF!,"AAAAADqr6E0=")</f>
        <v>#REF!</v>
      </c>
      <c r="CA40" t="e">
        <f>AND(Bills!U40,"AAAAADqr6E4=")</f>
        <v>#VALUE!</v>
      </c>
      <c r="CB40" t="e">
        <f>AND(Bills!V40,"AAAAADqr6E8=")</f>
        <v>#VALUE!</v>
      </c>
      <c r="CC40" t="e">
        <f>AND(Bills!W40,"AAAAADqr6FA=")</f>
        <v>#VALUE!</v>
      </c>
      <c r="CD40" t="e">
        <f>AND(Bills!#REF!,"AAAAADqr6FE=")</f>
        <v>#REF!</v>
      </c>
      <c r="CE40" t="e">
        <f>AND(Bills!#REF!,"AAAAADqr6FI=")</f>
        <v>#REF!</v>
      </c>
      <c r="CF40" t="e">
        <f>AND(Bills!Y40,"AAAAADqr6FM=")</f>
        <v>#VALUE!</v>
      </c>
      <c r="CG40" t="e">
        <f>AND(Bills!Z40,"AAAAADqr6FQ=")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AND(Bills!AA40,"AAAAADqr6F4=")</f>
        <v>#VALUE!</v>
      </c>
      <c r="CR40" t="e">
        <f>AND(Bills!AB40,"AAAAADqr6F8=")</f>
        <v>#VALUE!</v>
      </c>
      <c r="CS40" t="e">
        <f>AND(Bills!#REF!,"AAAAADqr6GA=")</f>
        <v>#REF!</v>
      </c>
      <c r="CT40" t="e">
        <f>AND(Bills!#REF!,"AAAAADqr6GE=")</f>
        <v>#REF!</v>
      </c>
      <c r="CU40" t="e">
        <f>AND(Bills!#REF!,"AAAAADqr6GI=")</f>
        <v>#REF!</v>
      </c>
      <c r="CV40" t="e">
        <f>AND(Bills!AC40,"AAAAADqr6GM=")</f>
        <v>#VALUE!</v>
      </c>
      <c r="CW40" t="e">
        <f>AND(Bills!AD40,"AAAAADqr6GQ=")</f>
        <v>#VALUE!</v>
      </c>
      <c r="CX40" t="e">
        <f>AND(Bills!#REF!,"AAAAADqr6GU=")</f>
        <v>#REF!</v>
      </c>
      <c r="CY40">
        <f>IF(Bills!41:41,"AAAAADqr6GY=",0)</f>
        <v>0</v>
      </c>
      <c r="CZ40" t="e">
        <f>AND(Bills!B41,"AAAAADqr6Gc=")</f>
        <v>#VALUE!</v>
      </c>
      <c r="DA40" t="e">
        <f>AND(Bills!#REF!,"AAAAADqr6Gg=")</f>
        <v>#REF!</v>
      </c>
      <c r="DB40" t="e">
        <f>AND(Bills!C41,"AAAAADqr6Gk=")</f>
        <v>#VALUE!</v>
      </c>
      <c r="DC40" t="e">
        <f>AND(Bills!D41,"AAAAADqr6Go=")</f>
        <v>#VALUE!</v>
      </c>
      <c r="DD40" t="e">
        <f>AND(Bills!E41,"AAAAADqr6Gs=")</f>
        <v>#VALUE!</v>
      </c>
      <c r="DE40" t="e">
        <f>AND(Bills!#REF!,"AAAAADqr6Gw=")</f>
        <v>#REF!</v>
      </c>
      <c r="DF40" t="e">
        <f>AND(Bills!#REF!,"AAAAADqr6G0=")</f>
        <v>#REF!</v>
      </c>
      <c r="DG40" t="e">
        <f>AND(Bills!#REF!,"AAAAADqr6G4=")</f>
        <v>#REF!</v>
      </c>
      <c r="DH40" t="e">
        <f>AND(Bills!F41,"AAAAADqr6G8=")</f>
        <v>#VALUE!</v>
      </c>
      <c r="DI40" t="e">
        <f>AND(Bills!#REF!,"AAAAADqr6HA=")</f>
        <v>#REF!</v>
      </c>
      <c r="DJ40" t="e">
        <f>AND(Bills!G41,"AAAAADqr6HE=")</f>
        <v>#VALUE!</v>
      </c>
      <c r="DK40" t="e">
        <f>AND(Bills!H41,"AAAAADqr6HI=")</f>
        <v>#VALUE!</v>
      </c>
      <c r="DL40" t="e">
        <f>AND(Bills!I41,"AAAAADqr6HM=")</f>
        <v>#VALUE!</v>
      </c>
      <c r="DM40" t="e">
        <f>AND(Bills!J41,"AAAAADqr6HQ=")</f>
        <v>#VALUE!</v>
      </c>
      <c r="DN40" t="e">
        <f>AND(Bills!K41,"AAAAADqr6HU=")</f>
        <v>#VALUE!</v>
      </c>
      <c r="DO40" t="e">
        <f>AND(Bills!L41,"AAAAADqr6HY=")</f>
        <v>#VALUE!</v>
      </c>
      <c r="DP40" t="e">
        <f>AND(Bills!#REF!,"AAAAADqr6Hc=")</f>
        <v>#REF!</v>
      </c>
      <c r="DQ40" t="e">
        <f>AND(Bills!M41,"AAAAADqr6Hg=")</f>
        <v>#VALUE!</v>
      </c>
      <c r="DR40" t="e">
        <f>AND(Bills!N41,"AAAAADqr6Hk=")</f>
        <v>#VALUE!</v>
      </c>
      <c r="DS40" t="e">
        <f>AND(Bills!O41,"AAAAADqr6Ho=")</f>
        <v>#VALUE!</v>
      </c>
      <c r="DT40" t="e">
        <f>AND(Bills!P41,"AAAAADqr6Hs=")</f>
        <v>#VALUE!</v>
      </c>
      <c r="DU40" t="e">
        <f>AND(Bills!Q41,"AAAAADqr6Hw=")</f>
        <v>#VALUE!</v>
      </c>
      <c r="DV40" t="e">
        <f>AND(Bills!R41,"AAAAADqr6H0=")</f>
        <v>#VALUE!</v>
      </c>
      <c r="DW40" t="e">
        <f>AND(Bills!S41,"AAAAADqr6H4=")</f>
        <v>#VALUE!</v>
      </c>
      <c r="DX40" t="e">
        <f>AND(Bills!T41,"AAAAADqr6H8=")</f>
        <v>#VALUE!</v>
      </c>
      <c r="DY40" t="e">
        <f>AND(Bills!#REF!,"AAAAADqr6IA=")</f>
        <v>#REF!</v>
      </c>
      <c r="DZ40" t="e">
        <f>AND(Bills!U41,"AAAAADqr6IE=")</f>
        <v>#VALUE!</v>
      </c>
      <c r="EA40" t="e">
        <f>AND(Bills!V41,"AAAAADqr6II=")</f>
        <v>#VALUE!</v>
      </c>
      <c r="EB40" t="e">
        <f>AND(Bills!W41,"AAAAADqr6IM=")</f>
        <v>#VALUE!</v>
      </c>
      <c r="EC40" t="e">
        <f>AND(Bills!#REF!,"AAAAADqr6IQ=")</f>
        <v>#REF!</v>
      </c>
      <c r="ED40" t="e">
        <f>AND(Bills!#REF!,"AAAAADqr6IU=")</f>
        <v>#REF!</v>
      </c>
      <c r="EE40" t="e">
        <f>AND(Bills!Y41,"AAAAADqr6IY=")</f>
        <v>#VALUE!</v>
      </c>
      <c r="EF40" t="e">
        <f>AND(Bills!Z41,"AAAAADqr6Ic=")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AND(Bills!AA41,"AAAAADqr6JE=")</f>
        <v>#VALUE!</v>
      </c>
      <c r="EQ40" t="e">
        <f>AND(Bills!AB41,"AAAAADqr6JI=")</f>
        <v>#VALUE!</v>
      </c>
      <c r="ER40" t="e">
        <f>AND(Bills!#REF!,"AAAAADqr6JM=")</f>
        <v>#REF!</v>
      </c>
      <c r="ES40" t="e">
        <f>AND(Bills!#REF!,"AAAAADqr6JQ=")</f>
        <v>#REF!</v>
      </c>
      <c r="ET40" t="e">
        <f>AND(Bills!#REF!,"AAAAADqr6JU=")</f>
        <v>#REF!</v>
      </c>
      <c r="EU40" t="e">
        <f>AND(Bills!AC41,"AAAAADqr6JY=")</f>
        <v>#VALUE!</v>
      </c>
      <c r="EV40" t="e">
        <f>AND(Bills!AD41,"AAAAADqr6Jc=")</f>
        <v>#VALUE!</v>
      </c>
      <c r="EW40" t="e">
        <f>AND(Bills!#REF!,"AAAAADqr6Jg=")</f>
        <v>#REF!</v>
      </c>
      <c r="EX40">
        <f>IF(Bills!42:42,"AAAAADqr6Jk=",0)</f>
        <v>0</v>
      </c>
      <c r="EY40" t="e">
        <f>AND(Bills!B42,"AAAAADqr6Jo=")</f>
        <v>#VALUE!</v>
      </c>
      <c r="EZ40" t="e">
        <f>AND(Bills!#REF!,"AAAAADqr6Js=")</f>
        <v>#REF!</v>
      </c>
      <c r="FA40" t="e">
        <f>AND(Bills!C42,"AAAAADqr6Jw=")</f>
        <v>#VALUE!</v>
      </c>
      <c r="FB40" t="e">
        <f>AND(Bills!D42,"AAAAADqr6J0=")</f>
        <v>#VALUE!</v>
      </c>
      <c r="FC40" t="e">
        <f>AND(Bills!E42,"AAAAADqr6J4=")</f>
        <v>#VALUE!</v>
      </c>
      <c r="FD40" t="e">
        <f>AND(Bills!#REF!,"AAAAADqr6J8=")</f>
        <v>#REF!</v>
      </c>
      <c r="FE40" t="e">
        <f>AND(Bills!#REF!,"AAAAADqr6KA=")</f>
        <v>#REF!</v>
      </c>
      <c r="FF40" t="e">
        <f>AND(Bills!#REF!,"AAAAADqr6KE=")</f>
        <v>#REF!</v>
      </c>
      <c r="FG40" t="e">
        <f>AND(Bills!F42,"AAAAADqr6KI=")</f>
        <v>#VALUE!</v>
      </c>
      <c r="FH40" t="e">
        <f>AND(Bills!#REF!,"AAAAADqr6KM=")</f>
        <v>#REF!</v>
      </c>
      <c r="FI40" t="e">
        <f>AND(Bills!G42,"AAAAADqr6KQ=")</f>
        <v>#VALUE!</v>
      </c>
      <c r="FJ40" t="e">
        <f>AND(Bills!H42,"AAAAADqr6KU=")</f>
        <v>#VALUE!</v>
      </c>
      <c r="FK40" t="e">
        <f>AND(Bills!I42,"AAAAADqr6KY=")</f>
        <v>#VALUE!</v>
      </c>
      <c r="FL40" t="e">
        <f>AND(Bills!J42,"AAAAADqr6Kc=")</f>
        <v>#VALUE!</v>
      </c>
      <c r="FM40" t="e">
        <f>AND(Bills!K42,"AAAAADqr6Kg=")</f>
        <v>#VALUE!</v>
      </c>
      <c r="FN40" t="e">
        <f>AND(Bills!L42,"AAAAADqr6Kk=")</f>
        <v>#VALUE!</v>
      </c>
      <c r="FO40" t="e">
        <f>AND(Bills!#REF!,"AAAAADqr6Ko=")</f>
        <v>#REF!</v>
      </c>
      <c r="FP40" t="e">
        <f>AND(Bills!M42,"AAAAADqr6Ks=")</f>
        <v>#VALUE!</v>
      </c>
      <c r="FQ40" t="e">
        <f>AND(Bills!N42,"AAAAADqr6Kw=")</f>
        <v>#VALUE!</v>
      </c>
      <c r="FR40" t="e">
        <f>AND(Bills!O42,"AAAAADqr6K0=")</f>
        <v>#VALUE!</v>
      </c>
      <c r="FS40" t="e">
        <f>AND(Bills!P42,"AAAAADqr6K4=")</f>
        <v>#VALUE!</v>
      </c>
      <c r="FT40" t="e">
        <f>AND(Bills!Q42,"AAAAADqr6K8=")</f>
        <v>#VALUE!</v>
      </c>
      <c r="FU40" t="e">
        <f>AND(Bills!R42,"AAAAADqr6LA=")</f>
        <v>#VALUE!</v>
      </c>
      <c r="FV40" t="e">
        <f>AND(Bills!S42,"AAAAADqr6LE=")</f>
        <v>#VALUE!</v>
      </c>
      <c r="FW40" t="e">
        <f>AND(Bills!T42,"AAAAADqr6LI=")</f>
        <v>#VALUE!</v>
      </c>
      <c r="FX40" t="e">
        <f>AND(Bills!#REF!,"AAAAADqr6LM=")</f>
        <v>#REF!</v>
      </c>
      <c r="FY40" t="e">
        <f>AND(Bills!U42,"AAAAADqr6LQ=")</f>
        <v>#VALUE!</v>
      </c>
      <c r="FZ40" t="e">
        <f>AND(Bills!V42,"AAAAADqr6LU=")</f>
        <v>#VALUE!</v>
      </c>
      <c r="GA40" t="e">
        <f>AND(Bills!W42,"AAAAADqr6LY=")</f>
        <v>#VALUE!</v>
      </c>
      <c r="GB40" t="e">
        <f>AND(Bills!#REF!,"AAAAADqr6Lc=")</f>
        <v>#REF!</v>
      </c>
      <c r="GC40" t="e">
        <f>AND(Bills!#REF!,"AAAAADqr6Lg=")</f>
        <v>#REF!</v>
      </c>
      <c r="GD40" t="e">
        <f>AND(Bills!Y42,"AAAAADqr6Lk=")</f>
        <v>#VALUE!</v>
      </c>
      <c r="GE40" t="e">
        <f>AND(Bills!Z42,"AAAAADqr6Lo=")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AND(Bills!AA42,"AAAAADqr6MQ=")</f>
        <v>#VALUE!</v>
      </c>
      <c r="GP40" t="e">
        <f>AND(Bills!AB42,"AAAAADqr6MU=")</f>
        <v>#VALUE!</v>
      </c>
      <c r="GQ40" t="e">
        <f>AND(Bills!#REF!,"AAAAADqr6MY=")</f>
        <v>#REF!</v>
      </c>
      <c r="GR40" t="e">
        <f>AND(Bills!#REF!,"AAAAADqr6Mc=")</f>
        <v>#REF!</v>
      </c>
      <c r="GS40" t="e">
        <f>AND(Bills!#REF!,"AAAAADqr6Mg=")</f>
        <v>#REF!</v>
      </c>
      <c r="GT40" t="e">
        <f>AND(Bills!AC42,"AAAAADqr6Mk=")</f>
        <v>#VALUE!</v>
      </c>
      <c r="GU40" t="e">
        <f>AND(Bills!AD42,"AAAAADqr6Mo=")</f>
        <v>#VALUE!</v>
      </c>
      <c r="GV40" t="e">
        <f>AND(Bills!#REF!,"AAAAADqr6Ms=")</f>
        <v>#REF!</v>
      </c>
      <c r="GW40">
        <f>IF(Bills!43:43,"AAAAADqr6Mw=",0)</f>
        <v>0</v>
      </c>
      <c r="GX40" t="e">
        <f>AND(Bills!B43,"AAAAADqr6M0=")</f>
        <v>#VALUE!</v>
      </c>
      <c r="GY40" t="e">
        <f>AND(Bills!#REF!,"AAAAADqr6M4=")</f>
        <v>#REF!</v>
      </c>
      <c r="GZ40" t="e">
        <f>AND(Bills!C43,"AAAAADqr6M8=")</f>
        <v>#VALUE!</v>
      </c>
      <c r="HA40" t="e">
        <f>AND(Bills!D43,"AAAAADqr6NA=")</f>
        <v>#VALUE!</v>
      </c>
      <c r="HB40" t="e">
        <f>AND(Bills!E43,"AAAAADqr6NE=")</f>
        <v>#VALUE!</v>
      </c>
      <c r="HC40" t="e">
        <f>AND(Bills!#REF!,"AAAAADqr6NI=")</f>
        <v>#REF!</v>
      </c>
      <c r="HD40" t="e">
        <f>AND(Bills!#REF!,"AAAAADqr6NM=")</f>
        <v>#REF!</v>
      </c>
      <c r="HE40" t="e">
        <f>AND(Bills!#REF!,"AAAAADqr6NQ=")</f>
        <v>#REF!</v>
      </c>
      <c r="HF40" t="e">
        <f>AND(Bills!F43,"AAAAADqr6NU=")</f>
        <v>#VALUE!</v>
      </c>
      <c r="HG40" t="e">
        <f>AND(Bills!#REF!,"AAAAADqr6NY=")</f>
        <v>#REF!</v>
      </c>
      <c r="HH40" t="e">
        <f>AND(Bills!G43,"AAAAADqr6Nc=")</f>
        <v>#VALUE!</v>
      </c>
      <c r="HI40" t="e">
        <f>AND(Bills!H43,"AAAAADqr6Ng=")</f>
        <v>#VALUE!</v>
      </c>
      <c r="HJ40" t="e">
        <f>AND(Bills!I43,"AAAAADqr6Nk=")</f>
        <v>#VALUE!</v>
      </c>
      <c r="HK40" t="e">
        <f>AND(Bills!J43,"AAAAADqr6No=")</f>
        <v>#VALUE!</v>
      </c>
      <c r="HL40" t="e">
        <f>AND(Bills!K43,"AAAAADqr6Ns=")</f>
        <v>#VALUE!</v>
      </c>
      <c r="HM40" t="e">
        <f>AND(Bills!L43,"AAAAADqr6Nw=")</f>
        <v>#VALUE!</v>
      </c>
      <c r="HN40" t="e">
        <f>AND(Bills!#REF!,"AAAAADqr6N0=")</f>
        <v>#REF!</v>
      </c>
      <c r="HO40" t="e">
        <f>AND(Bills!M43,"AAAAADqr6N4=")</f>
        <v>#VALUE!</v>
      </c>
      <c r="HP40" t="e">
        <f>AND(Bills!N43,"AAAAADqr6N8=")</f>
        <v>#VALUE!</v>
      </c>
      <c r="HQ40" t="e">
        <f>AND(Bills!O43,"AAAAADqr6OA=")</f>
        <v>#VALUE!</v>
      </c>
      <c r="HR40" t="e">
        <f>AND(Bills!P43,"AAAAADqr6OE=")</f>
        <v>#VALUE!</v>
      </c>
      <c r="HS40" t="e">
        <f>AND(Bills!Q43,"AAAAADqr6OI=")</f>
        <v>#VALUE!</v>
      </c>
      <c r="HT40" t="e">
        <f>AND(Bills!R43,"AAAAADqr6OM=")</f>
        <v>#VALUE!</v>
      </c>
      <c r="HU40" t="e">
        <f>AND(Bills!S43,"AAAAADqr6OQ=")</f>
        <v>#VALUE!</v>
      </c>
      <c r="HV40" t="e">
        <f>AND(Bills!T43,"AAAAADqr6OU=")</f>
        <v>#VALUE!</v>
      </c>
      <c r="HW40" t="e">
        <f>AND(Bills!#REF!,"AAAAADqr6OY=")</f>
        <v>#REF!</v>
      </c>
      <c r="HX40" t="e">
        <f>AND(Bills!U43,"AAAAADqr6Oc=")</f>
        <v>#VALUE!</v>
      </c>
      <c r="HY40" t="e">
        <f>AND(Bills!V43,"AAAAADqr6Og=")</f>
        <v>#VALUE!</v>
      </c>
      <c r="HZ40" t="e">
        <f>AND(Bills!W43,"AAAAADqr6Ok=")</f>
        <v>#VALUE!</v>
      </c>
      <c r="IA40" t="e">
        <f>AND(Bills!#REF!,"AAAAADqr6Oo=")</f>
        <v>#REF!</v>
      </c>
      <c r="IB40" t="e">
        <f>AND(Bills!#REF!,"AAAAADqr6Os=")</f>
        <v>#REF!</v>
      </c>
      <c r="IC40" t="e">
        <f>AND(Bills!Y43,"AAAAADqr6Ow=")</f>
        <v>#VALUE!</v>
      </c>
      <c r="ID40" t="e">
        <f>AND(Bills!Z43,"AAAAADqr6O0=")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AND(Bills!AA43,"AAAAADqr6Pc=")</f>
        <v>#VALUE!</v>
      </c>
      <c r="IO40" t="e">
        <f>AND(Bills!AB43,"AAAAADqr6Pg=")</f>
        <v>#VALUE!</v>
      </c>
      <c r="IP40" t="e">
        <f>AND(Bills!#REF!,"AAAAADqr6Pk=")</f>
        <v>#REF!</v>
      </c>
      <c r="IQ40" t="e">
        <f>AND(Bills!#REF!,"AAAAADqr6Po=")</f>
        <v>#REF!</v>
      </c>
      <c r="IR40" t="e">
        <f>AND(Bills!#REF!,"AAAAADqr6Ps=")</f>
        <v>#REF!</v>
      </c>
      <c r="IS40" t="e">
        <f>AND(Bills!AC43,"AAAAADqr6Pw=")</f>
        <v>#VALUE!</v>
      </c>
      <c r="IT40" t="e">
        <f>AND(Bills!AD43,"AAAAADqr6P0=")</f>
        <v>#VALUE!</v>
      </c>
      <c r="IU40" t="e">
        <f>AND(Bills!#REF!,"AAAAADqr6P4=")</f>
        <v>#REF!</v>
      </c>
      <c r="IV40">
        <f>IF(Bills!44:44,"AAAAADqr6P8=",0)</f>
        <v>0</v>
      </c>
    </row>
    <row r="41" spans="1:256">
      <c r="A41" t="e">
        <f>AND(Bills!B44,"AAAAAH3/+wA=")</f>
        <v>#VALUE!</v>
      </c>
      <c r="B41" t="e">
        <f>AND(Bills!#REF!,"AAAAAH3/+wE=")</f>
        <v>#REF!</v>
      </c>
      <c r="C41" t="e">
        <f>AND(Bills!C44,"AAAAAH3/+wI=")</f>
        <v>#VALUE!</v>
      </c>
      <c r="D41" t="e">
        <f>AND(Bills!D44,"AAAAAH3/+wM=")</f>
        <v>#VALUE!</v>
      </c>
      <c r="E41" t="e">
        <f>AND(Bills!E44,"AAAAAH3/+wQ=")</f>
        <v>#VALUE!</v>
      </c>
      <c r="F41" t="e">
        <f>AND(Bills!#REF!,"AAAAAH3/+wU=")</f>
        <v>#REF!</v>
      </c>
      <c r="G41" t="e">
        <f>AND(Bills!#REF!,"AAAAAH3/+wY=")</f>
        <v>#REF!</v>
      </c>
      <c r="H41" t="e">
        <f>AND(Bills!#REF!,"AAAAAH3/+wc=")</f>
        <v>#REF!</v>
      </c>
      <c r="I41" t="e">
        <f>AND(Bills!F44,"AAAAAH3/+wg=")</f>
        <v>#VALUE!</v>
      </c>
      <c r="J41" t="e">
        <f>AND(Bills!#REF!,"AAAAAH3/+wk=")</f>
        <v>#REF!</v>
      </c>
      <c r="K41" t="e">
        <f>AND(Bills!G44,"AAAAAH3/+wo=")</f>
        <v>#VALUE!</v>
      </c>
      <c r="L41" t="e">
        <f>AND(Bills!H44,"AAAAAH3/+ws=")</f>
        <v>#VALUE!</v>
      </c>
      <c r="M41" t="e">
        <f>AND(Bills!I44,"AAAAAH3/+ww=")</f>
        <v>#VALUE!</v>
      </c>
      <c r="N41" t="e">
        <f>AND(Bills!J44,"AAAAAH3/+w0=")</f>
        <v>#VALUE!</v>
      </c>
      <c r="O41" t="e">
        <f>AND(Bills!K44,"AAAAAH3/+w4=")</f>
        <v>#VALUE!</v>
      </c>
      <c r="P41" t="e">
        <f>AND(Bills!L44,"AAAAAH3/+w8=")</f>
        <v>#VALUE!</v>
      </c>
      <c r="Q41" t="e">
        <f>AND(Bills!#REF!,"AAAAAH3/+xA=")</f>
        <v>#REF!</v>
      </c>
      <c r="R41" t="e">
        <f>AND(Bills!M44,"AAAAAH3/+xE=")</f>
        <v>#VALUE!</v>
      </c>
      <c r="S41" t="e">
        <f>AND(Bills!N44,"AAAAAH3/+xI=")</f>
        <v>#VALUE!</v>
      </c>
      <c r="T41" t="e">
        <f>AND(Bills!O44,"AAAAAH3/+xM=")</f>
        <v>#VALUE!</v>
      </c>
      <c r="U41" t="e">
        <f>AND(Bills!P44,"AAAAAH3/+xQ=")</f>
        <v>#VALUE!</v>
      </c>
      <c r="V41" t="e">
        <f>AND(Bills!Q44,"AAAAAH3/+xU=")</f>
        <v>#VALUE!</v>
      </c>
      <c r="W41" t="e">
        <f>AND(Bills!R44,"AAAAAH3/+xY=")</f>
        <v>#VALUE!</v>
      </c>
      <c r="X41" t="e">
        <f>AND(Bills!S44,"AAAAAH3/+xc=")</f>
        <v>#VALUE!</v>
      </c>
      <c r="Y41" t="e">
        <f>AND(Bills!T44,"AAAAAH3/+xg=")</f>
        <v>#VALUE!</v>
      </c>
      <c r="Z41" t="e">
        <f>AND(Bills!#REF!,"AAAAAH3/+xk=")</f>
        <v>#REF!</v>
      </c>
      <c r="AA41" t="e">
        <f>AND(Bills!U44,"AAAAAH3/+xo=")</f>
        <v>#VALUE!</v>
      </c>
      <c r="AB41" t="e">
        <f>AND(Bills!V44,"AAAAAH3/+xs=")</f>
        <v>#VALUE!</v>
      </c>
      <c r="AC41" t="e">
        <f>AND(Bills!W44,"AAAAAH3/+xw=")</f>
        <v>#VALUE!</v>
      </c>
      <c r="AD41" t="e">
        <f>AND(Bills!#REF!,"AAAAAH3/+x0=")</f>
        <v>#REF!</v>
      </c>
      <c r="AE41" t="e">
        <f>AND(Bills!#REF!,"AAAAAH3/+x4=")</f>
        <v>#REF!</v>
      </c>
      <c r="AF41" t="e">
        <f>AND(Bills!Y44,"AAAAAH3/+x8=")</f>
        <v>#VALUE!</v>
      </c>
      <c r="AG41" t="e">
        <f>AND(Bills!Z44,"AAAAAH3/+yA=")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AND(Bills!AA44,"AAAAAH3/+yo=")</f>
        <v>#VALUE!</v>
      </c>
      <c r="AR41" t="e">
        <f>AND(Bills!AB44,"AAAAAH3/+ys=")</f>
        <v>#VALUE!</v>
      </c>
      <c r="AS41" t="e">
        <f>AND(Bills!#REF!,"AAAAAH3/+yw=")</f>
        <v>#REF!</v>
      </c>
      <c r="AT41" t="e">
        <f>AND(Bills!#REF!,"AAAAAH3/+y0=")</f>
        <v>#REF!</v>
      </c>
      <c r="AU41" t="e">
        <f>AND(Bills!#REF!,"AAAAAH3/+y4=")</f>
        <v>#REF!</v>
      </c>
      <c r="AV41" t="e">
        <f>AND(Bills!AC44,"AAAAAH3/+y8=")</f>
        <v>#VALUE!</v>
      </c>
      <c r="AW41" t="e">
        <f>AND(Bills!AD44,"AAAAAH3/+zA=")</f>
        <v>#VALUE!</v>
      </c>
      <c r="AX41" t="e">
        <f>AND(Bills!#REF!,"AAAAAH3/+zE=")</f>
        <v>#REF!</v>
      </c>
      <c r="AY41">
        <f>IF(Bills!45:45,"AAAAAH3/+zI=",0)</f>
        <v>0</v>
      </c>
      <c r="AZ41" t="e">
        <f>AND(Bills!B45,"AAAAAH3/+zM=")</f>
        <v>#VALUE!</v>
      </c>
      <c r="BA41" t="e">
        <f>AND(Bills!#REF!,"AAAAAH3/+zQ=")</f>
        <v>#REF!</v>
      </c>
      <c r="BB41" t="e">
        <f>AND(Bills!C45,"AAAAAH3/+zU=")</f>
        <v>#VALUE!</v>
      </c>
      <c r="BC41" t="e">
        <f>AND(Bills!D45,"AAAAAH3/+zY=")</f>
        <v>#VALUE!</v>
      </c>
      <c r="BD41" t="e">
        <f>AND(Bills!E45,"AAAAAH3/+zc=")</f>
        <v>#VALUE!</v>
      </c>
      <c r="BE41" t="e">
        <f>AND(Bills!#REF!,"AAAAAH3/+zg=")</f>
        <v>#REF!</v>
      </c>
      <c r="BF41" t="e">
        <f>AND(Bills!#REF!,"AAAAAH3/+zk=")</f>
        <v>#REF!</v>
      </c>
      <c r="BG41" t="e">
        <f>AND(Bills!#REF!,"AAAAAH3/+zo=")</f>
        <v>#REF!</v>
      </c>
      <c r="BH41" t="e">
        <f>AND(Bills!F45,"AAAAAH3/+zs=")</f>
        <v>#VALUE!</v>
      </c>
      <c r="BI41" t="e">
        <f>AND(Bills!#REF!,"AAAAAH3/+zw=")</f>
        <v>#REF!</v>
      </c>
      <c r="BJ41" t="e">
        <f>AND(Bills!G45,"AAAAAH3/+z0=")</f>
        <v>#VALUE!</v>
      </c>
      <c r="BK41" t="e">
        <f>AND(Bills!H45,"AAAAAH3/+z4=")</f>
        <v>#VALUE!</v>
      </c>
      <c r="BL41" t="e">
        <f>AND(Bills!I45,"AAAAAH3/+z8=")</f>
        <v>#VALUE!</v>
      </c>
      <c r="BM41" t="e">
        <f>AND(Bills!J45,"AAAAAH3/+0A=")</f>
        <v>#VALUE!</v>
      </c>
      <c r="BN41" t="e">
        <f>AND(Bills!K45,"AAAAAH3/+0E=")</f>
        <v>#VALUE!</v>
      </c>
      <c r="BO41" t="e">
        <f>AND(Bills!L45,"AAAAAH3/+0I=")</f>
        <v>#VALUE!</v>
      </c>
      <c r="BP41" t="e">
        <f>AND(Bills!#REF!,"AAAAAH3/+0M=")</f>
        <v>#REF!</v>
      </c>
      <c r="BQ41" t="e">
        <f>AND(Bills!M45,"AAAAAH3/+0Q=")</f>
        <v>#VALUE!</v>
      </c>
      <c r="BR41" t="e">
        <f>AND(Bills!N45,"AAAAAH3/+0U=")</f>
        <v>#VALUE!</v>
      </c>
      <c r="BS41" t="e">
        <f>AND(Bills!O45,"AAAAAH3/+0Y=")</f>
        <v>#VALUE!</v>
      </c>
      <c r="BT41" t="e">
        <f>AND(Bills!P45,"AAAAAH3/+0c=")</f>
        <v>#VALUE!</v>
      </c>
      <c r="BU41" t="e">
        <f>AND(Bills!Q45,"AAAAAH3/+0g=")</f>
        <v>#VALUE!</v>
      </c>
      <c r="BV41" t="e">
        <f>AND(Bills!R45,"AAAAAH3/+0k=")</f>
        <v>#VALUE!</v>
      </c>
      <c r="BW41" t="e">
        <f>AND(Bills!S45,"AAAAAH3/+0o=")</f>
        <v>#VALUE!</v>
      </c>
      <c r="BX41" t="e">
        <f>AND(Bills!T45,"AAAAAH3/+0s=")</f>
        <v>#VALUE!</v>
      </c>
      <c r="BY41" t="e">
        <f>AND(Bills!#REF!,"AAAAAH3/+0w=")</f>
        <v>#REF!</v>
      </c>
      <c r="BZ41" t="e">
        <f>AND(Bills!U45,"AAAAAH3/+00=")</f>
        <v>#VALUE!</v>
      </c>
      <c r="CA41" t="e">
        <f>AND(Bills!V45,"AAAAAH3/+04=")</f>
        <v>#VALUE!</v>
      </c>
      <c r="CB41" t="e">
        <f>AND(Bills!W45,"AAAAAH3/+08=")</f>
        <v>#VALUE!</v>
      </c>
      <c r="CC41" t="e">
        <f>AND(Bills!#REF!,"AAAAAH3/+1A=")</f>
        <v>#REF!</v>
      </c>
      <c r="CD41" t="e">
        <f>AND(Bills!#REF!,"AAAAAH3/+1E=")</f>
        <v>#REF!</v>
      </c>
      <c r="CE41" t="e">
        <f>AND(Bills!Y45,"AAAAAH3/+1I=")</f>
        <v>#VALUE!</v>
      </c>
      <c r="CF41" t="e">
        <f>AND(Bills!Z45,"AAAAAH3/+1M=")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AND(Bills!AA45,"AAAAAH3/+10=")</f>
        <v>#VALUE!</v>
      </c>
      <c r="CQ41" t="e">
        <f>AND(Bills!AB45,"AAAAAH3/+14=")</f>
        <v>#VALUE!</v>
      </c>
      <c r="CR41" t="e">
        <f>AND(Bills!#REF!,"AAAAAH3/+18=")</f>
        <v>#REF!</v>
      </c>
      <c r="CS41" t="e">
        <f>AND(Bills!#REF!,"AAAAAH3/+2A=")</f>
        <v>#REF!</v>
      </c>
      <c r="CT41" t="e">
        <f>AND(Bills!#REF!,"AAAAAH3/+2E=")</f>
        <v>#REF!</v>
      </c>
      <c r="CU41" t="e">
        <f>AND(Bills!AC45,"AAAAAH3/+2I=")</f>
        <v>#VALUE!</v>
      </c>
      <c r="CV41" t="e">
        <f>AND(Bills!AD45,"AAAAAH3/+2M=")</f>
        <v>#VALUE!</v>
      </c>
      <c r="CW41" t="e">
        <f>AND(Bills!#REF!,"AAAAAH3/+2Q=")</f>
        <v>#REF!</v>
      </c>
      <c r="CX41">
        <f>IF(Bills!46:46,"AAAAAH3/+2U=",0)</f>
        <v>0</v>
      </c>
      <c r="CY41" t="e">
        <f>AND(Bills!B46,"AAAAAH3/+2Y=")</f>
        <v>#VALUE!</v>
      </c>
      <c r="CZ41" t="e">
        <f>AND(Bills!#REF!,"AAAAAH3/+2c=")</f>
        <v>#REF!</v>
      </c>
      <c r="DA41" t="e">
        <f>AND(Bills!C46,"AAAAAH3/+2g=")</f>
        <v>#VALUE!</v>
      </c>
      <c r="DB41" t="e">
        <f>AND(Bills!D46,"AAAAAH3/+2k=")</f>
        <v>#VALUE!</v>
      </c>
      <c r="DC41" t="e">
        <f>AND(Bills!E46,"AAAAAH3/+2o=")</f>
        <v>#VALUE!</v>
      </c>
      <c r="DD41" t="e">
        <f>AND(Bills!#REF!,"AAAAAH3/+2s=")</f>
        <v>#REF!</v>
      </c>
      <c r="DE41" t="e">
        <f>AND(Bills!#REF!,"AAAAAH3/+2w=")</f>
        <v>#REF!</v>
      </c>
      <c r="DF41" t="e">
        <f>AND(Bills!#REF!,"AAAAAH3/+20=")</f>
        <v>#REF!</v>
      </c>
      <c r="DG41" t="e">
        <f>AND(Bills!F46,"AAAAAH3/+24=")</f>
        <v>#VALUE!</v>
      </c>
      <c r="DH41" t="e">
        <f>AND(Bills!#REF!,"AAAAAH3/+28=")</f>
        <v>#REF!</v>
      </c>
      <c r="DI41" t="e">
        <f>AND(Bills!G46,"AAAAAH3/+3A=")</f>
        <v>#VALUE!</v>
      </c>
      <c r="DJ41" t="e">
        <f>AND(Bills!H46,"AAAAAH3/+3E=")</f>
        <v>#VALUE!</v>
      </c>
      <c r="DK41" t="e">
        <f>AND(Bills!I46,"AAAAAH3/+3I=")</f>
        <v>#VALUE!</v>
      </c>
      <c r="DL41" t="e">
        <f>AND(Bills!J46,"AAAAAH3/+3M=")</f>
        <v>#VALUE!</v>
      </c>
      <c r="DM41" t="e">
        <f>AND(Bills!K46,"AAAAAH3/+3Q=")</f>
        <v>#VALUE!</v>
      </c>
      <c r="DN41" t="e">
        <f>AND(Bills!L46,"AAAAAH3/+3U=")</f>
        <v>#VALUE!</v>
      </c>
      <c r="DO41" t="e">
        <f>AND(Bills!#REF!,"AAAAAH3/+3Y=")</f>
        <v>#REF!</v>
      </c>
      <c r="DP41" t="e">
        <f>AND(Bills!M46,"AAAAAH3/+3c=")</f>
        <v>#VALUE!</v>
      </c>
      <c r="DQ41" t="e">
        <f>AND(Bills!N46,"AAAAAH3/+3g=")</f>
        <v>#VALUE!</v>
      </c>
      <c r="DR41" t="e">
        <f>AND(Bills!O46,"AAAAAH3/+3k=")</f>
        <v>#VALUE!</v>
      </c>
      <c r="DS41" t="e">
        <f>AND(Bills!P46,"AAAAAH3/+3o=")</f>
        <v>#VALUE!</v>
      </c>
      <c r="DT41" t="e">
        <f>AND(Bills!Q46,"AAAAAH3/+3s=")</f>
        <v>#VALUE!</v>
      </c>
      <c r="DU41" t="e">
        <f>AND(Bills!R46,"AAAAAH3/+3w=")</f>
        <v>#VALUE!</v>
      </c>
      <c r="DV41" t="e">
        <f>AND(Bills!S46,"AAAAAH3/+30=")</f>
        <v>#VALUE!</v>
      </c>
      <c r="DW41" t="e">
        <f>AND(Bills!T46,"AAAAAH3/+34=")</f>
        <v>#VALUE!</v>
      </c>
      <c r="DX41" t="e">
        <f>AND(Bills!#REF!,"AAAAAH3/+38=")</f>
        <v>#REF!</v>
      </c>
      <c r="DY41" t="e">
        <f>AND(Bills!U46,"AAAAAH3/+4A=")</f>
        <v>#VALUE!</v>
      </c>
      <c r="DZ41" t="e">
        <f>AND(Bills!V46,"AAAAAH3/+4E=")</f>
        <v>#VALUE!</v>
      </c>
      <c r="EA41" t="e">
        <f>AND(Bills!W46,"AAAAAH3/+4I=")</f>
        <v>#VALUE!</v>
      </c>
      <c r="EB41" t="e">
        <f>AND(Bills!#REF!,"AAAAAH3/+4M=")</f>
        <v>#REF!</v>
      </c>
      <c r="EC41" t="e">
        <f>AND(Bills!#REF!,"AAAAAH3/+4Q=")</f>
        <v>#REF!</v>
      </c>
      <c r="ED41" t="e">
        <f>AND(Bills!Y46,"AAAAAH3/+4U=")</f>
        <v>#VALUE!</v>
      </c>
      <c r="EE41" t="e">
        <f>AND(Bills!Z46,"AAAAAH3/+4Y=")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AND(Bills!AA46,"AAAAAH3/+5A=")</f>
        <v>#VALUE!</v>
      </c>
      <c r="EP41" t="e">
        <f>AND(Bills!AB46,"AAAAAH3/+5E=")</f>
        <v>#VALUE!</v>
      </c>
      <c r="EQ41" t="e">
        <f>AND(Bills!#REF!,"AAAAAH3/+5I=")</f>
        <v>#REF!</v>
      </c>
      <c r="ER41" t="e">
        <f>AND(Bills!#REF!,"AAAAAH3/+5M=")</f>
        <v>#REF!</v>
      </c>
      <c r="ES41" t="e">
        <f>AND(Bills!#REF!,"AAAAAH3/+5Q=")</f>
        <v>#REF!</v>
      </c>
      <c r="ET41" t="e">
        <f>AND(Bills!AC46,"AAAAAH3/+5U=")</f>
        <v>#VALUE!</v>
      </c>
      <c r="EU41" t="e">
        <f>AND(Bills!AD46,"AAAAAH3/+5Y=")</f>
        <v>#VALUE!</v>
      </c>
      <c r="EV41" t="e">
        <f>AND(Bills!#REF!,"AAAAAH3/+5c=")</f>
        <v>#REF!</v>
      </c>
      <c r="EW41">
        <f>IF(Bills!47:47,"AAAAAH3/+5g=",0)</f>
        <v>0</v>
      </c>
      <c r="EX41" t="e">
        <f>AND(Bills!B47,"AAAAAH3/+5k=")</f>
        <v>#VALUE!</v>
      </c>
      <c r="EY41" t="e">
        <f>AND(Bills!#REF!,"AAAAAH3/+5o=")</f>
        <v>#REF!</v>
      </c>
      <c r="EZ41" t="e">
        <f>AND(Bills!C47,"AAAAAH3/+5s=")</f>
        <v>#VALUE!</v>
      </c>
      <c r="FA41" t="e">
        <f>AND(Bills!D47,"AAAAAH3/+5w=")</f>
        <v>#VALUE!</v>
      </c>
      <c r="FB41" t="e">
        <f>AND(Bills!E47,"AAAAAH3/+50=")</f>
        <v>#VALUE!</v>
      </c>
      <c r="FC41" t="e">
        <f>AND(Bills!#REF!,"AAAAAH3/+54=")</f>
        <v>#REF!</v>
      </c>
      <c r="FD41" t="e">
        <f>AND(Bills!#REF!,"AAAAAH3/+58=")</f>
        <v>#REF!</v>
      </c>
      <c r="FE41" t="e">
        <f>AND(Bills!#REF!,"AAAAAH3/+6A=")</f>
        <v>#REF!</v>
      </c>
      <c r="FF41" t="e">
        <f>AND(Bills!F47,"AAAAAH3/+6E=")</f>
        <v>#VALUE!</v>
      </c>
      <c r="FG41" t="e">
        <f>AND(Bills!#REF!,"AAAAAH3/+6I=")</f>
        <v>#REF!</v>
      </c>
      <c r="FH41" t="e">
        <f>AND(Bills!G47,"AAAAAH3/+6M=")</f>
        <v>#VALUE!</v>
      </c>
      <c r="FI41" t="e">
        <f>AND(Bills!H47,"AAAAAH3/+6Q=")</f>
        <v>#VALUE!</v>
      </c>
      <c r="FJ41" t="e">
        <f>AND(Bills!I47,"AAAAAH3/+6U=")</f>
        <v>#VALUE!</v>
      </c>
      <c r="FK41" t="e">
        <f>AND(Bills!J47,"AAAAAH3/+6Y=")</f>
        <v>#VALUE!</v>
      </c>
      <c r="FL41" t="e">
        <f>AND(Bills!K47,"AAAAAH3/+6c=")</f>
        <v>#VALUE!</v>
      </c>
      <c r="FM41" t="e">
        <f>AND(Bills!L47,"AAAAAH3/+6g=")</f>
        <v>#VALUE!</v>
      </c>
      <c r="FN41" t="e">
        <f>AND(Bills!#REF!,"AAAAAH3/+6k=")</f>
        <v>#REF!</v>
      </c>
      <c r="FO41" t="e">
        <f>AND(Bills!M47,"AAAAAH3/+6o=")</f>
        <v>#VALUE!</v>
      </c>
      <c r="FP41" t="e">
        <f>AND(Bills!N47,"AAAAAH3/+6s=")</f>
        <v>#VALUE!</v>
      </c>
      <c r="FQ41" t="e">
        <f>AND(Bills!O47,"AAAAAH3/+6w=")</f>
        <v>#VALUE!</v>
      </c>
      <c r="FR41" t="e">
        <f>AND(Bills!P47,"AAAAAH3/+60=")</f>
        <v>#VALUE!</v>
      </c>
      <c r="FS41" t="e">
        <f>AND(Bills!Q47,"AAAAAH3/+64=")</f>
        <v>#VALUE!</v>
      </c>
      <c r="FT41" t="e">
        <f>AND(Bills!R47,"AAAAAH3/+68=")</f>
        <v>#VALUE!</v>
      </c>
      <c r="FU41" t="e">
        <f>AND(Bills!S47,"AAAAAH3/+7A=")</f>
        <v>#VALUE!</v>
      </c>
      <c r="FV41" t="e">
        <f>AND(Bills!T47,"AAAAAH3/+7E=")</f>
        <v>#VALUE!</v>
      </c>
      <c r="FW41" t="e">
        <f>AND(Bills!#REF!,"AAAAAH3/+7I=")</f>
        <v>#REF!</v>
      </c>
      <c r="FX41" t="e">
        <f>AND(Bills!U47,"AAAAAH3/+7M=")</f>
        <v>#VALUE!</v>
      </c>
      <c r="FY41" t="e">
        <f>AND(Bills!V47,"AAAAAH3/+7Q=")</f>
        <v>#VALUE!</v>
      </c>
      <c r="FZ41" t="e">
        <f>AND(Bills!W47,"AAAAAH3/+7U=")</f>
        <v>#VALUE!</v>
      </c>
      <c r="GA41" t="e">
        <f>AND(Bills!#REF!,"AAAAAH3/+7Y=")</f>
        <v>#REF!</v>
      </c>
      <c r="GB41" t="e">
        <f>AND(Bills!#REF!,"AAAAAH3/+7c=")</f>
        <v>#REF!</v>
      </c>
      <c r="GC41" t="e">
        <f>AND(Bills!Y47,"AAAAAH3/+7g=")</f>
        <v>#VALUE!</v>
      </c>
      <c r="GD41" t="e">
        <f>AND(Bills!Z47,"AAAAAH3/+7k=")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AND(Bills!AA47,"AAAAAH3/+8M=")</f>
        <v>#VALUE!</v>
      </c>
      <c r="GO41" t="e">
        <f>AND(Bills!AB47,"AAAAAH3/+8Q=")</f>
        <v>#VALUE!</v>
      </c>
      <c r="GP41" t="e">
        <f>AND(Bills!#REF!,"AAAAAH3/+8U=")</f>
        <v>#REF!</v>
      </c>
      <c r="GQ41" t="e">
        <f>AND(Bills!#REF!,"AAAAAH3/+8Y=")</f>
        <v>#REF!</v>
      </c>
      <c r="GR41" t="e">
        <f>AND(Bills!#REF!,"AAAAAH3/+8c=")</f>
        <v>#REF!</v>
      </c>
      <c r="GS41" t="e">
        <f>AND(Bills!AC47,"AAAAAH3/+8g=")</f>
        <v>#VALUE!</v>
      </c>
      <c r="GT41" t="e">
        <f>AND(Bills!AD47,"AAAAAH3/+8k=")</f>
        <v>#VALUE!</v>
      </c>
      <c r="GU41" t="e">
        <f>AND(Bills!#REF!,"AAAAAH3/+8o=")</f>
        <v>#REF!</v>
      </c>
      <c r="GV41">
        <f>IF(Bills!48:48,"AAAAAH3/+8s=",0)</f>
        <v>0</v>
      </c>
      <c r="GW41" t="e">
        <f>AND(Bills!B48,"AAAAAH3/+8w=")</f>
        <v>#VALUE!</v>
      </c>
      <c r="GX41" t="e">
        <f>AND(Bills!#REF!,"AAAAAH3/+80=")</f>
        <v>#REF!</v>
      </c>
      <c r="GY41" t="e">
        <f>AND(Bills!C48,"AAAAAH3/+84=")</f>
        <v>#VALUE!</v>
      </c>
      <c r="GZ41" t="e">
        <f>AND(Bills!D48,"AAAAAH3/+88=")</f>
        <v>#VALUE!</v>
      </c>
      <c r="HA41" t="e">
        <f>AND(Bills!E48,"AAAAAH3/+9A=")</f>
        <v>#VALUE!</v>
      </c>
      <c r="HB41" t="e">
        <f>AND(Bills!#REF!,"AAAAAH3/+9E=")</f>
        <v>#REF!</v>
      </c>
      <c r="HC41" t="e">
        <f>AND(Bills!#REF!,"AAAAAH3/+9I=")</f>
        <v>#REF!</v>
      </c>
      <c r="HD41" t="e">
        <f>AND(Bills!#REF!,"AAAAAH3/+9M=")</f>
        <v>#REF!</v>
      </c>
      <c r="HE41" t="e">
        <f>AND(Bills!F48,"AAAAAH3/+9Q=")</f>
        <v>#VALUE!</v>
      </c>
      <c r="HF41" t="e">
        <f>AND(Bills!#REF!,"AAAAAH3/+9U=")</f>
        <v>#REF!</v>
      </c>
      <c r="HG41" t="e">
        <f>AND(Bills!G48,"AAAAAH3/+9Y=")</f>
        <v>#VALUE!</v>
      </c>
      <c r="HH41" t="e">
        <f>AND(Bills!H48,"AAAAAH3/+9c=")</f>
        <v>#VALUE!</v>
      </c>
      <c r="HI41" t="e">
        <f>AND(Bills!I48,"AAAAAH3/+9g=")</f>
        <v>#VALUE!</v>
      </c>
      <c r="HJ41" t="e">
        <f>AND(Bills!J48,"AAAAAH3/+9k=")</f>
        <v>#VALUE!</v>
      </c>
      <c r="HK41" t="e">
        <f>AND(Bills!K48,"AAAAAH3/+9o=")</f>
        <v>#VALUE!</v>
      </c>
      <c r="HL41" t="e">
        <f>AND(Bills!L48,"AAAAAH3/+9s=")</f>
        <v>#VALUE!</v>
      </c>
      <c r="HM41" t="e">
        <f>AND(Bills!#REF!,"AAAAAH3/+9w=")</f>
        <v>#REF!</v>
      </c>
      <c r="HN41" t="e">
        <f>AND(Bills!M48,"AAAAAH3/+90=")</f>
        <v>#VALUE!</v>
      </c>
      <c r="HO41" t="e">
        <f>AND(Bills!N48,"AAAAAH3/+94=")</f>
        <v>#VALUE!</v>
      </c>
      <c r="HP41" t="e">
        <f>AND(Bills!O48,"AAAAAH3/+98=")</f>
        <v>#VALUE!</v>
      </c>
      <c r="HQ41" t="e">
        <f>AND(Bills!P48,"AAAAAH3/++A=")</f>
        <v>#VALUE!</v>
      </c>
      <c r="HR41" t="e">
        <f>AND(Bills!Q48,"AAAAAH3/++E=")</f>
        <v>#VALUE!</v>
      </c>
      <c r="HS41" t="e">
        <f>AND(Bills!R48,"AAAAAH3/++I=")</f>
        <v>#VALUE!</v>
      </c>
      <c r="HT41" t="e">
        <f>AND(Bills!S48,"AAAAAH3/++M=")</f>
        <v>#VALUE!</v>
      </c>
      <c r="HU41" t="e">
        <f>AND(Bills!T48,"AAAAAH3/++Q=")</f>
        <v>#VALUE!</v>
      </c>
      <c r="HV41" t="e">
        <f>AND(Bills!#REF!,"AAAAAH3/++U=")</f>
        <v>#REF!</v>
      </c>
      <c r="HW41" t="e">
        <f>AND(Bills!U48,"AAAAAH3/++Y=")</f>
        <v>#VALUE!</v>
      </c>
      <c r="HX41" t="e">
        <f>AND(Bills!V48,"AAAAAH3/++c=")</f>
        <v>#VALUE!</v>
      </c>
      <c r="HY41" t="e">
        <f>AND(Bills!W48,"AAAAAH3/++g=")</f>
        <v>#VALUE!</v>
      </c>
      <c r="HZ41" t="e">
        <f>AND(Bills!#REF!,"AAAAAH3/++k=")</f>
        <v>#REF!</v>
      </c>
      <c r="IA41" t="e">
        <f>AND(Bills!#REF!,"AAAAAH3/++o=")</f>
        <v>#REF!</v>
      </c>
      <c r="IB41" t="e">
        <f>AND(Bills!Y48,"AAAAAH3/++s=")</f>
        <v>#VALUE!</v>
      </c>
      <c r="IC41" t="e">
        <f>AND(Bills!Z48,"AAAAAH3/++w=")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AND(Bills!AA48,"AAAAAH3/+/Y=")</f>
        <v>#VALUE!</v>
      </c>
      <c r="IN41" t="e">
        <f>AND(Bills!AB48,"AAAAAH3/+/c=")</f>
        <v>#VALUE!</v>
      </c>
      <c r="IO41" t="e">
        <f>AND(Bills!#REF!,"AAAAAH3/+/g=")</f>
        <v>#REF!</v>
      </c>
      <c r="IP41" t="e">
        <f>AND(Bills!#REF!,"AAAAAH3/+/k=")</f>
        <v>#REF!</v>
      </c>
      <c r="IQ41" t="e">
        <f>AND(Bills!#REF!,"AAAAAH3/+/o=")</f>
        <v>#REF!</v>
      </c>
      <c r="IR41" t="e">
        <f>AND(Bills!AC48,"AAAAAH3/+/s=")</f>
        <v>#VALUE!</v>
      </c>
      <c r="IS41" t="e">
        <f>AND(Bills!AD48,"AAAAAH3/+/w=")</f>
        <v>#VALUE!</v>
      </c>
      <c r="IT41" t="e">
        <f>AND(Bills!#REF!,"AAAAAH3/+/0=")</f>
        <v>#REF!</v>
      </c>
      <c r="IU41">
        <f>IF(Bills!49:49,"AAAAAH3/+/4=",0)</f>
        <v>0</v>
      </c>
      <c r="IV41" t="e">
        <f>AND(Bills!B49,"AAAAAH3/+/8=")</f>
        <v>#VALUE!</v>
      </c>
    </row>
    <row r="42" spans="1:256">
      <c r="A42" t="e">
        <f>AND(Bills!#REF!,"AAAAAEdf3wA=")</f>
        <v>#REF!</v>
      </c>
      <c r="B42" t="e">
        <f>AND(Bills!C49,"AAAAAEdf3wE=")</f>
        <v>#VALUE!</v>
      </c>
      <c r="C42" t="e">
        <f>AND(Bills!D49,"AAAAAEdf3wI=")</f>
        <v>#VALUE!</v>
      </c>
      <c r="D42" t="e">
        <f>AND(Bills!E49,"AAAAAEdf3wM=")</f>
        <v>#VALUE!</v>
      </c>
      <c r="E42" t="e">
        <f>AND(Bills!#REF!,"AAAAAEdf3wQ=")</f>
        <v>#REF!</v>
      </c>
      <c r="F42" t="e">
        <f>AND(Bills!#REF!,"AAAAAEdf3wU=")</f>
        <v>#REF!</v>
      </c>
      <c r="G42" t="e">
        <f>AND(Bills!#REF!,"AAAAAEdf3wY=")</f>
        <v>#REF!</v>
      </c>
      <c r="H42" t="e">
        <f>AND(Bills!F49,"AAAAAEdf3wc=")</f>
        <v>#VALUE!</v>
      </c>
      <c r="I42" t="e">
        <f>AND(Bills!#REF!,"AAAAAEdf3wg=")</f>
        <v>#REF!</v>
      </c>
      <c r="J42" t="e">
        <f>AND(Bills!G49,"AAAAAEdf3wk=")</f>
        <v>#VALUE!</v>
      </c>
      <c r="K42" t="e">
        <f>AND(Bills!H49,"AAAAAEdf3wo=")</f>
        <v>#VALUE!</v>
      </c>
      <c r="L42" t="e">
        <f>AND(Bills!I49,"AAAAAEdf3ws=")</f>
        <v>#VALUE!</v>
      </c>
      <c r="M42" t="e">
        <f>AND(Bills!J49,"AAAAAEdf3ww=")</f>
        <v>#VALUE!</v>
      </c>
      <c r="N42" t="e">
        <f>AND(Bills!K49,"AAAAAEdf3w0=")</f>
        <v>#VALUE!</v>
      </c>
      <c r="O42" t="e">
        <f>AND(Bills!L49,"AAAAAEdf3w4=")</f>
        <v>#VALUE!</v>
      </c>
      <c r="P42" t="e">
        <f>AND(Bills!#REF!,"AAAAAEdf3w8=")</f>
        <v>#REF!</v>
      </c>
      <c r="Q42" t="e">
        <f>AND(Bills!M49,"AAAAAEdf3xA=")</f>
        <v>#VALUE!</v>
      </c>
      <c r="R42" t="e">
        <f>AND(Bills!N49,"AAAAAEdf3xE=")</f>
        <v>#VALUE!</v>
      </c>
      <c r="S42" t="e">
        <f>AND(Bills!O49,"AAAAAEdf3xI=")</f>
        <v>#VALUE!</v>
      </c>
      <c r="T42" t="e">
        <f>AND(Bills!P49,"AAAAAEdf3xM=")</f>
        <v>#VALUE!</v>
      </c>
      <c r="U42" t="e">
        <f>AND(Bills!Q49,"AAAAAEdf3xQ=")</f>
        <v>#VALUE!</v>
      </c>
      <c r="V42" t="e">
        <f>AND(Bills!R49,"AAAAAEdf3xU=")</f>
        <v>#VALUE!</v>
      </c>
      <c r="W42" t="e">
        <f>AND(Bills!S49,"AAAAAEdf3xY=")</f>
        <v>#VALUE!</v>
      </c>
      <c r="X42" t="e">
        <f>AND(Bills!T49,"AAAAAEdf3xc=")</f>
        <v>#VALUE!</v>
      </c>
      <c r="Y42" t="e">
        <f>AND(Bills!#REF!,"AAAAAEdf3xg=")</f>
        <v>#REF!</v>
      </c>
      <c r="Z42" t="e">
        <f>AND(Bills!U49,"AAAAAEdf3xk=")</f>
        <v>#VALUE!</v>
      </c>
      <c r="AA42" t="e">
        <f>AND(Bills!V49,"AAAAAEdf3xo=")</f>
        <v>#VALUE!</v>
      </c>
      <c r="AB42" t="e">
        <f>AND(Bills!W49,"AAAAAEdf3xs=")</f>
        <v>#VALUE!</v>
      </c>
      <c r="AC42" t="e">
        <f>AND(Bills!#REF!,"AAAAAEdf3xw=")</f>
        <v>#REF!</v>
      </c>
      <c r="AD42" t="e">
        <f>AND(Bills!#REF!,"AAAAAEdf3x0=")</f>
        <v>#REF!</v>
      </c>
      <c r="AE42" t="e">
        <f>AND(Bills!Y49,"AAAAAEdf3x4=")</f>
        <v>#VALUE!</v>
      </c>
      <c r="AF42" t="e">
        <f>AND(Bills!Z49,"AAAAAEdf3x8=")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AND(Bills!AA49,"AAAAAEdf3yk=")</f>
        <v>#VALUE!</v>
      </c>
      <c r="AQ42" t="e">
        <f>AND(Bills!AB49,"AAAAAEdf3yo=")</f>
        <v>#VALUE!</v>
      </c>
      <c r="AR42" t="e">
        <f>AND(Bills!#REF!,"AAAAAEdf3ys=")</f>
        <v>#REF!</v>
      </c>
      <c r="AS42" t="e">
        <f>AND(Bills!#REF!,"AAAAAEdf3yw=")</f>
        <v>#REF!</v>
      </c>
      <c r="AT42" t="e">
        <f>AND(Bills!#REF!,"AAAAAEdf3y0=")</f>
        <v>#REF!</v>
      </c>
      <c r="AU42" t="e">
        <f>AND(Bills!AC49,"AAAAAEdf3y4=")</f>
        <v>#VALUE!</v>
      </c>
      <c r="AV42" t="e">
        <f>AND(Bills!AD49,"AAAAAEdf3y8=")</f>
        <v>#VALUE!</v>
      </c>
      <c r="AW42" t="e">
        <f>AND(Bills!#REF!,"AAAAAEdf3zA=")</f>
        <v>#REF!</v>
      </c>
      <c r="AX42">
        <f>IF(Bills!50:50,"AAAAAEdf3zE=",0)</f>
        <v>0</v>
      </c>
      <c r="AY42" t="e">
        <f>AND(Bills!B50,"AAAAAEdf3zI=")</f>
        <v>#VALUE!</v>
      </c>
      <c r="AZ42" t="e">
        <f>AND(Bills!#REF!,"AAAAAEdf3zM=")</f>
        <v>#REF!</v>
      </c>
      <c r="BA42" t="e">
        <f>AND(Bills!C50,"AAAAAEdf3zQ=")</f>
        <v>#VALUE!</v>
      </c>
      <c r="BB42" t="e">
        <f>AND(Bills!D50,"AAAAAEdf3zU=")</f>
        <v>#VALUE!</v>
      </c>
      <c r="BC42" t="e">
        <f>AND(Bills!E50,"AAAAAEdf3zY=")</f>
        <v>#VALUE!</v>
      </c>
      <c r="BD42" t="e">
        <f>AND(Bills!#REF!,"AAAAAEdf3zc=")</f>
        <v>#REF!</v>
      </c>
      <c r="BE42" t="e">
        <f>AND(Bills!#REF!,"AAAAAEdf3zg=")</f>
        <v>#REF!</v>
      </c>
      <c r="BF42" t="e">
        <f>AND(Bills!#REF!,"AAAAAEdf3zk=")</f>
        <v>#REF!</v>
      </c>
      <c r="BG42" t="e">
        <f>AND(Bills!F50,"AAAAAEdf3zo=")</f>
        <v>#VALUE!</v>
      </c>
      <c r="BH42" t="e">
        <f>AND(Bills!#REF!,"AAAAAEdf3zs=")</f>
        <v>#REF!</v>
      </c>
      <c r="BI42" t="e">
        <f>AND(Bills!G50,"AAAAAEdf3zw=")</f>
        <v>#VALUE!</v>
      </c>
      <c r="BJ42" t="e">
        <f>AND(Bills!H50,"AAAAAEdf3z0=")</f>
        <v>#VALUE!</v>
      </c>
      <c r="BK42" t="e">
        <f>AND(Bills!I50,"AAAAAEdf3z4=")</f>
        <v>#VALUE!</v>
      </c>
      <c r="BL42" t="e">
        <f>AND(Bills!J50,"AAAAAEdf3z8=")</f>
        <v>#VALUE!</v>
      </c>
      <c r="BM42" t="e">
        <f>AND(Bills!K50,"AAAAAEdf30A=")</f>
        <v>#VALUE!</v>
      </c>
      <c r="BN42" t="e">
        <f>AND(Bills!L50,"AAAAAEdf30E=")</f>
        <v>#VALUE!</v>
      </c>
      <c r="BO42" t="e">
        <f>AND(Bills!#REF!,"AAAAAEdf30I=")</f>
        <v>#REF!</v>
      </c>
      <c r="BP42" t="e">
        <f>AND(Bills!M50,"AAAAAEdf30M=")</f>
        <v>#VALUE!</v>
      </c>
      <c r="BQ42" t="e">
        <f>AND(Bills!N50,"AAAAAEdf30Q=")</f>
        <v>#VALUE!</v>
      </c>
      <c r="BR42" t="e">
        <f>AND(Bills!O50,"AAAAAEdf30U=")</f>
        <v>#VALUE!</v>
      </c>
      <c r="BS42" t="e">
        <f>AND(Bills!P50,"AAAAAEdf30Y=")</f>
        <v>#VALUE!</v>
      </c>
      <c r="BT42" t="e">
        <f>AND(Bills!Q50,"AAAAAEdf30c=")</f>
        <v>#VALUE!</v>
      </c>
      <c r="BU42" t="e">
        <f>AND(Bills!R50,"AAAAAEdf30g=")</f>
        <v>#VALUE!</v>
      </c>
      <c r="BV42" t="e">
        <f>AND(Bills!S50,"AAAAAEdf30k=")</f>
        <v>#VALUE!</v>
      </c>
      <c r="BW42" t="e">
        <f>AND(Bills!T50,"AAAAAEdf30o=")</f>
        <v>#VALUE!</v>
      </c>
      <c r="BX42" t="e">
        <f>AND(Bills!#REF!,"AAAAAEdf30s=")</f>
        <v>#REF!</v>
      </c>
      <c r="BY42" t="e">
        <f>AND(Bills!U50,"AAAAAEdf30w=")</f>
        <v>#VALUE!</v>
      </c>
      <c r="BZ42" t="e">
        <f>AND(Bills!V50,"AAAAAEdf300=")</f>
        <v>#VALUE!</v>
      </c>
      <c r="CA42" t="e">
        <f>AND(Bills!W50,"AAAAAEdf304=")</f>
        <v>#VALUE!</v>
      </c>
      <c r="CB42" t="e">
        <f>AND(Bills!#REF!,"AAAAAEdf308=")</f>
        <v>#REF!</v>
      </c>
      <c r="CC42" t="e">
        <f>AND(Bills!#REF!,"AAAAAEdf31A=")</f>
        <v>#REF!</v>
      </c>
      <c r="CD42" t="e">
        <f>AND(Bills!Y50,"AAAAAEdf31E=")</f>
        <v>#VALUE!</v>
      </c>
      <c r="CE42" t="e">
        <f>AND(Bills!Z50,"AAAAAEdf31I=")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AND(Bills!AA50,"AAAAAEdf31w=")</f>
        <v>#VALUE!</v>
      </c>
      <c r="CP42" t="e">
        <f>AND(Bills!AB50,"AAAAAEdf310=")</f>
        <v>#VALUE!</v>
      </c>
      <c r="CQ42" t="e">
        <f>AND(Bills!#REF!,"AAAAAEdf314=")</f>
        <v>#REF!</v>
      </c>
      <c r="CR42" t="e">
        <f>AND(Bills!#REF!,"AAAAAEdf318=")</f>
        <v>#REF!</v>
      </c>
      <c r="CS42" t="e">
        <f>AND(Bills!#REF!,"AAAAAEdf32A=")</f>
        <v>#REF!</v>
      </c>
      <c r="CT42" t="e">
        <f>AND(Bills!AC50,"AAAAAEdf32E=")</f>
        <v>#VALUE!</v>
      </c>
      <c r="CU42" t="e">
        <f>AND(Bills!AD50,"AAAAAEdf32I=")</f>
        <v>#VALUE!</v>
      </c>
      <c r="CV42" t="e">
        <f>AND(Bills!#REF!,"AAAAAEdf32M=")</f>
        <v>#REF!</v>
      </c>
      <c r="CW42">
        <f>IF(Bills!51:51,"AAAAAEdf32Q=",0)</f>
        <v>0</v>
      </c>
      <c r="CX42" t="e">
        <f>AND(Bills!B51,"AAAAAEdf32U=")</f>
        <v>#VALUE!</v>
      </c>
      <c r="CY42" t="e">
        <f>AND(Bills!#REF!,"AAAAAEdf32Y=")</f>
        <v>#REF!</v>
      </c>
      <c r="CZ42" t="e">
        <f>AND(Bills!C51,"AAAAAEdf32c=")</f>
        <v>#VALUE!</v>
      </c>
      <c r="DA42" t="e">
        <f>AND(Bills!D51,"AAAAAEdf32g=")</f>
        <v>#VALUE!</v>
      </c>
      <c r="DB42" t="e">
        <f>AND(Bills!E51,"AAAAAEdf32k=")</f>
        <v>#VALUE!</v>
      </c>
      <c r="DC42" t="e">
        <f>AND(Bills!#REF!,"AAAAAEdf32o=")</f>
        <v>#REF!</v>
      </c>
      <c r="DD42" t="e">
        <f>AND(Bills!#REF!,"AAAAAEdf32s=")</f>
        <v>#REF!</v>
      </c>
      <c r="DE42" t="e">
        <f>AND(Bills!#REF!,"AAAAAEdf32w=")</f>
        <v>#REF!</v>
      </c>
      <c r="DF42" t="e">
        <f>AND(Bills!F51,"AAAAAEdf320=")</f>
        <v>#VALUE!</v>
      </c>
      <c r="DG42" t="e">
        <f>AND(Bills!#REF!,"AAAAAEdf324=")</f>
        <v>#REF!</v>
      </c>
      <c r="DH42" t="e">
        <f>AND(Bills!G51,"AAAAAEdf328=")</f>
        <v>#VALUE!</v>
      </c>
      <c r="DI42" t="e">
        <f>AND(Bills!H51,"AAAAAEdf33A=")</f>
        <v>#VALUE!</v>
      </c>
      <c r="DJ42" t="e">
        <f>AND(Bills!I51,"AAAAAEdf33E=")</f>
        <v>#VALUE!</v>
      </c>
      <c r="DK42" t="e">
        <f>AND(Bills!J51,"AAAAAEdf33I=")</f>
        <v>#VALUE!</v>
      </c>
      <c r="DL42" t="e">
        <f>AND(Bills!K51,"AAAAAEdf33M=")</f>
        <v>#VALUE!</v>
      </c>
      <c r="DM42" t="e">
        <f>AND(Bills!L51,"AAAAAEdf33Q=")</f>
        <v>#VALUE!</v>
      </c>
      <c r="DN42" t="e">
        <f>AND(Bills!#REF!,"AAAAAEdf33U=")</f>
        <v>#REF!</v>
      </c>
      <c r="DO42" t="e">
        <f>AND(Bills!M51,"AAAAAEdf33Y=")</f>
        <v>#VALUE!</v>
      </c>
      <c r="DP42" t="e">
        <f>AND(Bills!N51,"AAAAAEdf33c=")</f>
        <v>#VALUE!</v>
      </c>
      <c r="DQ42" t="e">
        <f>AND(Bills!O51,"AAAAAEdf33g=")</f>
        <v>#VALUE!</v>
      </c>
      <c r="DR42" t="e">
        <f>AND(Bills!P51,"AAAAAEdf33k=")</f>
        <v>#VALUE!</v>
      </c>
      <c r="DS42" t="e">
        <f>AND(Bills!Q51,"AAAAAEdf33o=")</f>
        <v>#VALUE!</v>
      </c>
      <c r="DT42" t="e">
        <f>AND(Bills!R51,"AAAAAEdf33s=")</f>
        <v>#VALUE!</v>
      </c>
      <c r="DU42" t="e">
        <f>AND(Bills!S51,"AAAAAEdf33w=")</f>
        <v>#VALUE!</v>
      </c>
      <c r="DV42" t="e">
        <f>AND(Bills!T51,"AAAAAEdf330=")</f>
        <v>#VALUE!</v>
      </c>
      <c r="DW42" t="e">
        <f>AND(Bills!#REF!,"AAAAAEdf334=")</f>
        <v>#REF!</v>
      </c>
      <c r="DX42" t="e">
        <f>AND(Bills!U51,"AAAAAEdf338=")</f>
        <v>#VALUE!</v>
      </c>
      <c r="DY42" t="e">
        <f>AND(Bills!V51,"AAAAAEdf34A=")</f>
        <v>#VALUE!</v>
      </c>
      <c r="DZ42" t="e">
        <f>AND(Bills!W51,"AAAAAEdf34E=")</f>
        <v>#VALUE!</v>
      </c>
      <c r="EA42" t="e">
        <f>AND(Bills!#REF!,"AAAAAEdf34I=")</f>
        <v>#REF!</v>
      </c>
      <c r="EB42" t="e">
        <f>AND(Bills!#REF!,"AAAAAEdf34M=")</f>
        <v>#REF!</v>
      </c>
      <c r="EC42" t="e">
        <f>AND(Bills!Y51,"AAAAAEdf34Q=")</f>
        <v>#VALUE!</v>
      </c>
      <c r="ED42" t="e">
        <f>AND(Bills!Z51,"AAAAAEdf34U=")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AND(Bills!AA51,"AAAAAEdf348=")</f>
        <v>#VALUE!</v>
      </c>
      <c r="EO42" t="e">
        <f>AND(Bills!AB51,"AAAAAEdf35A=")</f>
        <v>#VALUE!</v>
      </c>
      <c r="EP42" t="e">
        <f>AND(Bills!#REF!,"AAAAAEdf35E=")</f>
        <v>#REF!</v>
      </c>
      <c r="EQ42" t="e">
        <f>AND(Bills!#REF!,"AAAAAEdf35I=")</f>
        <v>#REF!</v>
      </c>
      <c r="ER42" t="e">
        <f>AND(Bills!#REF!,"AAAAAEdf35M=")</f>
        <v>#REF!</v>
      </c>
      <c r="ES42" t="e">
        <f>AND(Bills!AC51,"AAAAAEdf35Q=")</f>
        <v>#VALUE!</v>
      </c>
      <c r="ET42" t="e">
        <f>AND(Bills!AD51,"AAAAAEdf35U=")</f>
        <v>#VALUE!</v>
      </c>
      <c r="EU42" t="e">
        <f>AND(Bills!#REF!,"AAAAAEdf35Y=")</f>
        <v>#REF!</v>
      </c>
      <c r="EV42">
        <f>IF(Bills!52:52,"AAAAAEdf35c=",0)</f>
        <v>0</v>
      </c>
      <c r="EW42" t="e">
        <f>AND(Bills!B52,"AAAAAEdf35g=")</f>
        <v>#VALUE!</v>
      </c>
      <c r="EX42" t="e">
        <f>AND(Bills!#REF!,"AAAAAEdf35k=")</f>
        <v>#REF!</v>
      </c>
      <c r="EY42" t="e">
        <f>AND(Bills!C52,"AAAAAEdf35o=")</f>
        <v>#VALUE!</v>
      </c>
      <c r="EZ42" t="e">
        <f>AND(Bills!D52,"AAAAAEdf35s=")</f>
        <v>#VALUE!</v>
      </c>
      <c r="FA42" t="e">
        <f>AND(Bills!E52,"AAAAAEdf35w=")</f>
        <v>#VALUE!</v>
      </c>
      <c r="FB42" t="e">
        <f>AND(Bills!#REF!,"AAAAAEdf350=")</f>
        <v>#REF!</v>
      </c>
      <c r="FC42" t="e">
        <f>AND(Bills!#REF!,"AAAAAEdf354=")</f>
        <v>#REF!</v>
      </c>
      <c r="FD42" t="e">
        <f>AND(Bills!#REF!,"AAAAAEdf358=")</f>
        <v>#REF!</v>
      </c>
      <c r="FE42" t="e">
        <f>AND(Bills!F52,"AAAAAEdf36A=")</f>
        <v>#VALUE!</v>
      </c>
      <c r="FF42" t="e">
        <f>AND(Bills!#REF!,"AAAAAEdf36E=")</f>
        <v>#REF!</v>
      </c>
      <c r="FG42" t="e">
        <f>AND(Bills!G52,"AAAAAEdf36I=")</f>
        <v>#VALUE!</v>
      </c>
      <c r="FH42" t="e">
        <f>AND(Bills!H52,"AAAAAEdf36M=")</f>
        <v>#VALUE!</v>
      </c>
      <c r="FI42" t="e">
        <f>AND(Bills!I52,"AAAAAEdf36Q=")</f>
        <v>#VALUE!</v>
      </c>
      <c r="FJ42" t="e">
        <f>AND(Bills!J52,"AAAAAEdf36U=")</f>
        <v>#VALUE!</v>
      </c>
      <c r="FK42" t="e">
        <f>AND(Bills!K52,"AAAAAEdf36Y=")</f>
        <v>#VALUE!</v>
      </c>
      <c r="FL42" t="e">
        <f>AND(Bills!L52,"AAAAAEdf36c=")</f>
        <v>#VALUE!</v>
      </c>
      <c r="FM42" t="e">
        <f>AND(Bills!#REF!,"AAAAAEdf36g=")</f>
        <v>#REF!</v>
      </c>
      <c r="FN42" t="e">
        <f>AND(Bills!M52,"AAAAAEdf36k=")</f>
        <v>#VALUE!</v>
      </c>
      <c r="FO42" t="e">
        <f>AND(Bills!N52,"AAAAAEdf36o=")</f>
        <v>#VALUE!</v>
      </c>
      <c r="FP42" t="e">
        <f>AND(Bills!O52,"AAAAAEdf36s=")</f>
        <v>#VALUE!</v>
      </c>
      <c r="FQ42" t="e">
        <f>AND(Bills!P52,"AAAAAEdf36w=")</f>
        <v>#VALUE!</v>
      </c>
      <c r="FR42" t="e">
        <f>AND(Bills!Q52,"AAAAAEdf360=")</f>
        <v>#VALUE!</v>
      </c>
      <c r="FS42" t="e">
        <f>AND(Bills!R52,"AAAAAEdf364=")</f>
        <v>#VALUE!</v>
      </c>
      <c r="FT42" t="e">
        <f>AND(Bills!S52,"AAAAAEdf368=")</f>
        <v>#VALUE!</v>
      </c>
      <c r="FU42" t="e">
        <f>AND(Bills!T52,"AAAAAEdf37A=")</f>
        <v>#VALUE!</v>
      </c>
      <c r="FV42" t="e">
        <f>AND(Bills!#REF!,"AAAAAEdf37E=")</f>
        <v>#REF!</v>
      </c>
      <c r="FW42" t="e">
        <f>AND(Bills!U52,"AAAAAEdf37I=")</f>
        <v>#VALUE!</v>
      </c>
      <c r="FX42" t="e">
        <f>AND(Bills!V52,"AAAAAEdf37M=")</f>
        <v>#VALUE!</v>
      </c>
      <c r="FY42" t="e">
        <f>AND(Bills!W52,"AAAAAEdf37Q=")</f>
        <v>#VALUE!</v>
      </c>
      <c r="FZ42" t="e">
        <f>AND(Bills!#REF!,"AAAAAEdf37U=")</f>
        <v>#REF!</v>
      </c>
      <c r="GA42" t="e">
        <f>AND(Bills!#REF!,"AAAAAEdf37Y=")</f>
        <v>#REF!</v>
      </c>
      <c r="GB42" t="e">
        <f>AND(Bills!Y52,"AAAAAEdf37c=")</f>
        <v>#VALUE!</v>
      </c>
      <c r="GC42" t="e">
        <f>AND(Bills!Z52,"AAAAAEdf37g=")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AND(Bills!AA52,"AAAAAEdf38I=")</f>
        <v>#VALUE!</v>
      </c>
      <c r="GN42" t="e">
        <f>AND(Bills!AB52,"AAAAAEdf38M=")</f>
        <v>#VALUE!</v>
      </c>
      <c r="GO42" t="e">
        <f>AND(Bills!#REF!,"AAAAAEdf38Q=")</f>
        <v>#REF!</v>
      </c>
      <c r="GP42" t="e">
        <f>AND(Bills!#REF!,"AAAAAEdf38U=")</f>
        <v>#REF!</v>
      </c>
      <c r="GQ42" t="e">
        <f>AND(Bills!#REF!,"AAAAAEdf38Y=")</f>
        <v>#REF!</v>
      </c>
      <c r="GR42" t="e">
        <f>AND(Bills!AC52,"AAAAAEdf38c=")</f>
        <v>#VALUE!</v>
      </c>
      <c r="GS42" t="e">
        <f>AND(Bills!AD52,"AAAAAEdf38g=")</f>
        <v>#VALUE!</v>
      </c>
      <c r="GT42" t="e">
        <f>AND(Bills!#REF!,"AAAAAEdf38k=")</f>
        <v>#REF!</v>
      </c>
      <c r="GU42">
        <f>IF(Bills!53:53,"AAAAAEdf38o=",0)</f>
        <v>0</v>
      </c>
      <c r="GV42" t="e">
        <f>AND(Bills!B53,"AAAAAEdf38s=")</f>
        <v>#VALUE!</v>
      </c>
      <c r="GW42" t="e">
        <f>AND(Bills!#REF!,"AAAAAEdf38w=")</f>
        <v>#REF!</v>
      </c>
      <c r="GX42" t="e">
        <f>AND(Bills!C53,"AAAAAEdf380=")</f>
        <v>#VALUE!</v>
      </c>
      <c r="GY42" t="e">
        <f>AND(Bills!D53,"AAAAAEdf384=")</f>
        <v>#VALUE!</v>
      </c>
      <c r="GZ42" t="e">
        <f>AND(Bills!E53,"AAAAAEdf388=")</f>
        <v>#VALUE!</v>
      </c>
      <c r="HA42" t="e">
        <f>AND(Bills!#REF!,"AAAAAEdf39A=")</f>
        <v>#REF!</v>
      </c>
      <c r="HB42" t="e">
        <f>AND(Bills!#REF!,"AAAAAEdf39E=")</f>
        <v>#REF!</v>
      </c>
      <c r="HC42" t="e">
        <f>AND(Bills!#REF!,"AAAAAEdf39I=")</f>
        <v>#REF!</v>
      </c>
      <c r="HD42" t="e">
        <f>AND(Bills!F53,"AAAAAEdf39M=")</f>
        <v>#VALUE!</v>
      </c>
      <c r="HE42" t="e">
        <f>AND(Bills!#REF!,"AAAAAEdf39Q=")</f>
        <v>#REF!</v>
      </c>
      <c r="HF42" t="e">
        <f>AND(Bills!G53,"AAAAAEdf39U=")</f>
        <v>#VALUE!</v>
      </c>
      <c r="HG42" t="e">
        <f>AND(Bills!H53,"AAAAAEdf39Y=")</f>
        <v>#VALUE!</v>
      </c>
      <c r="HH42" t="e">
        <f>AND(Bills!I53,"AAAAAEdf39c=")</f>
        <v>#VALUE!</v>
      </c>
      <c r="HI42" t="e">
        <f>AND(Bills!J53,"AAAAAEdf39g=")</f>
        <v>#VALUE!</v>
      </c>
      <c r="HJ42" t="e">
        <f>AND(Bills!K53,"AAAAAEdf39k=")</f>
        <v>#VALUE!</v>
      </c>
      <c r="HK42" t="e">
        <f>AND(Bills!L53,"AAAAAEdf39o=")</f>
        <v>#VALUE!</v>
      </c>
      <c r="HL42" t="e">
        <f>AND(Bills!#REF!,"AAAAAEdf39s=")</f>
        <v>#REF!</v>
      </c>
      <c r="HM42" t="e">
        <f>AND(Bills!M53,"AAAAAEdf39w=")</f>
        <v>#VALUE!</v>
      </c>
      <c r="HN42" t="e">
        <f>AND(Bills!N53,"AAAAAEdf390=")</f>
        <v>#VALUE!</v>
      </c>
      <c r="HO42" t="e">
        <f>AND(Bills!O53,"AAAAAEdf394=")</f>
        <v>#VALUE!</v>
      </c>
      <c r="HP42" t="e">
        <f>AND(Bills!P53,"AAAAAEdf398=")</f>
        <v>#VALUE!</v>
      </c>
      <c r="HQ42" t="e">
        <f>AND(Bills!Q53,"AAAAAEdf3+A=")</f>
        <v>#VALUE!</v>
      </c>
      <c r="HR42" t="e">
        <f>AND(Bills!R53,"AAAAAEdf3+E=")</f>
        <v>#VALUE!</v>
      </c>
      <c r="HS42" t="e">
        <f>AND(Bills!S53,"AAAAAEdf3+I=")</f>
        <v>#VALUE!</v>
      </c>
      <c r="HT42" t="e">
        <f>AND(Bills!T53,"AAAAAEdf3+M=")</f>
        <v>#VALUE!</v>
      </c>
      <c r="HU42" t="e">
        <f>AND(Bills!#REF!,"AAAAAEdf3+Q=")</f>
        <v>#REF!</v>
      </c>
      <c r="HV42" t="e">
        <f>AND(Bills!U53,"AAAAAEdf3+U=")</f>
        <v>#VALUE!</v>
      </c>
      <c r="HW42" t="e">
        <f>AND(Bills!V53,"AAAAAEdf3+Y=")</f>
        <v>#VALUE!</v>
      </c>
      <c r="HX42" t="e">
        <f>AND(Bills!W53,"AAAAAEdf3+c=")</f>
        <v>#VALUE!</v>
      </c>
      <c r="HY42" t="e">
        <f>AND(Bills!#REF!,"AAAAAEdf3+g=")</f>
        <v>#REF!</v>
      </c>
      <c r="HZ42" t="e">
        <f>AND(Bills!#REF!,"AAAAAEdf3+k=")</f>
        <v>#REF!</v>
      </c>
      <c r="IA42" t="e">
        <f>AND(Bills!Y53,"AAAAAEdf3+o=")</f>
        <v>#VALUE!</v>
      </c>
      <c r="IB42" t="e">
        <f>AND(Bills!Z53,"AAAAAEdf3+s=")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AND(Bills!AA53,"AAAAAEdf3/U=")</f>
        <v>#VALUE!</v>
      </c>
      <c r="IM42" t="e">
        <f>AND(Bills!AB53,"AAAAAEdf3/Y=")</f>
        <v>#VALUE!</v>
      </c>
      <c r="IN42" t="e">
        <f>AND(Bills!#REF!,"AAAAAEdf3/c=")</f>
        <v>#REF!</v>
      </c>
      <c r="IO42" t="e">
        <f>AND(Bills!#REF!,"AAAAAEdf3/g=")</f>
        <v>#REF!</v>
      </c>
      <c r="IP42" t="e">
        <f>AND(Bills!#REF!,"AAAAAEdf3/k=")</f>
        <v>#REF!</v>
      </c>
      <c r="IQ42" t="e">
        <f>AND(Bills!AC53,"AAAAAEdf3/o=")</f>
        <v>#VALUE!</v>
      </c>
      <c r="IR42" t="e">
        <f>AND(Bills!AD53,"AAAAAEdf3/s=")</f>
        <v>#VALUE!</v>
      </c>
      <c r="IS42" t="e">
        <f>AND(Bills!#REF!,"AAAAAEdf3/w=")</f>
        <v>#REF!</v>
      </c>
      <c r="IT42">
        <f>IF(Bills!54:54,"AAAAAEdf3/0=",0)</f>
        <v>0</v>
      </c>
      <c r="IU42" t="e">
        <f>AND(Bills!B54,"AAAAAEdf3/4=")</f>
        <v>#VALUE!</v>
      </c>
      <c r="IV42" t="e">
        <f>AND(Bills!#REF!,"AAAAAEdf3/8=")</f>
        <v>#REF!</v>
      </c>
    </row>
    <row r="43" spans="1:256">
      <c r="A43" t="e">
        <f>AND(Bills!C54,"AAAAAD99mQA=")</f>
        <v>#VALUE!</v>
      </c>
      <c r="B43" t="e">
        <f>AND(Bills!D54,"AAAAAD99mQE=")</f>
        <v>#VALUE!</v>
      </c>
      <c r="C43" t="e">
        <f>AND(Bills!E54,"AAAAAD99mQI=")</f>
        <v>#VALUE!</v>
      </c>
      <c r="D43" t="e">
        <f>AND(Bills!#REF!,"AAAAAD99mQM=")</f>
        <v>#REF!</v>
      </c>
      <c r="E43" t="e">
        <f>AND(Bills!#REF!,"AAAAAD99mQQ=")</f>
        <v>#REF!</v>
      </c>
      <c r="F43" t="e">
        <f>AND(Bills!#REF!,"AAAAAD99mQU=")</f>
        <v>#REF!</v>
      </c>
      <c r="G43" t="e">
        <f>AND(Bills!F54,"AAAAAD99mQY=")</f>
        <v>#VALUE!</v>
      </c>
      <c r="H43" t="e">
        <f>AND(Bills!#REF!,"AAAAAD99mQc=")</f>
        <v>#REF!</v>
      </c>
      <c r="I43" t="e">
        <f>AND(Bills!G54,"AAAAAD99mQg=")</f>
        <v>#VALUE!</v>
      </c>
      <c r="J43" t="e">
        <f>AND(Bills!H54,"AAAAAD99mQk=")</f>
        <v>#VALUE!</v>
      </c>
      <c r="K43" t="e">
        <f>AND(Bills!I54,"AAAAAD99mQo=")</f>
        <v>#VALUE!</v>
      </c>
      <c r="L43" t="e">
        <f>AND(Bills!J54,"AAAAAD99mQs=")</f>
        <v>#VALUE!</v>
      </c>
      <c r="M43" t="e">
        <f>AND(Bills!K54,"AAAAAD99mQw=")</f>
        <v>#VALUE!</v>
      </c>
      <c r="N43" t="e">
        <f>AND(Bills!L54,"AAAAAD99mQ0=")</f>
        <v>#VALUE!</v>
      </c>
      <c r="O43" t="e">
        <f>AND(Bills!#REF!,"AAAAAD99mQ4=")</f>
        <v>#REF!</v>
      </c>
      <c r="P43" t="e">
        <f>AND(Bills!M54,"AAAAAD99mQ8=")</f>
        <v>#VALUE!</v>
      </c>
      <c r="Q43" t="e">
        <f>AND(Bills!N54,"AAAAAD99mRA=")</f>
        <v>#VALUE!</v>
      </c>
      <c r="R43" t="e">
        <f>AND(Bills!O54,"AAAAAD99mRE=")</f>
        <v>#VALUE!</v>
      </c>
      <c r="S43" t="e">
        <f>AND(Bills!P54,"AAAAAD99mRI=")</f>
        <v>#VALUE!</v>
      </c>
      <c r="T43" t="e">
        <f>AND(Bills!Q54,"AAAAAD99mRM=")</f>
        <v>#VALUE!</v>
      </c>
      <c r="U43" t="e">
        <f>AND(Bills!R54,"AAAAAD99mRQ=")</f>
        <v>#VALUE!</v>
      </c>
      <c r="V43" t="e">
        <f>AND(Bills!S54,"AAAAAD99mRU=")</f>
        <v>#VALUE!</v>
      </c>
      <c r="W43" t="e">
        <f>AND(Bills!T54,"AAAAAD99mRY=")</f>
        <v>#VALUE!</v>
      </c>
      <c r="X43" t="e">
        <f>AND(Bills!#REF!,"AAAAAD99mRc=")</f>
        <v>#REF!</v>
      </c>
      <c r="Y43" t="e">
        <f>AND(Bills!U54,"AAAAAD99mRg=")</f>
        <v>#VALUE!</v>
      </c>
      <c r="Z43" t="e">
        <f>AND(Bills!V54,"AAAAAD99mRk=")</f>
        <v>#VALUE!</v>
      </c>
      <c r="AA43" t="e">
        <f>AND(Bills!W54,"AAAAAD99mRo=")</f>
        <v>#VALUE!</v>
      </c>
      <c r="AB43" t="e">
        <f>AND(Bills!#REF!,"AAAAAD99mRs=")</f>
        <v>#REF!</v>
      </c>
      <c r="AC43" t="e">
        <f>AND(Bills!#REF!,"AAAAAD99mRw=")</f>
        <v>#REF!</v>
      </c>
      <c r="AD43" t="e">
        <f>AND(Bills!Y54,"AAAAAD99mR0=")</f>
        <v>#VALUE!</v>
      </c>
      <c r="AE43" t="e">
        <f>AND(Bills!Z54,"AAAAAD99mR4=")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AND(Bills!AA54,"AAAAAD99mSg=")</f>
        <v>#VALUE!</v>
      </c>
      <c r="AP43" t="e">
        <f>AND(Bills!AB54,"AAAAAD99mSk=")</f>
        <v>#VALUE!</v>
      </c>
      <c r="AQ43" t="e">
        <f>AND(Bills!#REF!,"AAAAAD99mSo=")</f>
        <v>#REF!</v>
      </c>
      <c r="AR43" t="e">
        <f>AND(Bills!#REF!,"AAAAAD99mSs=")</f>
        <v>#REF!</v>
      </c>
      <c r="AS43" t="e">
        <f>AND(Bills!#REF!,"AAAAAD99mSw=")</f>
        <v>#REF!</v>
      </c>
      <c r="AT43" t="e">
        <f>AND(Bills!AC54,"AAAAAD99mS0=")</f>
        <v>#VALUE!</v>
      </c>
      <c r="AU43" t="e">
        <f>AND(Bills!AD54,"AAAAAD99mS4=")</f>
        <v>#VALUE!</v>
      </c>
      <c r="AV43" t="e">
        <f>AND(Bills!#REF!,"AAAAAD99mS8=")</f>
        <v>#REF!</v>
      </c>
      <c r="AW43">
        <f>IF(Bills!55:55,"AAAAAD99mTA=",0)</f>
        <v>0</v>
      </c>
      <c r="AX43" t="e">
        <f>AND(Bills!B55,"AAAAAD99mTE=")</f>
        <v>#VALUE!</v>
      </c>
      <c r="AY43" t="e">
        <f>AND(Bills!#REF!,"AAAAAD99mTI=")</f>
        <v>#REF!</v>
      </c>
      <c r="AZ43" t="e">
        <f>AND(Bills!C55,"AAAAAD99mTM=")</f>
        <v>#VALUE!</v>
      </c>
      <c r="BA43" t="e">
        <f>AND(Bills!D55,"AAAAAD99mTQ=")</f>
        <v>#VALUE!</v>
      </c>
      <c r="BB43" t="e">
        <f>AND(Bills!E55,"AAAAAD99mTU=")</f>
        <v>#VALUE!</v>
      </c>
      <c r="BC43" t="e">
        <f>AND(Bills!#REF!,"AAAAAD99mTY=")</f>
        <v>#REF!</v>
      </c>
      <c r="BD43" t="e">
        <f>AND(Bills!#REF!,"AAAAAD99mTc=")</f>
        <v>#REF!</v>
      </c>
      <c r="BE43" t="e">
        <f>AND(Bills!#REF!,"AAAAAD99mTg=")</f>
        <v>#REF!</v>
      </c>
      <c r="BF43" t="e">
        <f>AND(Bills!F55,"AAAAAD99mTk=")</f>
        <v>#VALUE!</v>
      </c>
      <c r="BG43" t="e">
        <f>AND(Bills!#REF!,"AAAAAD99mTo=")</f>
        <v>#REF!</v>
      </c>
      <c r="BH43" t="e">
        <f>AND(Bills!G55,"AAAAAD99mTs=")</f>
        <v>#VALUE!</v>
      </c>
      <c r="BI43" t="e">
        <f>AND(Bills!H55,"AAAAAD99mTw=")</f>
        <v>#VALUE!</v>
      </c>
      <c r="BJ43" t="e">
        <f>AND(Bills!I55,"AAAAAD99mT0=")</f>
        <v>#VALUE!</v>
      </c>
      <c r="BK43" t="e">
        <f>AND(Bills!J55,"AAAAAD99mT4=")</f>
        <v>#VALUE!</v>
      </c>
      <c r="BL43" t="e">
        <f>AND(Bills!K55,"AAAAAD99mT8=")</f>
        <v>#VALUE!</v>
      </c>
      <c r="BM43" t="e">
        <f>AND(Bills!L55,"AAAAAD99mUA=")</f>
        <v>#VALUE!</v>
      </c>
      <c r="BN43" t="e">
        <f>AND(Bills!#REF!,"AAAAAD99mUE=")</f>
        <v>#REF!</v>
      </c>
      <c r="BO43" t="e">
        <f>AND(Bills!M55,"AAAAAD99mUI=")</f>
        <v>#VALUE!</v>
      </c>
      <c r="BP43" t="e">
        <f>AND(Bills!N55,"AAAAAD99mUM=")</f>
        <v>#VALUE!</v>
      </c>
      <c r="BQ43" t="e">
        <f>AND(Bills!O55,"AAAAAD99mUQ=")</f>
        <v>#VALUE!</v>
      </c>
      <c r="BR43" t="e">
        <f>AND(Bills!P55,"AAAAAD99mUU=")</f>
        <v>#VALUE!</v>
      </c>
      <c r="BS43" t="e">
        <f>AND(Bills!Q55,"AAAAAD99mUY=")</f>
        <v>#VALUE!</v>
      </c>
      <c r="BT43" t="e">
        <f>AND(Bills!R55,"AAAAAD99mUc=")</f>
        <v>#VALUE!</v>
      </c>
      <c r="BU43" t="e">
        <f>AND(Bills!S55,"AAAAAD99mUg=")</f>
        <v>#VALUE!</v>
      </c>
      <c r="BV43" t="e">
        <f>AND(Bills!T55,"AAAAAD99mUk=")</f>
        <v>#VALUE!</v>
      </c>
      <c r="BW43" t="e">
        <f>AND(Bills!#REF!,"AAAAAD99mUo=")</f>
        <v>#REF!</v>
      </c>
      <c r="BX43" t="e">
        <f>AND(Bills!U55,"AAAAAD99mUs=")</f>
        <v>#VALUE!</v>
      </c>
      <c r="BY43" t="e">
        <f>AND(Bills!V55,"AAAAAD99mUw=")</f>
        <v>#VALUE!</v>
      </c>
      <c r="BZ43" t="e">
        <f>AND(Bills!W55,"AAAAAD99mU0=")</f>
        <v>#VALUE!</v>
      </c>
      <c r="CA43" t="e">
        <f>AND(Bills!#REF!,"AAAAAD99mU4=")</f>
        <v>#REF!</v>
      </c>
      <c r="CB43" t="e">
        <f>AND(Bills!#REF!,"AAAAAD99mU8=")</f>
        <v>#REF!</v>
      </c>
      <c r="CC43" t="e">
        <f>AND(Bills!Y55,"AAAAAD99mVA=")</f>
        <v>#VALUE!</v>
      </c>
      <c r="CD43" t="e">
        <f>AND(Bills!Z55,"AAAAAD99mVE=")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AND(Bills!AA55,"AAAAAD99mVs=")</f>
        <v>#VALUE!</v>
      </c>
      <c r="CO43" t="e">
        <f>AND(Bills!AB55,"AAAAAD99mVw=")</f>
        <v>#VALUE!</v>
      </c>
      <c r="CP43" t="e">
        <f>AND(Bills!#REF!,"AAAAAD99mV0=")</f>
        <v>#REF!</v>
      </c>
      <c r="CQ43" t="e">
        <f>AND(Bills!#REF!,"AAAAAD99mV4=")</f>
        <v>#REF!</v>
      </c>
      <c r="CR43" t="e">
        <f>AND(Bills!#REF!,"AAAAAD99mV8=")</f>
        <v>#REF!</v>
      </c>
      <c r="CS43" t="e">
        <f>AND(Bills!AC55,"AAAAAD99mWA=")</f>
        <v>#VALUE!</v>
      </c>
      <c r="CT43" t="e">
        <f>AND(Bills!AD55,"AAAAAD99mWE=")</f>
        <v>#VALUE!</v>
      </c>
      <c r="CU43" t="e">
        <f>AND(Bills!#REF!,"AAAAAD99mWI=")</f>
        <v>#REF!</v>
      </c>
      <c r="CV43">
        <f>IF(Bills!56:56,"AAAAAD99mWM=",0)</f>
        <v>0</v>
      </c>
      <c r="CW43" t="e">
        <f>AND(Bills!B56,"AAAAAD99mWQ=")</f>
        <v>#VALUE!</v>
      </c>
      <c r="CX43" t="e">
        <f>AND(Bills!#REF!,"AAAAAD99mWU=")</f>
        <v>#REF!</v>
      </c>
      <c r="CY43" t="e">
        <f>AND(Bills!C56,"AAAAAD99mWY=")</f>
        <v>#VALUE!</v>
      </c>
      <c r="CZ43" t="e">
        <f>AND(Bills!D56,"AAAAAD99mWc=")</f>
        <v>#VALUE!</v>
      </c>
      <c r="DA43" t="e">
        <f>AND(Bills!E56,"AAAAAD99mWg=")</f>
        <v>#VALUE!</v>
      </c>
      <c r="DB43" t="e">
        <f>AND(Bills!#REF!,"AAAAAD99mWk=")</f>
        <v>#REF!</v>
      </c>
      <c r="DC43" t="e">
        <f>AND(Bills!#REF!,"AAAAAD99mWo=")</f>
        <v>#REF!</v>
      </c>
      <c r="DD43" t="e">
        <f>AND(Bills!#REF!,"AAAAAD99mWs=")</f>
        <v>#REF!</v>
      </c>
      <c r="DE43" t="e">
        <f>AND(Bills!F56,"AAAAAD99mWw=")</f>
        <v>#VALUE!</v>
      </c>
      <c r="DF43" t="e">
        <f>AND(Bills!#REF!,"AAAAAD99mW0=")</f>
        <v>#REF!</v>
      </c>
      <c r="DG43" t="e">
        <f>AND(Bills!G56,"AAAAAD99mW4=")</f>
        <v>#VALUE!</v>
      </c>
      <c r="DH43" t="e">
        <f>AND(Bills!H56,"AAAAAD99mW8=")</f>
        <v>#VALUE!</v>
      </c>
      <c r="DI43" t="e">
        <f>AND(Bills!I56,"AAAAAD99mXA=")</f>
        <v>#VALUE!</v>
      </c>
      <c r="DJ43" t="e">
        <f>AND(Bills!J56,"AAAAAD99mXE=")</f>
        <v>#VALUE!</v>
      </c>
      <c r="DK43" t="e">
        <f>AND(Bills!K56,"AAAAAD99mXI=")</f>
        <v>#VALUE!</v>
      </c>
      <c r="DL43" t="e">
        <f>AND(Bills!L56,"AAAAAD99mXM=")</f>
        <v>#VALUE!</v>
      </c>
      <c r="DM43" t="e">
        <f>AND(Bills!#REF!,"AAAAAD99mXQ=")</f>
        <v>#REF!</v>
      </c>
      <c r="DN43" t="e">
        <f>AND(Bills!M56,"AAAAAD99mXU=")</f>
        <v>#VALUE!</v>
      </c>
      <c r="DO43" t="e">
        <f>AND(Bills!N56,"AAAAAD99mXY=")</f>
        <v>#VALUE!</v>
      </c>
      <c r="DP43" t="e">
        <f>AND(Bills!O56,"AAAAAD99mXc=")</f>
        <v>#VALUE!</v>
      </c>
      <c r="DQ43" t="e">
        <f>AND(Bills!P56,"AAAAAD99mXg=")</f>
        <v>#VALUE!</v>
      </c>
      <c r="DR43" t="e">
        <f>AND(Bills!Q56,"AAAAAD99mXk=")</f>
        <v>#VALUE!</v>
      </c>
      <c r="DS43" t="e">
        <f>AND(Bills!R56,"AAAAAD99mXo=")</f>
        <v>#VALUE!</v>
      </c>
      <c r="DT43" t="e">
        <f>AND(Bills!S56,"AAAAAD99mXs=")</f>
        <v>#VALUE!</v>
      </c>
      <c r="DU43" t="e">
        <f>AND(Bills!T56,"AAAAAD99mXw=")</f>
        <v>#VALUE!</v>
      </c>
      <c r="DV43" t="e">
        <f>AND(Bills!#REF!,"AAAAAD99mX0=")</f>
        <v>#REF!</v>
      </c>
      <c r="DW43" t="e">
        <f>AND(Bills!U56,"AAAAAD99mX4=")</f>
        <v>#VALUE!</v>
      </c>
      <c r="DX43" t="e">
        <f>AND(Bills!V56,"AAAAAD99mX8=")</f>
        <v>#VALUE!</v>
      </c>
      <c r="DY43" t="e">
        <f>AND(Bills!W56,"AAAAAD99mYA=")</f>
        <v>#VALUE!</v>
      </c>
      <c r="DZ43" t="e">
        <f>AND(Bills!#REF!,"AAAAAD99mYE=")</f>
        <v>#REF!</v>
      </c>
      <c r="EA43" t="e">
        <f>AND(Bills!#REF!,"AAAAAD99mYI=")</f>
        <v>#REF!</v>
      </c>
      <c r="EB43" t="e">
        <f>AND(Bills!Y56,"AAAAAD99mYM=")</f>
        <v>#VALUE!</v>
      </c>
      <c r="EC43" t="e">
        <f>AND(Bills!Z56,"AAAAAD99mYQ=")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AND(Bills!AA56,"AAAAAD99mY4=")</f>
        <v>#VALUE!</v>
      </c>
      <c r="EN43" t="e">
        <f>AND(Bills!AB56,"AAAAAD99mY8=")</f>
        <v>#VALUE!</v>
      </c>
      <c r="EO43" t="e">
        <f>AND(Bills!#REF!,"AAAAAD99mZA=")</f>
        <v>#REF!</v>
      </c>
      <c r="EP43" t="e">
        <f>AND(Bills!#REF!,"AAAAAD99mZE=")</f>
        <v>#REF!</v>
      </c>
      <c r="EQ43" t="e">
        <f>AND(Bills!#REF!,"AAAAAD99mZI=")</f>
        <v>#REF!</v>
      </c>
      <c r="ER43" t="e">
        <f>AND(Bills!AC56,"AAAAAD99mZM=")</f>
        <v>#VALUE!</v>
      </c>
      <c r="ES43" t="e">
        <f>AND(Bills!AD56,"AAAAAD99mZQ=")</f>
        <v>#VALUE!</v>
      </c>
      <c r="ET43" t="e">
        <f>AND(Bills!#REF!,"AAAAAD99mZU=")</f>
        <v>#REF!</v>
      </c>
      <c r="EU43">
        <f>IF(Bills!57:57,"AAAAAD99mZY=",0)</f>
        <v>0</v>
      </c>
      <c r="EV43" t="e">
        <f>AND(Bills!B57,"AAAAAD99mZc=")</f>
        <v>#VALUE!</v>
      </c>
      <c r="EW43" t="e">
        <f>AND(Bills!#REF!,"AAAAAD99mZg=")</f>
        <v>#REF!</v>
      </c>
      <c r="EX43" t="e">
        <f>AND(Bills!C57,"AAAAAD99mZk=")</f>
        <v>#VALUE!</v>
      </c>
      <c r="EY43" t="e">
        <f>AND(Bills!D57,"AAAAAD99mZo=")</f>
        <v>#VALUE!</v>
      </c>
      <c r="EZ43" t="e">
        <f>AND(Bills!E57,"AAAAAD99mZs=")</f>
        <v>#VALUE!</v>
      </c>
      <c r="FA43" t="e">
        <f>AND(Bills!#REF!,"AAAAAD99mZw=")</f>
        <v>#REF!</v>
      </c>
      <c r="FB43" t="e">
        <f>AND(Bills!#REF!,"AAAAAD99mZ0=")</f>
        <v>#REF!</v>
      </c>
      <c r="FC43" t="e">
        <f>AND(Bills!#REF!,"AAAAAD99mZ4=")</f>
        <v>#REF!</v>
      </c>
      <c r="FD43" t="e">
        <f>AND(Bills!F57,"AAAAAD99mZ8=")</f>
        <v>#VALUE!</v>
      </c>
      <c r="FE43" t="e">
        <f>AND(Bills!#REF!,"AAAAAD99maA=")</f>
        <v>#REF!</v>
      </c>
      <c r="FF43" t="e">
        <f>AND(Bills!G57,"AAAAAD99maE=")</f>
        <v>#VALUE!</v>
      </c>
      <c r="FG43" t="e">
        <f>AND(Bills!H57,"AAAAAD99maI=")</f>
        <v>#VALUE!</v>
      </c>
      <c r="FH43" t="e">
        <f>AND(Bills!I57,"AAAAAD99maM=")</f>
        <v>#VALUE!</v>
      </c>
      <c r="FI43" t="e">
        <f>AND(Bills!J57,"AAAAAD99maQ=")</f>
        <v>#VALUE!</v>
      </c>
      <c r="FJ43" t="e">
        <f>AND(Bills!K57,"AAAAAD99maU=")</f>
        <v>#VALUE!</v>
      </c>
      <c r="FK43" t="e">
        <f>AND(Bills!L57,"AAAAAD99maY=")</f>
        <v>#VALUE!</v>
      </c>
      <c r="FL43" t="e">
        <f>AND(Bills!#REF!,"AAAAAD99mac=")</f>
        <v>#REF!</v>
      </c>
      <c r="FM43" t="e">
        <f>AND(Bills!M57,"AAAAAD99mag=")</f>
        <v>#VALUE!</v>
      </c>
      <c r="FN43" t="e">
        <f>AND(Bills!N57,"AAAAAD99mak=")</f>
        <v>#VALUE!</v>
      </c>
      <c r="FO43" t="e">
        <f>AND(Bills!O57,"AAAAAD99mao=")</f>
        <v>#VALUE!</v>
      </c>
      <c r="FP43" t="e">
        <f>AND(Bills!P57,"AAAAAD99mas=")</f>
        <v>#VALUE!</v>
      </c>
      <c r="FQ43" t="e">
        <f>AND(Bills!Q57,"AAAAAD99maw=")</f>
        <v>#VALUE!</v>
      </c>
      <c r="FR43" t="e">
        <f>AND(Bills!R57,"AAAAAD99ma0=")</f>
        <v>#VALUE!</v>
      </c>
      <c r="FS43" t="e">
        <f>AND(Bills!S57,"AAAAAD99ma4=")</f>
        <v>#VALUE!</v>
      </c>
      <c r="FT43" t="e">
        <f>AND(Bills!T57,"AAAAAD99ma8=")</f>
        <v>#VALUE!</v>
      </c>
      <c r="FU43" t="e">
        <f>AND(Bills!#REF!,"AAAAAD99mbA=")</f>
        <v>#REF!</v>
      </c>
      <c r="FV43" t="e">
        <f>AND(Bills!U57,"AAAAAD99mbE=")</f>
        <v>#VALUE!</v>
      </c>
      <c r="FW43" t="e">
        <f>AND(Bills!V57,"AAAAAD99mbI=")</f>
        <v>#VALUE!</v>
      </c>
      <c r="FX43" t="e">
        <f>AND(Bills!W57,"AAAAAD99mbM=")</f>
        <v>#VALUE!</v>
      </c>
      <c r="FY43" t="e">
        <f>AND(Bills!#REF!,"AAAAAD99mbQ=")</f>
        <v>#REF!</v>
      </c>
      <c r="FZ43" t="e">
        <f>AND(Bills!#REF!,"AAAAAD99mbU=")</f>
        <v>#REF!</v>
      </c>
      <c r="GA43" t="e">
        <f>AND(Bills!Y57,"AAAAAD99mbY=")</f>
        <v>#VALUE!</v>
      </c>
      <c r="GB43" t="e">
        <f>AND(Bills!Z57,"AAAAAD99mbc=")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AND(Bills!AA57,"AAAAAD99mcE=")</f>
        <v>#VALUE!</v>
      </c>
      <c r="GM43" t="e">
        <f>AND(Bills!AB57,"AAAAAD99mcI=")</f>
        <v>#VALUE!</v>
      </c>
      <c r="GN43" t="e">
        <f>AND(Bills!#REF!,"AAAAAD99mcM=")</f>
        <v>#REF!</v>
      </c>
      <c r="GO43" t="e">
        <f>AND(Bills!#REF!,"AAAAAD99mcQ=")</f>
        <v>#REF!</v>
      </c>
      <c r="GP43" t="e">
        <f>AND(Bills!#REF!,"AAAAAD99mcU=")</f>
        <v>#REF!</v>
      </c>
      <c r="GQ43" t="e">
        <f>AND(Bills!AC57,"AAAAAD99mcY=")</f>
        <v>#VALUE!</v>
      </c>
      <c r="GR43" t="e">
        <f>AND(Bills!AD57,"AAAAAD99mcc=")</f>
        <v>#VALUE!</v>
      </c>
      <c r="GS43" t="e">
        <f>AND(Bills!#REF!,"AAAAAD99mcg=")</f>
        <v>#REF!</v>
      </c>
      <c r="GT43">
        <f>IF(Bills!58:58,"AAAAAD99mck=",0)</f>
        <v>0</v>
      </c>
      <c r="GU43" t="e">
        <f>AND(Bills!B58,"AAAAAD99mco=")</f>
        <v>#VALUE!</v>
      </c>
      <c r="GV43" t="e">
        <f>AND(Bills!#REF!,"AAAAAD99mcs=")</f>
        <v>#REF!</v>
      </c>
      <c r="GW43" t="e">
        <f>AND(Bills!C58,"AAAAAD99mcw=")</f>
        <v>#VALUE!</v>
      </c>
      <c r="GX43" t="e">
        <f>AND(Bills!D58,"AAAAAD99mc0=")</f>
        <v>#VALUE!</v>
      </c>
      <c r="GY43" t="e">
        <f>AND(Bills!E58,"AAAAAD99mc4=")</f>
        <v>#VALUE!</v>
      </c>
      <c r="GZ43" t="e">
        <f>AND(Bills!#REF!,"AAAAAD99mc8=")</f>
        <v>#REF!</v>
      </c>
      <c r="HA43" t="e">
        <f>AND(Bills!#REF!,"AAAAAD99mdA=")</f>
        <v>#REF!</v>
      </c>
      <c r="HB43" t="e">
        <f>AND(Bills!#REF!,"AAAAAD99mdE=")</f>
        <v>#REF!</v>
      </c>
      <c r="HC43" t="e">
        <f>AND(Bills!F58,"AAAAAD99mdI=")</f>
        <v>#VALUE!</v>
      </c>
      <c r="HD43" t="e">
        <f>AND(Bills!#REF!,"AAAAAD99mdM=")</f>
        <v>#REF!</v>
      </c>
      <c r="HE43" t="e">
        <f>AND(Bills!G58,"AAAAAD99mdQ=")</f>
        <v>#VALUE!</v>
      </c>
      <c r="HF43" t="e">
        <f>AND(Bills!H58,"AAAAAD99mdU=")</f>
        <v>#VALUE!</v>
      </c>
      <c r="HG43" t="e">
        <f>AND(Bills!I58,"AAAAAD99mdY=")</f>
        <v>#VALUE!</v>
      </c>
      <c r="HH43" t="e">
        <f>AND(Bills!J58,"AAAAAD99mdc=")</f>
        <v>#VALUE!</v>
      </c>
      <c r="HI43" t="e">
        <f>AND(Bills!K58,"AAAAAD99mdg=")</f>
        <v>#VALUE!</v>
      </c>
      <c r="HJ43" t="e">
        <f>AND(Bills!L58,"AAAAAD99mdk=")</f>
        <v>#VALUE!</v>
      </c>
      <c r="HK43" t="e">
        <f>AND(Bills!#REF!,"AAAAAD99mdo=")</f>
        <v>#REF!</v>
      </c>
      <c r="HL43" t="e">
        <f>AND(Bills!M58,"AAAAAD99mds=")</f>
        <v>#VALUE!</v>
      </c>
      <c r="HM43" t="e">
        <f>AND(Bills!N58,"AAAAAD99mdw=")</f>
        <v>#VALUE!</v>
      </c>
      <c r="HN43" t="e">
        <f>AND(Bills!O58,"AAAAAD99md0=")</f>
        <v>#VALUE!</v>
      </c>
      <c r="HO43" t="e">
        <f>AND(Bills!P58,"AAAAAD99md4=")</f>
        <v>#VALUE!</v>
      </c>
      <c r="HP43" t="e">
        <f>AND(Bills!Q58,"AAAAAD99md8=")</f>
        <v>#VALUE!</v>
      </c>
      <c r="HQ43" t="e">
        <f>AND(Bills!R58,"AAAAAD99meA=")</f>
        <v>#VALUE!</v>
      </c>
      <c r="HR43" t="e">
        <f>AND(Bills!S58,"AAAAAD99meE=")</f>
        <v>#VALUE!</v>
      </c>
      <c r="HS43" t="e">
        <f>AND(Bills!T58,"AAAAAD99meI=")</f>
        <v>#VALUE!</v>
      </c>
      <c r="HT43" t="e">
        <f>AND(Bills!#REF!,"AAAAAD99meM=")</f>
        <v>#REF!</v>
      </c>
      <c r="HU43" t="e">
        <f>AND(Bills!U58,"AAAAAD99meQ=")</f>
        <v>#VALUE!</v>
      </c>
      <c r="HV43" t="e">
        <f>AND(Bills!V58,"AAAAAD99meU=")</f>
        <v>#VALUE!</v>
      </c>
      <c r="HW43" t="e">
        <f>AND(Bills!W58,"AAAAAD99meY=")</f>
        <v>#VALUE!</v>
      </c>
      <c r="HX43" t="e">
        <f>AND(Bills!#REF!,"AAAAAD99mec=")</f>
        <v>#REF!</v>
      </c>
      <c r="HY43" t="e">
        <f>AND(Bills!#REF!,"AAAAAD99meg=")</f>
        <v>#REF!</v>
      </c>
      <c r="HZ43" t="e">
        <f>AND(Bills!Y58,"AAAAAD99mek=")</f>
        <v>#VALUE!</v>
      </c>
      <c r="IA43" t="e">
        <f>AND(Bills!Z58,"AAAAAD99meo=")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AND(Bills!AA58,"AAAAAD99mfQ=")</f>
        <v>#VALUE!</v>
      </c>
      <c r="IL43" t="e">
        <f>AND(Bills!AB58,"AAAAAD99mfU=")</f>
        <v>#VALUE!</v>
      </c>
      <c r="IM43" t="e">
        <f>AND(Bills!#REF!,"AAAAAD99mfY=")</f>
        <v>#REF!</v>
      </c>
      <c r="IN43" t="e">
        <f>AND(Bills!#REF!,"AAAAAD99mfc=")</f>
        <v>#REF!</v>
      </c>
      <c r="IO43" t="e">
        <f>AND(Bills!#REF!,"AAAAAD99mfg=")</f>
        <v>#REF!</v>
      </c>
      <c r="IP43" t="e">
        <f>AND(Bills!AC58,"AAAAAD99mfk=")</f>
        <v>#VALUE!</v>
      </c>
      <c r="IQ43" t="e">
        <f>AND(Bills!AD58,"AAAAAD99mfo=")</f>
        <v>#VALUE!</v>
      </c>
      <c r="IR43" t="e">
        <f>AND(Bills!#REF!,"AAAAAD99mfs=")</f>
        <v>#REF!</v>
      </c>
      <c r="IS43">
        <f>IF(Bills!59:59,"AAAAAD99mfw=",0)</f>
        <v>0</v>
      </c>
      <c r="IT43" t="e">
        <f>AND(Bills!B59,"AAAAAD99mf0=")</f>
        <v>#VALUE!</v>
      </c>
      <c r="IU43" t="e">
        <f>AND(Bills!#REF!,"AAAAAD99mf4=")</f>
        <v>#REF!</v>
      </c>
      <c r="IV43" t="e">
        <f>AND(Bills!C59,"AAAAAD99mf8=")</f>
        <v>#VALUE!</v>
      </c>
    </row>
    <row r="44" spans="1:256">
      <c r="A44" t="e">
        <f>AND(Bills!D59,"AAAAAHt/+wA=")</f>
        <v>#VALUE!</v>
      </c>
      <c r="B44" t="e">
        <f>AND(Bills!E59,"AAAAAHt/+wE=")</f>
        <v>#VALUE!</v>
      </c>
      <c r="C44" t="e">
        <f>AND(Bills!#REF!,"AAAAAHt/+wI=")</f>
        <v>#REF!</v>
      </c>
      <c r="D44" t="e">
        <f>AND(Bills!#REF!,"AAAAAHt/+wM=")</f>
        <v>#REF!</v>
      </c>
      <c r="E44" t="e">
        <f>AND(Bills!#REF!,"AAAAAHt/+wQ=")</f>
        <v>#REF!</v>
      </c>
      <c r="F44" t="e">
        <f>AND(Bills!F59,"AAAAAHt/+wU=")</f>
        <v>#VALUE!</v>
      </c>
      <c r="G44" t="e">
        <f>AND(Bills!#REF!,"AAAAAHt/+wY=")</f>
        <v>#REF!</v>
      </c>
      <c r="H44" t="e">
        <f>AND(Bills!G59,"AAAAAHt/+wc=")</f>
        <v>#VALUE!</v>
      </c>
      <c r="I44" t="e">
        <f>AND(Bills!H59,"AAAAAHt/+wg=")</f>
        <v>#VALUE!</v>
      </c>
      <c r="J44" t="e">
        <f>AND(Bills!I59,"AAAAAHt/+wk=")</f>
        <v>#VALUE!</v>
      </c>
      <c r="K44" t="e">
        <f>AND(Bills!J59,"AAAAAHt/+wo=")</f>
        <v>#VALUE!</v>
      </c>
      <c r="L44" t="e">
        <f>AND(Bills!K59,"AAAAAHt/+ws=")</f>
        <v>#VALUE!</v>
      </c>
      <c r="M44" t="e">
        <f>AND(Bills!L59,"AAAAAHt/+ww=")</f>
        <v>#VALUE!</v>
      </c>
      <c r="N44" t="e">
        <f>AND(Bills!#REF!,"AAAAAHt/+w0=")</f>
        <v>#REF!</v>
      </c>
      <c r="O44" t="e">
        <f>AND(Bills!M59,"AAAAAHt/+w4=")</f>
        <v>#VALUE!</v>
      </c>
      <c r="P44" t="e">
        <f>AND(Bills!N59,"AAAAAHt/+w8=")</f>
        <v>#VALUE!</v>
      </c>
      <c r="Q44" t="e">
        <f>AND(Bills!O59,"AAAAAHt/+xA=")</f>
        <v>#VALUE!</v>
      </c>
      <c r="R44" t="e">
        <f>AND(Bills!P59,"AAAAAHt/+xE=")</f>
        <v>#VALUE!</v>
      </c>
      <c r="S44" t="e">
        <f>AND(Bills!Q59,"AAAAAHt/+xI=")</f>
        <v>#VALUE!</v>
      </c>
      <c r="T44" t="e">
        <f>AND(Bills!R59,"AAAAAHt/+xM=")</f>
        <v>#VALUE!</v>
      </c>
      <c r="U44" t="e">
        <f>AND(Bills!S59,"AAAAAHt/+xQ=")</f>
        <v>#VALUE!</v>
      </c>
      <c r="V44" t="e">
        <f>AND(Bills!T59,"AAAAAHt/+xU=")</f>
        <v>#VALUE!</v>
      </c>
      <c r="W44" t="e">
        <f>AND(Bills!#REF!,"AAAAAHt/+xY=")</f>
        <v>#REF!</v>
      </c>
      <c r="X44" t="e">
        <f>AND(Bills!U59,"AAAAAHt/+xc=")</f>
        <v>#VALUE!</v>
      </c>
      <c r="Y44" t="e">
        <f>AND(Bills!V59,"AAAAAHt/+xg=")</f>
        <v>#VALUE!</v>
      </c>
      <c r="Z44" t="e">
        <f>AND(Bills!W59,"AAAAAHt/+xk=")</f>
        <v>#VALUE!</v>
      </c>
      <c r="AA44" t="e">
        <f>AND(Bills!#REF!,"AAAAAHt/+xo=")</f>
        <v>#REF!</v>
      </c>
      <c r="AB44" t="e">
        <f>AND(Bills!#REF!,"AAAAAHt/+xs=")</f>
        <v>#REF!</v>
      </c>
      <c r="AC44" t="e">
        <f>AND(Bills!Y59,"AAAAAHt/+xw=")</f>
        <v>#VALUE!</v>
      </c>
      <c r="AD44" t="e">
        <f>AND(Bills!Z59,"AAAAAHt/+x0=")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AND(Bills!AA59,"AAAAAHt/+yc=")</f>
        <v>#VALUE!</v>
      </c>
      <c r="AO44" t="e">
        <f>AND(Bills!AB59,"AAAAAHt/+yg=")</f>
        <v>#VALUE!</v>
      </c>
      <c r="AP44" t="e">
        <f>AND(Bills!#REF!,"AAAAAHt/+yk=")</f>
        <v>#REF!</v>
      </c>
      <c r="AQ44" t="e">
        <f>AND(Bills!#REF!,"AAAAAHt/+yo=")</f>
        <v>#REF!</v>
      </c>
      <c r="AR44" t="e">
        <f>AND(Bills!#REF!,"AAAAAHt/+ys=")</f>
        <v>#REF!</v>
      </c>
      <c r="AS44" t="e">
        <f>AND(Bills!AC59,"AAAAAHt/+yw=")</f>
        <v>#VALUE!</v>
      </c>
      <c r="AT44" t="e">
        <f>AND(Bills!AD59,"AAAAAHt/+y0=")</f>
        <v>#VALUE!</v>
      </c>
      <c r="AU44" t="e">
        <f>AND(Bills!#REF!,"AAAAAHt/+y4=")</f>
        <v>#REF!</v>
      </c>
      <c r="AV44">
        <f>IF(Bills!60:60,"AAAAAHt/+y8=",0)</f>
        <v>0</v>
      </c>
      <c r="AW44" t="e">
        <f>AND(Bills!B60,"AAAAAHt/+zA=")</f>
        <v>#VALUE!</v>
      </c>
      <c r="AX44" t="e">
        <f>AND(Bills!#REF!,"AAAAAHt/+zE=")</f>
        <v>#REF!</v>
      </c>
      <c r="AY44" t="e">
        <f>AND(Bills!C60,"AAAAAHt/+zI=")</f>
        <v>#VALUE!</v>
      </c>
      <c r="AZ44" t="e">
        <f>AND(Bills!D60,"AAAAAHt/+zM=")</f>
        <v>#VALUE!</v>
      </c>
      <c r="BA44" t="e">
        <f>AND(Bills!E60,"AAAAAHt/+zQ=")</f>
        <v>#VALUE!</v>
      </c>
      <c r="BB44" t="e">
        <f>AND(Bills!#REF!,"AAAAAHt/+zU=")</f>
        <v>#REF!</v>
      </c>
      <c r="BC44" t="e">
        <f>AND(Bills!#REF!,"AAAAAHt/+zY=")</f>
        <v>#REF!</v>
      </c>
      <c r="BD44" t="e">
        <f>AND(Bills!#REF!,"AAAAAHt/+zc=")</f>
        <v>#REF!</v>
      </c>
      <c r="BE44" t="e">
        <f>AND(Bills!F60,"AAAAAHt/+zg=")</f>
        <v>#VALUE!</v>
      </c>
      <c r="BF44" t="e">
        <f>AND(Bills!#REF!,"AAAAAHt/+zk=")</f>
        <v>#REF!</v>
      </c>
      <c r="BG44" t="e">
        <f>AND(Bills!G60,"AAAAAHt/+zo=")</f>
        <v>#VALUE!</v>
      </c>
      <c r="BH44" t="e">
        <f>AND(Bills!H60,"AAAAAHt/+zs=")</f>
        <v>#VALUE!</v>
      </c>
      <c r="BI44" t="e">
        <f>AND(Bills!I60,"AAAAAHt/+zw=")</f>
        <v>#VALUE!</v>
      </c>
      <c r="BJ44" t="e">
        <f>AND(Bills!J60,"AAAAAHt/+z0=")</f>
        <v>#VALUE!</v>
      </c>
      <c r="BK44" t="e">
        <f>AND(Bills!K60,"AAAAAHt/+z4=")</f>
        <v>#VALUE!</v>
      </c>
      <c r="BL44" t="e">
        <f>AND(Bills!L60,"AAAAAHt/+z8=")</f>
        <v>#VALUE!</v>
      </c>
      <c r="BM44" t="e">
        <f>AND(Bills!#REF!,"AAAAAHt/+0A=")</f>
        <v>#REF!</v>
      </c>
      <c r="BN44" t="e">
        <f>AND(Bills!M60,"AAAAAHt/+0E=")</f>
        <v>#VALUE!</v>
      </c>
      <c r="BO44" t="e">
        <f>AND(Bills!N60,"AAAAAHt/+0I=")</f>
        <v>#VALUE!</v>
      </c>
      <c r="BP44" t="e">
        <f>AND(Bills!O60,"AAAAAHt/+0M=")</f>
        <v>#VALUE!</v>
      </c>
      <c r="BQ44" t="e">
        <f>AND(Bills!P60,"AAAAAHt/+0Q=")</f>
        <v>#VALUE!</v>
      </c>
      <c r="BR44" t="e">
        <f>AND(Bills!Q60,"AAAAAHt/+0U=")</f>
        <v>#VALUE!</v>
      </c>
      <c r="BS44" t="e">
        <f>AND(Bills!R60,"AAAAAHt/+0Y=")</f>
        <v>#VALUE!</v>
      </c>
      <c r="BT44" t="e">
        <f>AND(Bills!S60,"AAAAAHt/+0c=")</f>
        <v>#VALUE!</v>
      </c>
      <c r="BU44" t="e">
        <f>AND(Bills!T60,"AAAAAHt/+0g=")</f>
        <v>#VALUE!</v>
      </c>
      <c r="BV44" t="e">
        <f>AND(Bills!#REF!,"AAAAAHt/+0k=")</f>
        <v>#REF!</v>
      </c>
      <c r="BW44" t="e">
        <f>AND(Bills!U60,"AAAAAHt/+0o=")</f>
        <v>#VALUE!</v>
      </c>
      <c r="BX44" t="e">
        <f>AND(Bills!V60,"AAAAAHt/+0s=")</f>
        <v>#VALUE!</v>
      </c>
      <c r="BY44" t="e">
        <f>AND(Bills!W60,"AAAAAHt/+0w=")</f>
        <v>#VALUE!</v>
      </c>
      <c r="BZ44" t="e">
        <f>AND(Bills!#REF!,"AAAAAHt/+00=")</f>
        <v>#REF!</v>
      </c>
      <c r="CA44" t="e">
        <f>AND(Bills!#REF!,"AAAAAHt/+04=")</f>
        <v>#REF!</v>
      </c>
      <c r="CB44" t="e">
        <f>AND(Bills!Y60,"AAAAAHt/+08=")</f>
        <v>#VALUE!</v>
      </c>
      <c r="CC44" t="e">
        <f>AND(Bills!Z60,"AAAAAHt/+1A=")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AND(Bills!AA60,"AAAAAHt/+1o=")</f>
        <v>#VALUE!</v>
      </c>
      <c r="CN44" t="e">
        <f>AND(Bills!AB60,"AAAAAHt/+1s=")</f>
        <v>#VALUE!</v>
      </c>
      <c r="CO44" t="e">
        <f>AND(Bills!#REF!,"AAAAAHt/+1w=")</f>
        <v>#REF!</v>
      </c>
      <c r="CP44" t="e">
        <f>AND(Bills!#REF!,"AAAAAHt/+10=")</f>
        <v>#REF!</v>
      </c>
      <c r="CQ44" t="e">
        <f>AND(Bills!#REF!,"AAAAAHt/+14=")</f>
        <v>#REF!</v>
      </c>
      <c r="CR44" t="e">
        <f>AND(Bills!AC60,"AAAAAHt/+18=")</f>
        <v>#VALUE!</v>
      </c>
      <c r="CS44" t="e">
        <f>AND(Bills!AD60,"AAAAAHt/+2A=")</f>
        <v>#VALUE!</v>
      </c>
      <c r="CT44" t="e">
        <f>AND(Bills!#REF!,"AAAAAHt/+2E=")</f>
        <v>#REF!</v>
      </c>
      <c r="CU44">
        <f>IF(Bills!61:61,"AAAAAHt/+2I=",0)</f>
        <v>0</v>
      </c>
      <c r="CV44" t="e">
        <f>AND(Bills!B61,"AAAAAHt/+2M=")</f>
        <v>#VALUE!</v>
      </c>
      <c r="CW44" t="e">
        <f>AND(Bills!#REF!,"AAAAAHt/+2Q=")</f>
        <v>#REF!</v>
      </c>
      <c r="CX44" t="e">
        <f>AND(Bills!C61,"AAAAAHt/+2U=")</f>
        <v>#VALUE!</v>
      </c>
      <c r="CY44" t="e">
        <f>AND(Bills!D61,"AAAAAHt/+2Y=")</f>
        <v>#VALUE!</v>
      </c>
      <c r="CZ44" t="e">
        <f>AND(Bills!E61,"AAAAAHt/+2c=")</f>
        <v>#VALUE!</v>
      </c>
      <c r="DA44" t="e">
        <f>AND(Bills!#REF!,"AAAAAHt/+2g=")</f>
        <v>#REF!</v>
      </c>
      <c r="DB44" t="e">
        <f>AND(Bills!#REF!,"AAAAAHt/+2k=")</f>
        <v>#REF!</v>
      </c>
      <c r="DC44" t="e">
        <f>AND(Bills!#REF!,"AAAAAHt/+2o=")</f>
        <v>#REF!</v>
      </c>
      <c r="DD44" t="e">
        <f>AND(Bills!F61,"AAAAAHt/+2s=")</f>
        <v>#VALUE!</v>
      </c>
      <c r="DE44" t="e">
        <f>AND(Bills!#REF!,"AAAAAHt/+2w=")</f>
        <v>#REF!</v>
      </c>
      <c r="DF44" t="e">
        <f>AND(Bills!G61,"AAAAAHt/+20=")</f>
        <v>#VALUE!</v>
      </c>
      <c r="DG44" t="e">
        <f>AND(Bills!H61,"AAAAAHt/+24=")</f>
        <v>#VALUE!</v>
      </c>
      <c r="DH44" t="e">
        <f>AND(Bills!I61,"AAAAAHt/+28=")</f>
        <v>#VALUE!</v>
      </c>
      <c r="DI44" t="e">
        <f>AND(Bills!J61,"AAAAAHt/+3A=")</f>
        <v>#VALUE!</v>
      </c>
      <c r="DJ44" t="e">
        <f>AND(Bills!K61,"AAAAAHt/+3E=")</f>
        <v>#VALUE!</v>
      </c>
      <c r="DK44" t="e">
        <f>AND(Bills!L61,"AAAAAHt/+3I=")</f>
        <v>#VALUE!</v>
      </c>
      <c r="DL44" t="e">
        <f>AND(Bills!#REF!,"AAAAAHt/+3M=")</f>
        <v>#REF!</v>
      </c>
      <c r="DM44" t="e">
        <f>AND(Bills!M61,"AAAAAHt/+3Q=")</f>
        <v>#VALUE!</v>
      </c>
      <c r="DN44" t="e">
        <f>AND(Bills!N61,"AAAAAHt/+3U=")</f>
        <v>#VALUE!</v>
      </c>
      <c r="DO44" t="e">
        <f>AND(Bills!O61,"AAAAAHt/+3Y=")</f>
        <v>#VALUE!</v>
      </c>
      <c r="DP44" t="e">
        <f>AND(Bills!P61,"AAAAAHt/+3c=")</f>
        <v>#VALUE!</v>
      </c>
      <c r="DQ44" t="e">
        <f>AND(Bills!Q61,"AAAAAHt/+3g=")</f>
        <v>#VALUE!</v>
      </c>
      <c r="DR44" t="e">
        <f>AND(Bills!R61,"AAAAAHt/+3k=")</f>
        <v>#VALUE!</v>
      </c>
      <c r="DS44" t="e">
        <f>AND(Bills!S61,"AAAAAHt/+3o=")</f>
        <v>#VALUE!</v>
      </c>
      <c r="DT44" t="e">
        <f>AND(Bills!T61,"AAAAAHt/+3s=")</f>
        <v>#VALUE!</v>
      </c>
      <c r="DU44" t="e">
        <f>AND(Bills!#REF!,"AAAAAHt/+3w=")</f>
        <v>#REF!</v>
      </c>
      <c r="DV44" t="e">
        <f>AND(Bills!U61,"AAAAAHt/+30=")</f>
        <v>#VALUE!</v>
      </c>
      <c r="DW44" t="e">
        <f>AND(Bills!V61,"AAAAAHt/+34=")</f>
        <v>#VALUE!</v>
      </c>
      <c r="DX44" t="e">
        <f>AND(Bills!W61,"AAAAAHt/+38=")</f>
        <v>#VALUE!</v>
      </c>
      <c r="DY44" t="e">
        <f>AND(Bills!#REF!,"AAAAAHt/+4A=")</f>
        <v>#REF!</v>
      </c>
      <c r="DZ44" t="e">
        <f>AND(Bills!#REF!,"AAAAAHt/+4E=")</f>
        <v>#REF!</v>
      </c>
      <c r="EA44" t="e">
        <f>AND(Bills!Y61,"AAAAAHt/+4I=")</f>
        <v>#VALUE!</v>
      </c>
      <c r="EB44" t="e">
        <f>AND(Bills!Z61,"AAAAAHt/+4M=")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AND(Bills!AA61,"AAAAAHt/+40=")</f>
        <v>#VALUE!</v>
      </c>
      <c r="EM44" t="e">
        <f>AND(Bills!AB61,"AAAAAHt/+44=")</f>
        <v>#VALUE!</v>
      </c>
      <c r="EN44" t="e">
        <f>AND(Bills!#REF!,"AAAAAHt/+48=")</f>
        <v>#REF!</v>
      </c>
      <c r="EO44" t="e">
        <f>AND(Bills!#REF!,"AAAAAHt/+5A=")</f>
        <v>#REF!</v>
      </c>
      <c r="EP44" t="e">
        <f>AND(Bills!#REF!,"AAAAAHt/+5E=")</f>
        <v>#REF!</v>
      </c>
      <c r="EQ44" t="e">
        <f>AND(Bills!AC61,"AAAAAHt/+5I=")</f>
        <v>#VALUE!</v>
      </c>
      <c r="ER44" t="e">
        <f>AND(Bills!AD61,"AAAAAHt/+5M=")</f>
        <v>#VALUE!</v>
      </c>
      <c r="ES44" t="e">
        <f>AND(Bills!#REF!,"AAAAAHt/+5Q=")</f>
        <v>#REF!</v>
      </c>
      <c r="ET44">
        <f>IF(Bills!62:62,"AAAAAHt/+5U=",0)</f>
        <v>0</v>
      </c>
      <c r="EU44" t="e">
        <f>AND(Bills!B62,"AAAAAHt/+5Y=")</f>
        <v>#VALUE!</v>
      </c>
      <c r="EV44" t="e">
        <f>AND(Bills!#REF!,"AAAAAHt/+5c=")</f>
        <v>#REF!</v>
      </c>
      <c r="EW44" t="e">
        <f>AND(Bills!C62,"AAAAAHt/+5g=")</f>
        <v>#VALUE!</v>
      </c>
      <c r="EX44" t="e">
        <f>AND(Bills!D62,"AAAAAHt/+5k=")</f>
        <v>#VALUE!</v>
      </c>
      <c r="EY44" t="e">
        <f>AND(Bills!E62,"AAAAAHt/+5o=")</f>
        <v>#VALUE!</v>
      </c>
      <c r="EZ44" t="e">
        <f>AND(Bills!#REF!,"AAAAAHt/+5s=")</f>
        <v>#REF!</v>
      </c>
      <c r="FA44" t="e">
        <f>AND(Bills!#REF!,"AAAAAHt/+5w=")</f>
        <v>#REF!</v>
      </c>
      <c r="FB44" t="e">
        <f>AND(Bills!#REF!,"AAAAAHt/+50=")</f>
        <v>#REF!</v>
      </c>
      <c r="FC44" t="e">
        <f>AND(Bills!F62,"AAAAAHt/+54=")</f>
        <v>#VALUE!</v>
      </c>
      <c r="FD44" t="e">
        <f>AND(Bills!#REF!,"AAAAAHt/+58=")</f>
        <v>#REF!</v>
      </c>
      <c r="FE44" t="e">
        <f>AND(Bills!G62,"AAAAAHt/+6A=")</f>
        <v>#VALUE!</v>
      </c>
      <c r="FF44" t="e">
        <f>AND(Bills!H62,"AAAAAHt/+6E=")</f>
        <v>#VALUE!</v>
      </c>
      <c r="FG44" t="e">
        <f>AND(Bills!I62,"AAAAAHt/+6I=")</f>
        <v>#VALUE!</v>
      </c>
      <c r="FH44" t="e">
        <f>AND(Bills!J62,"AAAAAHt/+6M=")</f>
        <v>#VALUE!</v>
      </c>
      <c r="FI44" t="e">
        <f>AND(Bills!K62,"AAAAAHt/+6Q=")</f>
        <v>#VALUE!</v>
      </c>
      <c r="FJ44" t="e">
        <f>AND(Bills!L62,"AAAAAHt/+6U=")</f>
        <v>#VALUE!</v>
      </c>
      <c r="FK44" t="e">
        <f>AND(Bills!#REF!,"AAAAAHt/+6Y=")</f>
        <v>#REF!</v>
      </c>
      <c r="FL44" t="e">
        <f>AND(Bills!M62,"AAAAAHt/+6c=")</f>
        <v>#VALUE!</v>
      </c>
      <c r="FM44" t="e">
        <f>AND(Bills!N62,"AAAAAHt/+6g=")</f>
        <v>#VALUE!</v>
      </c>
      <c r="FN44" t="e">
        <f>AND(Bills!O62,"AAAAAHt/+6k=")</f>
        <v>#VALUE!</v>
      </c>
      <c r="FO44" t="e">
        <f>AND(Bills!P62,"AAAAAHt/+6o=")</f>
        <v>#VALUE!</v>
      </c>
      <c r="FP44" t="e">
        <f>AND(Bills!Q62,"AAAAAHt/+6s=")</f>
        <v>#VALUE!</v>
      </c>
      <c r="FQ44" t="e">
        <f>AND(Bills!R62,"AAAAAHt/+6w=")</f>
        <v>#VALUE!</v>
      </c>
      <c r="FR44" t="e">
        <f>AND(Bills!S62,"AAAAAHt/+60=")</f>
        <v>#VALUE!</v>
      </c>
      <c r="FS44" t="e">
        <f>AND(Bills!T62,"AAAAAHt/+64=")</f>
        <v>#VALUE!</v>
      </c>
      <c r="FT44" t="e">
        <f>AND(Bills!#REF!,"AAAAAHt/+68=")</f>
        <v>#REF!</v>
      </c>
      <c r="FU44" t="e">
        <f>AND(Bills!U62,"AAAAAHt/+7A=")</f>
        <v>#VALUE!</v>
      </c>
      <c r="FV44" t="e">
        <f>AND(Bills!V62,"AAAAAHt/+7E=")</f>
        <v>#VALUE!</v>
      </c>
      <c r="FW44" t="e">
        <f>AND(Bills!W62,"AAAAAHt/+7I=")</f>
        <v>#VALUE!</v>
      </c>
      <c r="FX44" t="e">
        <f>AND(Bills!#REF!,"AAAAAHt/+7M=")</f>
        <v>#REF!</v>
      </c>
      <c r="FY44" t="e">
        <f>AND(Bills!#REF!,"AAAAAHt/+7Q=")</f>
        <v>#REF!</v>
      </c>
      <c r="FZ44" t="e">
        <f>AND(Bills!Y62,"AAAAAHt/+7U=")</f>
        <v>#VALUE!</v>
      </c>
      <c r="GA44" t="e">
        <f>AND(Bills!Z62,"AAAAAHt/+7Y=")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AND(Bills!AA62,"AAAAAHt/+8A=")</f>
        <v>#VALUE!</v>
      </c>
      <c r="GL44" t="e">
        <f>AND(Bills!AB62,"AAAAAHt/+8E=")</f>
        <v>#VALUE!</v>
      </c>
      <c r="GM44" t="e">
        <f>AND(Bills!#REF!,"AAAAAHt/+8I=")</f>
        <v>#REF!</v>
      </c>
      <c r="GN44" t="e">
        <f>AND(Bills!#REF!,"AAAAAHt/+8M=")</f>
        <v>#REF!</v>
      </c>
      <c r="GO44" t="e">
        <f>AND(Bills!#REF!,"AAAAAHt/+8Q=")</f>
        <v>#REF!</v>
      </c>
      <c r="GP44" t="e">
        <f>AND(Bills!AC62,"AAAAAHt/+8U=")</f>
        <v>#VALUE!</v>
      </c>
      <c r="GQ44" t="e">
        <f>AND(Bills!AD62,"AAAAAHt/+8Y=")</f>
        <v>#VALUE!</v>
      </c>
      <c r="GR44" t="e">
        <f>AND(Bills!#REF!,"AAAAAHt/+8c=")</f>
        <v>#REF!</v>
      </c>
      <c r="GS44">
        <f>IF(Bills!63:63,"AAAAAHt/+8g=",0)</f>
        <v>0</v>
      </c>
      <c r="GT44" t="e">
        <f>AND(Bills!B63,"AAAAAHt/+8k=")</f>
        <v>#VALUE!</v>
      </c>
      <c r="GU44" t="e">
        <f>AND(Bills!#REF!,"AAAAAHt/+8o=")</f>
        <v>#REF!</v>
      </c>
      <c r="GV44" t="e">
        <f>AND(Bills!C63,"AAAAAHt/+8s=")</f>
        <v>#VALUE!</v>
      </c>
      <c r="GW44" t="e">
        <f>AND(Bills!D63,"AAAAAHt/+8w=")</f>
        <v>#VALUE!</v>
      </c>
      <c r="GX44" t="e">
        <f>AND(Bills!E63,"AAAAAHt/+80=")</f>
        <v>#VALUE!</v>
      </c>
      <c r="GY44" t="e">
        <f>AND(Bills!#REF!,"AAAAAHt/+84=")</f>
        <v>#REF!</v>
      </c>
      <c r="GZ44" t="e">
        <f>AND(Bills!#REF!,"AAAAAHt/+88=")</f>
        <v>#REF!</v>
      </c>
      <c r="HA44" t="e">
        <f>AND(Bills!#REF!,"AAAAAHt/+9A=")</f>
        <v>#REF!</v>
      </c>
      <c r="HB44" t="e">
        <f>AND(Bills!F63,"AAAAAHt/+9E=")</f>
        <v>#VALUE!</v>
      </c>
      <c r="HC44" t="e">
        <f>AND(Bills!#REF!,"AAAAAHt/+9I=")</f>
        <v>#REF!</v>
      </c>
      <c r="HD44" t="e">
        <f>AND(Bills!G63,"AAAAAHt/+9M=")</f>
        <v>#VALUE!</v>
      </c>
      <c r="HE44" t="e">
        <f>AND(Bills!H63,"AAAAAHt/+9Q=")</f>
        <v>#VALUE!</v>
      </c>
      <c r="HF44" t="e">
        <f>AND(Bills!I63,"AAAAAHt/+9U=")</f>
        <v>#VALUE!</v>
      </c>
      <c r="HG44" t="e">
        <f>AND(Bills!J63,"AAAAAHt/+9Y=")</f>
        <v>#VALUE!</v>
      </c>
      <c r="HH44" t="e">
        <f>AND(Bills!K63,"AAAAAHt/+9c=")</f>
        <v>#VALUE!</v>
      </c>
      <c r="HI44" t="e">
        <f>AND(Bills!L63,"AAAAAHt/+9g=")</f>
        <v>#VALUE!</v>
      </c>
      <c r="HJ44" t="e">
        <f>AND(Bills!#REF!,"AAAAAHt/+9k=")</f>
        <v>#REF!</v>
      </c>
      <c r="HK44" t="e">
        <f>AND(Bills!M63,"AAAAAHt/+9o=")</f>
        <v>#VALUE!</v>
      </c>
      <c r="HL44" t="e">
        <f>AND(Bills!N63,"AAAAAHt/+9s=")</f>
        <v>#VALUE!</v>
      </c>
      <c r="HM44" t="e">
        <f>AND(Bills!O63,"AAAAAHt/+9w=")</f>
        <v>#VALUE!</v>
      </c>
      <c r="HN44" t="e">
        <f>AND(Bills!P63,"AAAAAHt/+90=")</f>
        <v>#VALUE!</v>
      </c>
      <c r="HO44" t="e">
        <f>AND(Bills!Q63,"AAAAAHt/+94=")</f>
        <v>#VALUE!</v>
      </c>
      <c r="HP44" t="e">
        <f>AND(Bills!R63,"AAAAAHt/+98=")</f>
        <v>#VALUE!</v>
      </c>
      <c r="HQ44" t="e">
        <f>AND(Bills!S63,"AAAAAHt/++A=")</f>
        <v>#VALUE!</v>
      </c>
      <c r="HR44" t="e">
        <f>AND(Bills!T63,"AAAAAHt/++E=")</f>
        <v>#VALUE!</v>
      </c>
      <c r="HS44" t="e">
        <f>AND(Bills!#REF!,"AAAAAHt/++I=")</f>
        <v>#REF!</v>
      </c>
      <c r="HT44" t="e">
        <f>AND(Bills!U63,"AAAAAHt/++M=")</f>
        <v>#VALUE!</v>
      </c>
      <c r="HU44" t="e">
        <f>AND(Bills!V63,"AAAAAHt/++Q=")</f>
        <v>#VALUE!</v>
      </c>
      <c r="HV44" t="e">
        <f>AND(Bills!W63,"AAAAAHt/++U=")</f>
        <v>#VALUE!</v>
      </c>
      <c r="HW44" t="e">
        <f>AND(Bills!#REF!,"AAAAAHt/++Y=")</f>
        <v>#REF!</v>
      </c>
      <c r="HX44" t="e">
        <f>AND(Bills!#REF!,"AAAAAHt/++c=")</f>
        <v>#REF!</v>
      </c>
      <c r="HY44" t="e">
        <f>AND(Bills!Y63,"AAAAAHt/++g=")</f>
        <v>#VALUE!</v>
      </c>
      <c r="HZ44" t="e">
        <f>AND(Bills!Z63,"AAAAAHt/++k=")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AND(Bills!AA63,"AAAAAHt/+/M=")</f>
        <v>#VALUE!</v>
      </c>
      <c r="IK44" t="e">
        <f>AND(Bills!AB63,"AAAAAHt/+/Q=")</f>
        <v>#VALUE!</v>
      </c>
      <c r="IL44" t="e">
        <f>AND(Bills!#REF!,"AAAAAHt/+/U=")</f>
        <v>#REF!</v>
      </c>
      <c r="IM44" t="e">
        <f>AND(Bills!#REF!,"AAAAAHt/+/Y=")</f>
        <v>#REF!</v>
      </c>
      <c r="IN44" t="e">
        <f>AND(Bills!#REF!,"AAAAAHt/+/c=")</f>
        <v>#REF!</v>
      </c>
      <c r="IO44" t="e">
        <f>AND(Bills!AC63,"AAAAAHt/+/g=")</f>
        <v>#VALUE!</v>
      </c>
      <c r="IP44" t="e">
        <f>AND(Bills!AD63,"AAAAAHt/+/k=")</f>
        <v>#VALUE!</v>
      </c>
      <c r="IQ44" t="e">
        <f>AND(Bills!#REF!,"AAAAAHt/+/o=")</f>
        <v>#REF!</v>
      </c>
      <c r="IR44">
        <f>IF(Bills!64:64,"AAAAAHt/+/s=",0)</f>
        <v>0</v>
      </c>
      <c r="IS44" t="e">
        <f>AND(Bills!B64,"AAAAAHt/+/w=")</f>
        <v>#VALUE!</v>
      </c>
      <c r="IT44" t="e">
        <f>AND(Bills!#REF!,"AAAAAHt/+/0=")</f>
        <v>#REF!</v>
      </c>
      <c r="IU44" t="e">
        <f>AND(Bills!C64,"AAAAAHt/+/4=")</f>
        <v>#VALUE!</v>
      </c>
      <c r="IV44" t="e">
        <f>AND(Bills!D64,"AAAAAHt/+/8=")</f>
        <v>#VALUE!</v>
      </c>
    </row>
    <row r="45" spans="1:256">
      <c r="A45" t="e">
        <f>AND(Bills!E64,"AAAAACsvvwA=")</f>
        <v>#VALUE!</v>
      </c>
      <c r="B45" t="e">
        <f>AND(Bills!#REF!,"AAAAACsvvwE=")</f>
        <v>#REF!</v>
      </c>
      <c r="C45" t="e">
        <f>AND(Bills!#REF!,"AAAAACsvvwI=")</f>
        <v>#REF!</v>
      </c>
      <c r="D45" t="e">
        <f>AND(Bills!#REF!,"AAAAACsvvwM=")</f>
        <v>#REF!</v>
      </c>
      <c r="E45" t="e">
        <f>AND(Bills!F64,"AAAAACsvvwQ=")</f>
        <v>#VALUE!</v>
      </c>
      <c r="F45" t="e">
        <f>AND(Bills!#REF!,"AAAAACsvvwU=")</f>
        <v>#REF!</v>
      </c>
      <c r="G45" t="e">
        <f>AND(Bills!G64,"AAAAACsvvwY=")</f>
        <v>#VALUE!</v>
      </c>
      <c r="H45" t="e">
        <f>AND(Bills!H64,"AAAAACsvvwc=")</f>
        <v>#VALUE!</v>
      </c>
      <c r="I45" t="e">
        <f>AND(Bills!I64,"AAAAACsvvwg=")</f>
        <v>#VALUE!</v>
      </c>
      <c r="J45" t="e">
        <f>AND(Bills!J64,"AAAAACsvvwk=")</f>
        <v>#VALUE!</v>
      </c>
      <c r="K45" t="e">
        <f>AND(Bills!K64,"AAAAACsvvwo=")</f>
        <v>#VALUE!</v>
      </c>
      <c r="L45" t="e">
        <f>AND(Bills!L64,"AAAAACsvvws=")</f>
        <v>#VALUE!</v>
      </c>
      <c r="M45" t="e">
        <f>AND(Bills!#REF!,"AAAAACsvvww=")</f>
        <v>#REF!</v>
      </c>
      <c r="N45" t="e">
        <f>AND(Bills!M64,"AAAAACsvvw0=")</f>
        <v>#VALUE!</v>
      </c>
      <c r="O45" t="e">
        <f>AND(Bills!N64,"AAAAACsvvw4=")</f>
        <v>#VALUE!</v>
      </c>
      <c r="P45" t="e">
        <f>AND(Bills!O64,"AAAAACsvvw8=")</f>
        <v>#VALUE!</v>
      </c>
      <c r="Q45" t="e">
        <f>AND(Bills!P64,"AAAAACsvvxA=")</f>
        <v>#VALUE!</v>
      </c>
      <c r="R45" t="e">
        <f>AND(Bills!Q64,"AAAAACsvvxE=")</f>
        <v>#VALUE!</v>
      </c>
      <c r="S45" t="e">
        <f>AND(Bills!R64,"AAAAACsvvxI=")</f>
        <v>#VALUE!</v>
      </c>
      <c r="T45" t="e">
        <f>AND(Bills!S64,"AAAAACsvvxM=")</f>
        <v>#VALUE!</v>
      </c>
      <c r="U45" t="e">
        <f>AND(Bills!T64,"AAAAACsvvxQ=")</f>
        <v>#VALUE!</v>
      </c>
      <c r="V45" t="e">
        <f>AND(Bills!#REF!,"AAAAACsvvxU=")</f>
        <v>#REF!</v>
      </c>
      <c r="W45" t="e">
        <f>AND(Bills!U64,"AAAAACsvvxY=")</f>
        <v>#VALUE!</v>
      </c>
      <c r="X45" t="e">
        <f>AND(Bills!V64,"AAAAACsvvxc=")</f>
        <v>#VALUE!</v>
      </c>
      <c r="Y45" t="e">
        <f>AND(Bills!W64,"AAAAACsvvxg=")</f>
        <v>#VALUE!</v>
      </c>
      <c r="Z45" t="e">
        <f>AND(Bills!#REF!,"AAAAACsvvxk=")</f>
        <v>#REF!</v>
      </c>
      <c r="AA45" t="e">
        <f>AND(Bills!#REF!,"AAAAACsvvxo=")</f>
        <v>#REF!</v>
      </c>
      <c r="AB45" t="e">
        <f>AND(Bills!Y64,"AAAAACsvvxs=")</f>
        <v>#VALUE!</v>
      </c>
      <c r="AC45" t="e">
        <f>AND(Bills!Z64,"AAAAACsvvxw=")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AND(Bills!AA64,"AAAAACsvvyY=")</f>
        <v>#VALUE!</v>
      </c>
      <c r="AN45" t="e">
        <f>AND(Bills!AB64,"AAAAACsvvyc=")</f>
        <v>#VALUE!</v>
      </c>
      <c r="AO45" t="e">
        <f>AND(Bills!#REF!,"AAAAACsvvyg=")</f>
        <v>#REF!</v>
      </c>
      <c r="AP45" t="e">
        <f>AND(Bills!#REF!,"AAAAACsvvyk=")</f>
        <v>#REF!</v>
      </c>
      <c r="AQ45" t="e">
        <f>AND(Bills!#REF!,"AAAAACsvvyo=")</f>
        <v>#REF!</v>
      </c>
      <c r="AR45" t="e">
        <f>AND(Bills!AC64,"AAAAACsvvys=")</f>
        <v>#VALUE!</v>
      </c>
      <c r="AS45" t="e">
        <f>AND(Bills!AD64,"AAAAACsvvyw=")</f>
        <v>#VALUE!</v>
      </c>
      <c r="AT45" t="e">
        <f>AND(Bills!#REF!,"AAAAACsvvy0=")</f>
        <v>#REF!</v>
      </c>
      <c r="AU45">
        <f>IF(Bills!65:65,"AAAAACsvvy4=",0)</f>
        <v>0</v>
      </c>
      <c r="AV45" t="e">
        <f>AND(Bills!B65,"AAAAACsvvy8=")</f>
        <v>#VALUE!</v>
      </c>
      <c r="AW45" t="e">
        <f>AND(Bills!#REF!,"AAAAACsvvzA=")</f>
        <v>#REF!</v>
      </c>
      <c r="AX45" t="e">
        <f>AND(Bills!C65,"AAAAACsvvzE=")</f>
        <v>#VALUE!</v>
      </c>
      <c r="AY45" t="e">
        <f>AND(Bills!D65,"AAAAACsvvzI=")</f>
        <v>#VALUE!</v>
      </c>
      <c r="AZ45" t="e">
        <f>AND(Bills!E65,"AAAAACsvvzM=")</f>
        <v>#VALUE!</v>
      </c>
      <c r="BA45" t="e">
        <f>AND(Bills!#REF!,"AAAAACsvvzQ=")</f>
        <v>#REF!</v>
      </c>
      <c r="BB45" t="e">
        <f>AND(Bills!#REF!,"AAAAACsvvzU=")</f>
        <v>#REF!</v>
      </c>
      <c r="BC45" t="e">
        <f>AND(Bills!#REF!,"AAAAACsvvzY=")</f>
        <v>#REF!</v>
      </c>
      <c r="BD45" t="e">
        <f>AND(Bills!F65,"AAAAACsvvzc=")</f>
        <v>#VALUE!</v>
      </c>
      <c r="BE45" t="e">
        <f>AND(Bills!#REF!,"AAAAACsvvzg=")</f>
        <v>#REF!</v>
      </c>
      <c r="BF45" t="e">
        <f>AND(Bills!G65,"AAAAACsvvzk=")</f>
        <v>#VALUE!</v>
      </c>
      <c r="BG45" t="e">
        <f>AND(Bills!H65,"AAAAACsvvzo=")</f>
        <v>#VALUE!</v>
      </c>
      <c r="BH45" t="e">
        <f>AND(Bills!I65,"AAAAACsvvzs=")</f>
        <v>#VALUE!</v>
      </c>
      <c r="BI45" t="e">
        <f>AND(Bills!J65,"AAAAACsvvzw=")</f>
        <v>#VALUE!</v>
      </c>
      <c r="BJ45" t="e">
        <f>AND(Bills!K65,"AAAAACsvvz0=")</f>
        <v>#VALUE!</v>
      </c>
      <c r="BK45" t="e">
        <f>AND(Bills!L65,"AAAAACsvvz4=")</f>
        <v>#VALUE!</v>
      </c>
      <c r="BL45" t="e">
        <f>AND(Bills!#REF!,"AAAAACsvvz8=")</f>
        <v>#REF!</v>
      </c>
      <c r="BM45" t="e">
        <f>AND(Bills!M65,"AAAAACsvv0A=")</f>
        <v>#VALUE!</v>
      </c>
      <c r="BN45" t="e">
        <f>AND(Bills!N65,"AAAAACsvv0E=")</f>
        <v>#VALUE!</v>
      </c>
      <c r="BO45" t="e">
        <f>AND(Bills!O65,"AAAAACsvv0I=")</f>
        <v>#VALUE!</v>
      </c>
      <c r="BP45" t="e">
        <f>AND(Bills!P65,"AAAAACsvv0M=")</f>
        <v>#VALUE!</v>
      </c>
      <c r="BQ45" t="e">
        <f>AND(Bills!Q65,"AAAAACsvv0Q=")</f>
        <v>#VALUE!</v>
      </c>
      <c r="BR45" t="e">
        <f>AND(Bills!R65,"AAAAACsvv0U=")</f>
        <v>#VALUE!</v>
      </c>
      <c r="BS45" t="e">
        <f>AND(Bills!S65,"AAAAACsvv0Y=")</f>
        <v>#VALUE!</v>
      </c>
      <c r="BT45" t="e">
        <f>AND(Bills!T65,"AAAAACsvv0c=")</f>
        <v>#VALUE!</v>
      </c>
      <c r="BU45" t="e">
        <f>AND(Bills!#REF!,"AAAAACsvv0g=")</f>
        <v>#REF!</v>
      </c>
      <c r="BV45" t="e">
        <f>AND(Bills!U65,"AAAAACsvv0k=")</f>
        <v>#VALUE!</v>
      </c>
      <c r="BW45" t="e">
        <f>AND(Bills!V65,"AAAAACsvv0o=")</f>
        <v>#VALUE!</v>
      </c>
      <c r="BX45" t="e">
        <f>AND(Bills!W65,"AAAAACsvv0s=")</f>
        <v>#VALUE!</v>
      </c>
      <c r="BY45" t="e">
        <f>AND(Bills!#REF!,"AAAAACsvv0w=")</f>
        <v>#REF!</v>
      </c>
      <c r="BZ45" t="e">
        <f>AND(Bills!#REF!,"AAAAACsvv00=")</f>
        <v>#REF!</v>
      </c>
      <c r="CA45" t="e">
        <f>AND(Bills!Y65,"AAAAACsvv04=")</f>
        <v>#VALUE!</v>
      </c>
      <c r="CB45" t="e">
        <f>AND(Bills!Z65,"AAAAACsvv08=")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AND(Bills!AA65,"AAAAACsvv1k=")</f>
        <v>#VALUE!</v>
      </c>
      <c r="CM45" t="e">
        <f>AND(Bills!AB65,"AAAAACsvv1o=")</f>
        <v>#VALUE!</v>
      </c>
      <c r="CN45" t="e">
        <f>AND(Bills!#REF!,"AAAAACsvv1s=")</f>
        <v>#REF!</v>
      </c>
      <c r="CO45" t="e">
        <f>AND(Bills!#REF!,"AAAAACsvv1w=")</f>
        <v>#REF!</v>
      </c>
      <c r="CP45" t="e">
        <f>AND(Bills!#REF!,"AAAAACsvv10=")</f>
        <v>#REF!</v>
      </c>
      <c r="CQ45" t="e">
        <f>AND(Bills!AC65,"AAAAACsvv14=")</f>
        <v>#VALUE!</v>
      </c>
      <c r="CR45" t="e">
        <f>AND(Bills!AD65,"AAAAACsvv18=")</f>
        <v>#VALUE!</v>
      </c>
      <c r="CS45" t="e">
        <f>AND(Bills!#REF!,"AAAAACsvv2A=")</f>
        <v>#REF!</v>
      </c>
      <c r="CT45">
        <f>IF(Bills!66:66,"AAAAACsvv2E=",0)</f>
        <v>0</v>
      </c>
      <c r="CU45" t="e">
        <f>AND(Bills!B66,"AAAAACsvv2I=")</f>
        <v>#VALUE!</v>
      </c>
      <c r="CV45" t="e">
        <f>AND(Bills!#REF!,"AAAAACsvv2M=")</f>
        <v>#REF!</v>
      </c>
      <c r="CW45" t="e">
        <f>AND(Bills!C66,"AAAAACsvv2Q=")</f>
        <v>#VALUE!</v>
      </c>
      <c r="CX45" t="e">
        <f>AND(Bills!D66,"AAAAACsvv2U=")</f>
        <v>#VALUE!</v>
      </c>
      <c r="CY45" t="e">
        <f>AND(Bills!E66,"AAAAACsvv2Y=")</f>
        <v>#VALUE!</v>
      </c>
      <c r="CZ45" t="e">
        <f>AND(Bills!#REF!,"AAAAACsvv2c=")</f>
        <v>#REF!</v>
      </c>
      <c r="DA45" t="e">
        <f>AND(Bills!#REF!,"AAAAACsvv2g=")</f>
        <v>#REF!</v>
      </c>
      <c r="DB45" t="e">
        <f>AND(Bills!#REF!,"AAAAACsvv2k=")</f>
        <v>#REF!</v>
      </c>
      <c r="DC45" t="e">
        <f>AND(Bills!F66,"AAAAACsvv2o=")</f>
        <v>#VALUE!</v>
      </c>
      <c r="DD45" t="e">
        <f>AND(Bills!#REF!,"AAAAACsvv2s=")</f>
        <v>#REF!</v>
      </c>
      <c r="DE45" t="e">
        <f>AND(Bills!G66,"AAAAACsvv2w=")</f>
        <v>#VALUE!</v>
      </c>
      <c r="DF45" t="e">
        <f>AND(Bills!H66,"AAAAACsvv20=")</f>
        <v>#VALUE!</v>
      </c>
      <c r="DG45" t="e">
        <f>AND(Bills!I66,"AAAAACsvv24=")</f>
        <v>#VALUE!</v>
      </c>
      <c r="DH45" t="e">
        <f>AND(Bills!J66,"AAAAACsvv28=")</f>
        <v>#VALUE!</v>
      </c>
      <c r="DI45" t="e">
        <f>AND(Bills!K66,"AAAAACsvv3A=")</f>
        <v>#VALUE!</v>
      </c>
      <c r="DJ45" t="e">
        <f>AND(Bills!L66,"AAAAACsvv3E=")</f>
        <v>#VALUE!</v>
      </c>
      <c r="DK45" t="e">
        <f>AND(Bills!#REF!,"AAAAACsvv3I=")</f>
        <v>#REF!</v>
      </c>
      <c r="DL45" t="e">
        <f>AND(Bills!M66,"AAAAACsvv3M=")</f>
        <v>#VALUE!</v>
      </c>
      <c r="DM45" t="e">
        <f>AND(Bills!N66,"AAAAACsvv3Q=")</f>
        <v>#VALUE!</v>
      </c>
      <c r="DN45" t="e">
        <f>AND(Bills!O66,"AAAAACsvv3U=")</f>
        <v>#VALUE!</v>
      </c>
      <c r="DO45" t="e">
        <f>AND(Bills!P66,"AAAAACsvv3Y=")</f>
        <v>#VALUE!</v>
      </c>
      <c r="DP45" t="e">
        <f>AND(Bills!Q66,"AAAAACsvv3c=")</f>
        <v>#VALUE!</v>
      </c>
      <c r="DQ45" t="e">
        <f>AND(Bills!R66,"AAAAACsvv3g=")</f>
        <v>#VALUE!</v>
      </c>
      <c r="DR45" t="e">
        <f>AND(Bills!S66,"AAAAACsvv3k=")</f>
        <v>#VALUE!</v>
      </c>
      <c r="DS45" t="e">
        <f>AND(Bills!T66,"AAAAACsvv3o=")</f>
        <v>#VALUE!</v>
      </c>
      <c r="DT45" t="e">
        <f>AND(Bills!#REF!,"AAAAACsvv3s=")</f>
        <v>#REF!</v>
      </c>
      <c r="DU45" t="e">
        <f>AND(Bills!U66,"AAAAACsvv3w=")</f>
        <v>#VALUE!</v>
      </c>
      <c r="DV45" t="e">
        <f>AND(Bills!V66,"AAAAACsvv30=")</f>
        <v>#VALUE!</v>
      </c>
      <c r="DW45" t="e">
        <f>AND(Bills!W66,"AAAAACsvv34=")</f>
        <v>#VALUE!</v>
      </c>
      <c r="DX45" t="e">
        <f>AND(Bills!#REF!,"AAAAACsvv38=")</f>
        <v>#REF!</v>
      </c>
      <c r="DY45" t="e">
        <f>AND(Bills!#REF!,"AAAAACsvv4A=")</f>
        <v>#REF!</v>
      </c>
      <c r="DZ45" t="e">
        <f>AND(Bills!Y66,"AAAAACsvv4E=")</f>
        <v>#VALUE!</v>
      </c>
      <c r="EA45" t="e">
        <f>AND(Bills!Z66,"AAAAACsvv4I=")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AND(Bills!AA66,"AAAAACsvv4w=")</f>
        <v>#VALUE!</v>
      </c>
      <c r="EL45" t="e">
        <f>AND(Bills!AB66,"AAAAACsvv40=")</f>
        <v>#VALUE!</v>
      </c>
      <c r="EM45" t="e">
        <f>AND(Bills!#REF!,"AAAAACsvv44=")</f>
        <v>#REF!</v>
      </c>
      <c r="EN45" t="e">
        <f>AND(Bills!#REF!,"AAAAACsvv48=")</f>
        <v>#REF!</v>
      </c>
      <c r="EO45" t="e">
        <f>AND(Bills!#REF!,"AAAAACsvv5A=")</f>
        <v>#REF!</v>
      </c>
      <c r="EP45" t="e">
        <f>AND(Bills!AC66,"AAAAACsvv5E=")</f>
        <v>#VALUE!</v>
      </c>
      <c r="EQ45" t="e">
        <f>AND(Bills!AD66,"AAAAACsvv5I=")</f>
        <v>#VALUE!</v>
      </c>
      <c r="ER45" t="e">
        <f>AND(Bills!#REF!,"AAAAACsvv5M=")</f>
        <v>#REF!</v>
      </c>
      <c r="ES45">
        <f>IF(Bills!67:67,"AAAAACsvv5Q=",0)</f>
        <v>0</v>
      </c>
      <c r="ET45" t="e">
        <f>AND(Bills!B67,"AAAAACsvv5U=")</f>
        <v>#VALUE!</v>
      </c>
      <c r="EU45" t="e">
        <f>AND(Bills!#REF!,"AAAAACsvv5Y=")</f>
        <v>#REF!</v>
      </c>
      <c r="EV45" t="e">
        <f>AND(Bills!C67,"AAAAACsvv5c=")</f>
        <v>#VALUE!</v>
      </c>
      <c r="EW45" t="e">
        <f>AND(Bills!D67,"AAAAACsvv5g=")</f>
        <v>#VALUE!</v>
      </c>
      <c r="EX45" t="e">
        <f>AND(Bills!E67,"AAAAACsvv5k=")</f>
        <v>#VALUE!</v>
      </c>
      <c r="EY45" t="e">
        <f>AND(Bills!#REF!,"AAAAACsvv5o=")</f>
        <v>#REF!</v>
      </c>
      <c r="EZ45" t="e">
        <f>AND(Bills!#REF!,"AAAAACsvv5s=")</f>
        <v>#REF!</v>
      </c>
      <c r="FA45" t="e">
        <f>AND(Bills!#REF!,"AAAAACsvv5w=")</f>
        <v>#REF!</v>
      </c>
      <c r="FB45" t="e">
        <f>AND(Bills!F67,"AAAAACsvv50=")</f>
        <v>#VALUE!</v>
      </c>
      <c r="FC45" t="e">
        <f>AND(Bills!#REF!,"AAAAACsvv54=")</f>
        <v>#REF!</v>
      </c>
      <c r="FD45" t="e">
        <f>AND(Bills!G67,"AAAAACsvv58=")</f>
        <v>#VALUE!</v>
      </c>
      <c r="FE45" t="e">
        <f>AND(Bills!H67,"AAAAACsvv6A=")</f>
        <v>#VALUE!</v>
      </c>
      <c r="FF45" t="e">
        <f>AND(Bills!I67,"AAAAACsvv6E=")</f>
        <v>#VALUE!</v>
      </c>
      <c r="FG45" t="e">
        <f>AND(Bills!J67,"AAAAACsvv6I=")</f>
        <v>#VALUE!</v>
      </c>
      <c r="FH45" t="e">
        <f>AND(Bills!K67,"AAAAACsvv6M=")</f>
        <v>#VALUE!</v>
      </c>
      <c r="FI45" t="e">
        <f>AND(Bills!L67,"AAAAACsvv6Q=")</f>
        <v>#VALUE!</v>
      </c>
      <c r="FJ45" t="e">
        <f>AND(Bills!#REF!,"AAAAACsvv6U=")</f>
        <v>#REF!</v>
      </c>
      <c r="FK45" t="e">
        <f>AND(Bills!M67,"AAAAACsvv6Y=")</f>
        <v>#VALUE!</v>
      </c>
      <c r="FL45" t="e">
        <f>AND(Bills!N67,"AAAAACsvv6c=")</f>
        <v>#VALUE!</v>
      </c>
      <c r="FM45" t="e">
        <f>AND(Bills!O67,"AAAAACsvv6g=")</f>
        <v>#VALUE!</v>
      </c>
      <c r="FN45" t="e">
        <f>AND(Bills!P67,"AAAAACsvv6k=")</f>
        <v>#VALUE!</v>
      </c>
      <c r="FO45" t="e">
        <f>AND(Bills!Q67,"AAAAACsvv6o=")</f>
        <v>#VALUE!</v>
      </c>
      <c r="FP45" t="e">
        <f>AND(Bills!R67,"AAAAACsvv6s=")</f>
        <v>#VALUE!</v>
      </c>
      <c r="FQ45" t="e">
        <f>AND(Bills!S67,"AAAAACsvv6w=")</f>
        <v>#VALUE!</v>
      </c>
      <c r="FR45" t="e">
        <f>AND(Bills!T67,"AAAAACsvv60=")</f>
        <v>#VALUE!</v>
      </c>
      <c r="FS45" t="e">
        <f>AND(Bills!#REF!,"AAAAACsvv64=")</f>
        <v>#REF!</v>
      </c>
      <c r="FT45" t="e">
        <f>AND(Bills!U67,"AAAAACsvv68=")</f>
        <v>#VALUE!</v>
      </c>
      <c r="FU45" t="e">
        <f>AND(Bills!V67,"AAAAACsvv7A=")</f>
        <v>#VALUE!</v>
      </c>
      <c r="FV45" t="e">
        <f>AND(Bills!W67,"AAAAACsvv7E=")</f>
        <v>#VALUE!</v>
      </c>
      <c r="FW45" t="e">
        <f>AND(Bills!#REF!,"AAAAACsvv7I=")</f>
        <v>#REF!</v>
      </c>
      <c r="FX45" t="e">
        <f>AND(Bills!#REF!,"AAAAACsvv7M=")</f>
        <v>#REF!</v>
      </c>
      <c r="FY45" t="e">
        <f>AND(Bills!Y67,"AAAAACsvv7Q=")</f>
        <v>#VALUE!</v>
      </c>
      <c r="FZ45" t="e">
        <f>AND(Bills!Z67,"AAAAACsvv7U=")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AND(Bills!AA67,"AAAAACsvv78=")</f>
        <v>#VALUE!</v>
      </c>
      <c r="GK45" t="e">
        <f>AND(Bills!AB67,"AAAAACsvv8A=")</f>
        <v>#VALUE!</v>
      </c>
      <c r="GL45" t="e">
        <f>AND(Bills!#REF!,"AAAAACsvv8E=")</f>
        <v>#REF!</v>
      </c>
      <c r="GM45" t="e">
        <f>AND(Bills!#REF!,"AAAAACsvv8I=")</f>
        <v>#REF!</v>
      </c>
      <c r="GN45" t="e">
        <f>AND(Bills!#REF!,"AAAAACsvv8M=")</f>
        <v>#REF!</v>
      </c>
      <c r="GO45" t="e">
        <f>AND(Bills!AC67,"AAAAACsvv8Q=")</f>
        <v>#VALUE!</v>
      </c>
      <c r="GP45" t="e">
        <f>AND(Bills!AD67,"AAAAACsvv8U=")</f>
        <v>#VALUE!</v>
      </c>
      <c r="GQ45" t="e">
        <f>AND(Bills!#REF!,"AAAAACsvv8Y=")</f>
        <v>#REF!</v>
      </c>
      <c r="GR45">
        <f>IF(Bills!68:68,"AAAAACsvv8c=",0)</f>
        <v>0</v>
      </c>
      <c r="GS45" t="e">
        <f>AND(Bills!B68,"AAAAACsvv8g=")</f>
        <v>#VALUE!</v>
      </c>
      <c r="GT45" t="e">
        <f>AND(Bills!#REF!,"AAAAACsvv8k=")</f>
        <v>#REF!</v>
      </c>
      <c r="GU45" t="e">
        <f>AND(Bills!C68,"AAAAACsvv8o=")</f>
        <v>#VALUE!</v>
      </c>
      <c r="GV45" t="e">
        <f>AND(Bills!D68,"AAAAACsvv8s=")</f>
        <v>#VALUE!</v>
      </c>
      <c r="GW45" t="e">
        <f>AND(Bills!E68,"AAAAACsvv8w=")</f>
        <v>#VALUE!</v>
      </c>
      <c r="GX45" t="e">
        <f>AND(Bills!#REF!,"AAAAACsvv80=")</f>
        <v>#REF!</v>
      </c>
      <c r="GY45" t="e">
        <f>AND(Bills!#REF!,"AAAAACsvv84=")</f>
        <v>#REF!</v>
      </c>
      <c r="GZ45" t="e">
        <f>AND(Bills!#REF!,"AAAAACsvv88=")</f>
        <v>#REF!</v>
      </c>
      <c r="HA45" t="e">
        <f>AND(Bills!F68,"AAAAACsvv9A=")</f>
        <v>#VALUE!</v>
      </c>
      <c r="HB45" t="e">
        <f>AND(Bills!#REF!,"AAAAACsvv9E=")</f>
        <v>#REF!</v>
      </c>
      <c r="HC45" t="e">
        <f>AND(Bills!G68,"AAAAACsvv9I=")</f>
        <v>#VALUE!</v>
      </c>
      <c r="HD45" t="e">
        <f>AND(Bills!H68,"AAAAACsvv9M=")</f>
        <v>#VALUE!</v>
      </c>
      <c r="HE45" t="e">
        <f>AND(Bills!I68,"AAAAACsvv9Q=")</f>
        <v>#VALUE!</v>
      </c>
      <c r="HF45" t="e">
        <f>AND(Bills!J68,"AAAAACsvv9U=")</f>
        <v>#VALUE!</v>
      </c>
      <c r="HG45" t="e">
        <f>AND(Bills!K68,"AAAAACsvv9Y=")</f>
        <v>#VALUE!</v>
      </c>
      <c r="HH45" t="e">
        <f>AND(Bills!L68,"AAAAACsvv9c=")</f>
        <v>#VALUE!</v>
      </c>
      <c r="HI45" t="e">
        <f>AND(Bills!#REF!,"AAAAACsvv9g=")</f>
        <v>#REF!</v>
      </c>
      <c r="HJ45" t="e">
        <f>AND(Bills!M68,"AAAAACsvv9k=")</f>
        <v>#VALUE!</v>
      </c>
      <c r="HK45" t="e">
        <f>AND(Bills!N68,"AAAAACsvv9o=")</f>
        <v>#VALUE!</v>
      </c>
      <c r="HL45" t="e">
        <f>AND(Bills!O68,"AAAAACsvv9s=")</f>
        <v>#VALUE!</v>
      </c>
      <c r="HM45" t="e">
        <f>AND(Bills!P68,"AAAAACsvv9w=")</f>
        <v>#VALUE!</v>
      </c>
      <c r="HN45" t="e">
        <f>AND(Bills!Q68,"AAAAACsvv90=")</f>
        <v>#VALUE!</v>
      </c>
      <c r="HO45" t="e">
        <f>AND(Bills!R68,"AAAAACsvv94=")</f>
        <v>#VALUE!</v>
      </c>
      <c r="HP45" t="e">
        <f>AND(Bills!S68,"AAAAACsvv98=")</f>
        <v>#VALUE!</v>
      </c>
      <c r="HQ45" t="e">
        <f>AND(Bills!T68,"AAAAACsvv+A=")</f>
        <v>#VALUE!</v>
      </c>
      <c r="HR45" t="e">
        <f>AND(Bills!#REF!,"AAAAACsvv+E=")</f>
        <v>#REF!</v>
      </c>
      <c r="HS45" t="e">
        <f>AND(Bills!U68,"AAAAACsvv+I=")</f>
        <v>#VALUE!</v>
      </c>
      <c r="HT45" t="e">
        <f>AND(Bills!V68,"AAAAACsvv+M=")</f>
        <v>#VALUE!</v>
      </c>
      <c r="HU45" t="e">
        <f>AND(Bills!W68,"AAAAACsvv+Q=")</f>
        <v>#VALUE!</v>
      </c>
      <c r="HV45" t="e">
        <f>AND(Bills!#REF!,"AAAAACsvv+U=")</f>
        <v>#REF!</v>
      </c>
      <c r="HW45" t="e">
        <f>AND(Bills!#REF!,"AAAAACsvv+Y=")</f>
        <v>#REF!</v>
      </c>
      <c r="HX45" t="e">
        <f>AND(Bills!Y68,"AAAAACsvv+c=")</f>
        <v>#VALUE!</v>
      </c>
      <c r="HY45" t="e">
        <f>AND(Bills!Z68,"AAAAACsvv+g=")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AND(Bills!AA68,"AAAAACsvv/I=")</f>
        <v>#VALUE!</v>
      </c>
      <c r="IJ45" t="e">
        <f>AND(Bills!AB68,"AAAAACsvv/M=")</f>
        <v>#VALUE!</v>
      </c>
      <c r="IK45" t="e">
        <f>AND(Bills!#REF!,"AAAAACsvv/Q=")</f>
        <v>#REF!</v>
      </c>
      <c r="IL45" t="e">
        <f>AND(Bills!#REF!,"AAAAACsvv/U=")</f>
        <v>#REF!</v>
      </c>
      <c r="IM45" t="e">
        <f>AND(Bills!#REF!,"AAAAACsvv/Y=")</f>
        <v>#REF!</v>
      </c>
      <c r="IN45" t="e">
        <f>AND(Bills!AC68,"AAAAACsvv/c=")</f>
        <v>#VALUE!</v>
      </c>
      <c r="IO45" t="e">
        <f>AND(Bills!AD68,"AAAAACsvv/g=")</f>
        <v>#VALUE!</v>
      </c>
      <c r="IP45" t="e">
        <f>AND(Bills!#REF!,"AAAAACsvv/k=")</f>
        <v>#REF!</v>
      </c>
      <c r="IQ45">
        <f>IF(Bills!69:69,"AAAAACsvv/o=",0)</f>
        <v>0</v>
      </c>
      <c r="IR45" t="e">
        <f>AND(Bills!B69,"AAAAACsvv/s=")</f>
        <v>#VALUE!</v>
      </c>
      <c r="IS45" t="e">
        <f>AND(Bills!#REF!,"AAAAACsvv/w=")</f>
        <v>#REF!</v>
      </c>
      <c r="IT45" t="e">
        <f>AND(Bills!C69,"AAAAACsvv/0=")</f>
        <v>#VALUE!</v>
      </c>
      <c r="IU45" t="e">
        <f>AND(Bills!D69,"AAAAACsvv/4=")</f>
        <v>#VALUE!</v>
      </c>
      <c r="IV45" t="e">
        <f>AND(Bills!E69,"AAAAACsvv/8=")</f>
        <v>#VALUE!</v>
      </c>
    </row>
    <row r="46" spans="1:256">
      <c r="A46" t="e">
        <f>AND(Bills!#REF!,"AAAAAHm9fAA=")</f>
        <v>#REF!</v>
      </c>
      <c r="B46" t="e">
        <f>AND(Bills!#REF!,"AAAAAHm9fAE=")</f>
        <v>#REF!</v>
      </c>
      <c r="C46" t="e">
        <f>AND(Bills!#REF!,"AAAAAHm9fAI=")</f>
        <v>#REF!</v>
      </c>
      <c r="D46" t="e">
        <f>AND(Bills!F69,"AAAAAHm9fAM=")</f>
        <v>#VALUE!</v>
      </c>
      <c r="E46" t="e">
        <f>AND(Bills!#REF!,"AAAAAHm9fAQ=")</f>
        <v>#REF!</v>
      </c>
      <c r="F46" t="e">
        <f>AND(Bills!G69,"AAAAAHm9fAU=")</f>
        <v>#VALUE!</v>
      </c>
      <c r="G46" t="e">
        <f>AND(Bills!H69,"AAAAAHm9fAY=")</f>
        <v>#VALUE!</v>
      </c>
      <c r="H46" t="e">
        <f>AND(Bills!I69,"AAAAAHm9fAc=")</f>
        <v>#VALUE!</v>
      </c>
      <c r="I46" t="e">
        <f>AND(Bills!J69,"AAAAAHm9fAg=")</f>
        <v>#VALUE!</v>
      </c>
      <c r="J46" t="e">
        <f>AND(Bills!K69,"AAAAAHm9fAk=")</f>
        <v>#VALUE!</v>
      </c>
      <c r="K46" t="e">
        <f>AND(Bills!L69,"AAAAAHm9fAo=")</f>
        <v>#VALUE!</v>
      </c>
      <c r="L46" t="e">
        <f>AND(Bills!#REF!,"AAAAAHm9fAs=")</f>
        <v>#REF!</v>
      </c>
      <c r="M46" t="e">
        <f>AND(Bills!M69,"AAAAAHm9fAw=")</f>
        <v>#VALUE!</v>
      </c>
      <c r="N46" t="e">
        <f>AND(Bills!N69,"AAAAAHm9fA0=")</f>
        <v>#VALUE!</v>
      </c>
      <c r="O46" t="e">
        <f>AND(Bills!O69,"AAAAAHm9fA4=")</f>
        <v>#VALUE!</v>
      </c>
      <c r="P46" t="e">
        <f>AND(Bills!P69,"AAAAAHm9fA8=")</f>
        <v>#VALUE!</v>
      </c>
      <c r="Q46" t="e">
        <f>AND(Bills!Q69,"AAAAAHm9fBA=")</f>
        <v>#VALUE!</v>
      </c>
      <c r="R46" t="e">
        <f>AND(Bills!R69,"AAAAAHm9fBE=")</f>
        <v>#VALUE!</v>
      </c>
      <c r="S46" t="e">
        <f>AND(Bills!S69,"AAAAAHm9fBI=")</f>
        <v>#VALUE!</v>
      </c>
      <c r="T46" t="e">
        <f>AND(Bills!T69,"AAAAAHm9fBM=")</f>
        <v>#VALUE!</v>
      </c>
      <c r="U46" t="e">
        <f>AND(Bills!#REF!,"AAAAAHm9fBQ=")</f>
        <v>#REF!</v>
      </c>
      <c r="V46" t="e">
        <f>AND(Bills!U69,"AAAAAHm9fBU=")</f>
        <v>#VALUE!</v>
      </c>
      <c r="W46" t="e">
        <f>AND(Bills!V69,"AAAAAHm9fBY=")</f>
        <v>#VALUE!</v>
      </c>
      <c r="X46" t="e">
        <f>AND(Bills!W69,"AAAAAHm9fBc=")</f>
        <v>#VALUE!</v>
      </c>
      <c r="Y46" t="e">
        <f>AND(Bills!#REF!,"AAAAAHm9fBg=")</f>
        <v>#REF!</v>
      </c>
      <c r="Z46" t="e">
        <f>AND(Bills!#REF!,"AAAAAHm9fBk=")</f>
        <v>#REF!</v>
      </c>
      <c r="AA46" t="e">
        <f>AND(Bills!Y69,"AAAAAHm9fBo=")</f>
        <v>#VALUE!</v>
      </c>
      <c r="AB46" t="e">
        <f>AND(Bills!Z69,"AAAAAHm9fBs=")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AND(Bills!AA69,"AAAAAHm9fCU=")</f>
        <v>#VALUE!</v>
      </c>
      <c r="AM46" t="e">
        <f>AND(Bills!AB69,"AAAAAHm9fCY=")</f>
        <v>#VALUE!</v>
      </c>
      <c r="AN46" t="e">
        <f>AND(Bills!#REF!,"AAAAAHm9fCc=")</f>
        <v>#REF!</v>
      </c>
      <c r="AO46" t="e">
        <f>AND(Bills!#REF!,"AAAAAHm9fCg=")</f>
        <v>#REF!</v>
      </c>
      <c r="AP46" t="e">
        <f>AND(Bills!#REF!,"AAAAAHm9fCk=")</f>
        <v>#REF!</v>
      </c>
      <c r="AQ46" t="e">
        <f>AND(Bills!AC69,"AAAAAHm9fCo=")</f>
        <v>#VALUE!</v>
      </c>
      <c r="AR46" t="e">
        <f>AND(Bills!AD69,"AAAAAHm9fCs=")</f>
        <v>#VALUE!</v>
      </c>
      <c r="AS46" t="e">
        <f>AND(Bills!#REF!,"AAAAAHm9fCw=")</f>
        <v>#REF!</v>
      </c>
      <c r="AT46">
        <f>IF(Bills!70:70,"AAAAAHm9fC0=",0)</f>
        <v>0</v>
      </c>
      <c r="AU46" t="e">
        <f>AND(Bills!B70,"AAAAAHm9fC4=")</f>
        <v>#VALUE!</v>
      </c>
      <c r="AV46" t="e">
        <f>AND(Bills!#REF!,"AAAAAHm9fC8=")</f>
        <v>#REF!</v>
      </c>
      <c r="AW46" t="e">
        <f>AND(Bills!C70,"AAAAAHm9fDA=")</f>
        <v>#VALUE!</v>
      </c>
      <c r="AX46" t="e">
        <f>AND(Bills!D70,"AAAAAHm9fDE=")</f>
        <v>#VALUE!</v>
      </c>
      <c r="AY46" t="e">
        <f>AND(Bills!E70,"AAAAAHm9fDI=")</f>
        <v>#VALUE!</v>
      </c>
      <c r="AZ46" t="e">
        <f>AND(Bills!#REF!,"AAAAAHm9fDM=")</f>
        <v>#REF!</v>
      </c>
      <c r="BA46" t="e">
        <f>AND(Bills!#REF!,"AAAAAHm9fDQ=")</f>
        <v>#REF!</v>
      </c>
      <c r="BB46" t="e">
        <f>AND(Bills!#REF!,"AAAAAHm9fDU=")</f>
        <v>#REF!</v>
      </c>
      <c r="BC46" t="e">
        <f>AND(Bills!F70,"AAAAAHm9fDY=")</f>
        <v>#VALUE!</v>
      </c>
      <c r="BD46" t="e">
        <f>AND(Bills!#REF!,"AAAAAHm9fDc=")</f>
        <v>#REF!</v>
      </c>
      <c r="BE46" t="e">
        <f>AND(Bills!G70,"AAAAAHm9fDg=")</f>
        <v>#VALUE!</v>
      </c>
      <c r="BF46" t="e">
        <f>AND(Bills!H70,"AAAAAHm9fDk=")</f>
        <v>#VALUE!</v>
      </c>
      <c r="BG46" t="e">
        <f>AND(Bills!I70,"AAAAAHm9fDo=")</f>
        <v>#VALUE!</v>
      </c>
      <c r="BH46" t="e">
        <f>AND(Bills!J70,"AAAAAHm9fDs=")</f>
        <v>#VALUE!</v>
      </c>
      <c r="BI46" t="e">
        <f>AND(Bills!K70,"AAAAAHm9fDw=")</f>
        <v>#VALUE!</v>
      </c>
      <c r="BJ46" t="e">
        <f>AND(Bills!L70,"AAAAAHm9fD0=")</f>
        <v>#VALUE!</v>
      </c>
      <c r="BK46" t="e">
        <f>AND(Bills!#REF!,"AAAAAHm9fD4=")</f>
        <v>#REF!</v>
      </c>
      <c r="BL46" t="e">
        <f>AND(Bills!M70,"AAAAAHm9fD8=")</f>
        <v>#VALUE!</v>
      </c>
      <c r="BM46" t="e">
        <f>AND(Bills!N70,"AAAAAHm9fEA=")</f>
        <v>#VALUE!</v>
      </c>
      <c r="BN46" t="e">
        <f>AND(Bills!O70,"AAAAAHm9fEE=")</f>
        <v>#VALUE!</v>
      </c>
      <c r="BO46" t="e">
        <f>AND(Bills!P70,"AAAAAHm9fEI=")</f>
        <v>#VALUE!</v>
      </c>
      <c r="BP46" t="e">
        <f>AND(Bills!Q70,"AAAAAHm9fEM=")</f>
        <v>#VALUE!</v>
      </c>
      <c r="BQ46" t="e">
        <f>AND(Bills!R70,"AAAAAHm9fEQ=")</f>
        <v>#VALUE!</v>
      </c>
      <c r="BR46" t="e">
        <f>AND(Bills!S70,"AAAAAHm9fEU=")</f>
        <v>#VALUE!</v>
      </c>
      <c r="BS46" t="e">
        <f>AND(Bills!T70,"AAAAAHm9fEY=")</f>
        <v>#VALUE!</v>
      </c>
      <c r="BT46" t="e">
        <f>AND(Bills!#REF!,"AAAAAHm9fEc=")</f>
        <v>#REF!</v>
      </c>
      <c r="BU46" t="e">
        <f>AND(Bills!U70,"AAAAAHm9fEg=")</f>
        <v>#VALUE!</v>
      </c>
      <c r="BV46" t="e">
        <f>AND(Bills!V70,"AAAAAHm9fEk=")</f>
        <v>#VALUE!</v>
      </c>
      <c r="BW46" t="e">
        <f>AND(Bills!W70,"AAAAAHm9fEo=")</f>
        <v>#VALUE!</v>
      </c>
      <c r="BX46" t="e">
        <f>AND(Bills!#REF!,"AAAAAHm9fEs=")</f>
        <v>#REF!</v>
      </c>
      <c r="BY46" t="e">
        <f>AND(Bills!#REF!,"AAAAAHm9fEw=")</f>
        <v>#REF!</v>
      </c>
      <c r="BZ46" t="e">
        <f>AND(Bills!Y70,"AAAAAHm9fE0=")</f>
        <v>#VALUE!</v>
      </c>
      <c r="CA46" t="e">
        <f>AND(Bills!Z70,"AAAAAHm9fE4=")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AND(Bills!AA70,"AAAAAHm9fFg=")</f>
        <v>#VALUE!</v>
      </c>
      <c r="CL46" t="e">
        <f>AND(Bills!AB70,"AAAAAHm9fFk=")</f>
        <v>#VALUE!</v>
      </c>
      <c r="CM46" t="e">
        <f>AND(Bills!#REF!,"AAAAAHm9fFo=")</f>
        <v>#REF!</v>
      </c>
      <c r="CN46" t="e">
        <f>AND(Bills!#REF!,"AAAAAHm9fFs=")</f>
        <v>#REF!</v>
      </c>
      <c r="CO46" t="e">
        <f>AND(Bills!#REF!,"AAAAAHm9fFw=")</f>
        <v>#REF!</v>
      </c>
      <c r="CP46" t="e">
        <f>AND(Bills!AC70,"AAAAAHm9fF0=")</f>
        <v>#VALUE!</v>
      </c>
      <c r="CQ46" t="e">
        <f>AND(Bills!AD70,"AAAAAHm9fF4=")</f>
        <v>#VALUE!</v>
      </c>
      <c r="CR46" t="e">
        <f>AND(Bills!#REF!,"AAAAAHm9fF8=")</f>
        <v>#REF!</v>
      </c>
      <c r="CS46">
        <f>IF(Bills!71:71,"AAAAAHm9fGA=",0)</f>
        <v>0</v>
      </c>
      <c r="CT46" t="e">
        <f>AND(Bills!B71,"AAAAAHm9fGE=")</f>
        <v>#VALUE!</v>
      </c>
      <c r="CU46" t="e">
        <f>AND(Bills!#REF!,"AAAAAHm9fGI=")</f>
        <v>#REF!</v>
      </c>
      <c r="CV46" t="e">
        <f>AND(Bills!C71,"AAAAAHm9fGM=")</f>
        <v>#VALUE!</v>
      </c>
      <c r="CW46" t="e">
        <f>AND(Bills!D71,"AAAAAHm9fGQ=")</f>
        <v>#VALUE!</v>
      </c>
      <c r="CX46" t="e">
        <f>AND(Bills!E71,"AAAAAHm9fGU=")</f>
        <v>#VALUE!</v>
      </c>
      <c r="CY46" t="e">
        <f>AND(Bills!#REF!,"AAAAAHm9fGY=")</f>
        <v>#REF!</v>
      </c>
      <c r="CZ46" t="e">
        <f>AND(Bills!#REF!,"AAAAAHm9fGc=")</f>
        <v>#REF!</v>
      </c>
      <c r="DA46" t="e">
        <f>AND(Bills!#REF!,"AAAAAHm9fGg=")</f>
        <v>#REF!</v>
      </c>
      <c r="DB46" t="e">
        <f>AND(Bills!F71,"AAAAAHm9fGk=")</f>
        <v>#VALUE!</v>
      </c>
      <c r="DC46" t="e">
        <f>AND(Bills!#REF!,"AAAAAHm9fGo=")</f>
        <v>#REF!</v>
      </c>
      <c r="DD46" t="e">
        <f>AND(Bills!G71,"AAAAAHm9fGs=")</f>
        <v>#VALUE!</v>
      </c>
      <c r="DE46" t="e">
        <f>AND(Bills!H71,"AAAAAHm9fGw=")</f>
        <v>#VALUE!</v>
      </c>
      <c r="DF46" t="e">
        <f>AND(Bills!I71,"AAAAAHm9fG0=")</f>
        <v>#VALUE!</v>
      </c>
      <c r="DG46" t="e">
        <f>AND(Bills!J71,"AAAAAHm9fG4=")</f>
        <v>#VALUE!</v>
      </c>
      <c r="DH46" t="e">
        <f>AND(Bills!K71,"AAAAAHm9fG8=")</f>
        <v>#VALUE!</v>
      </c>
      <c r="DI46" t="e">
        <f>AND(Bills!L71,"AAAAAHm9fHA=")</f>
        <v>#VALUE!</v>
      </c>
      <c r="DJ46" t="e">
        <f>AND(Bills!#REF!,"AAAAAHm9fHE=")</f>
        <v>#REF!</v>
      </c>
      <c r="DK46" t="e">
        <f>AND(Bills!M71,"AAAAAHm9fHI=")</f>
        <v>#VALUE!</v>
      </c>
      <c r="DL46" t="e">
        <f>AND(Bills!N71,"AAAAAHm9fHM=")</f>
        <v>#VALUE!</v>
      </c>
      <c r="DM46" t="e">
        <f>AND(Bills!O71,"AAAAAHm9fHQ=")</f>
        <v>#VALUE!</v>
      </c>
      <c r="DN46" t="e">
        <f>AND(Bills!P71,"AAAAAHm9fHU=")</f>
        <v>#VALUE!</v>
      </c>
      <c r="DO46" t="e">
        <f>AND(Bills!Q71,"AAAAAHm9fHY=")</f>
        <v>#VALUE!</v>
      </c>
      <c r="DP46" t="e">
        <f>AND(Bills!R71,"AAAAAHm9fHc=")</f>
        <v>#VALUE!</v>
      </c>
      <c r="DQ46" t="e">
        <f>AND(Bills!S71,"AAAAAHm9fHg=")</f>
        <v>#VALUE!</v>
      </c>
      <c r="DR46" t="e">
        <f>AND(Bills!T71,"AAAAAHm9fHk=")</f>
        <v>#VALUE!</v>
      </c>
      <c r="DS46" t="e">
        <f>AND(Bills!#REF!,"AAAAAHm9fHo=")</f>
        <v>#REF!</v>
      </c>
      <c r="DT46" t="e">
        <f>AND(Bills!U71,"AAAAAHm9fHs=")</f>
        <v>#VALUE!</v>
      </c>
      <c r="DU46" t="e">
        <f>AND(Bills!V71,"AAAAAHm9fHw=")</f>
        <v>#VALUE!</v>
      </c>
      <c r="DV46" t="e">
        <f>AND(Bills!W71,"AAAAAHm9fH0=")</f>
        <v>#VALUE!</v>
      </c>
      <c r="DW46" t="e">
        <f>AND(Bills!#REF!,"AAAAAHm9fH4=")</f>
        <v>#REF!</v>
      </c>
      <c r="DX46" t="e">
        <f>AND(Bills!#REF!,"AAAAAHm9fH8=")</f>
        <v>#REF!</v>
      </c>
      <c r="DY46" t="e">
        <f>AND(Bills!Y71,"AAAAAHm9fIA=")</f>
        <v>#VALUE!</v>
      </c>
      <c r="DZ46" t="e">
        <f>AND(Bills!Z71,"AAAAAHm9fIE=")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AND(Bills!AA71,"AAAAAHm9fIs=")</f>
        <v>#VALUE!</v>
      </c>
      <c r="EK46" t="e">
        <f>AND(Bills!AB71,"AAAAAHm9fIw=")</f>
        <v>#VALUE!</v>
      </c>
      <c r="EL46" t="e">
        <f>AND(Bills!#REF!,"AAAAAHm9fI0=")</f>
        <v>#REF!</v>
      </c>
      <c r="EM46" t="e">
        <f>AND(Bills!#REF!,"AAAAAHm9fI4=")</f>
        <v>#REF!</v>
      </c>
      <c r="EN46" t="e">
        <f>AND(Bills!#REF!,"AAAAAHm9fI8=")</f>
        <v>#REF!</v>
      </c>
      <c r="EO46" t="e">
        <f>AND(Bills!AC71,"AAAAAHm9fJA=")</f>
        <v>#VALUE!</v>
      </c>
      <c r="EP46" t="e">
        <f>AND(Bills!AD71,"AAAAAHm9fJE=")</f>
        <v>#VALUE!</v>
      </c>
      <c r="EQ46" t="e">
        <f>AND(Bills!#REF!,"AAAAAHm9fJI=")</f>
        <v>#REF!</v>
      </c>
      <c r="ER46">
        <f>IF(Bills!72:72,"AAAAAHm9fJM=",0)</f>
        <v>0</v>
      </c>
      <c r="ES46" t="e">
        <f>AND(Bills!B72,"AAAAAHm9fJQ=")</f>
        <v>#VALUE!</v>
      </c>
      <c r="ET46" t="e">
        <f>AND(Bills!#REF!,"AAAAAHm9fJU=")</f>
        <v>#REF!</v>
      </c>
      <c r="EU46" t="e">
        <f>AND(Bills!C72,"AAAAAHm9fJY=")</f>
        <v>#VALUE!</v>
      </c>
      <c r="EV46" t="e">
        <f>AND(Bills!D72,"AAAAAHm9fJc=")</f>
        <v>#VALUE!</v>
      </c>
      <c r="EW46" t="e">
        <f>AND(Bills!E72,"AAAAAHm9fJg=")</f>
        <v>#VALUE!</v>
      </c>
      <c r="EX46" t="e">
        <f>AND(Bills!#REF!,"AAAAAHm9fJk=")</f>
        <v>#REF!</v>
      </c>
      <c r="EY46" t="e">
        <f>AND(Bills!#REF!,"AAAAAHm9fJo=")</f>
        <v>#REF!</v>
      </c>
      <c r="EZ46" t="e">
        <f>AND(Bills!#REF!,"AAAAAHm9fJs=")</f>
        <v>#REF!</v>
      </c>
      <c r="FA46" t="e">
        <f>AND(Bills!F72,"AAAAAHm9fJw=")</f>
        <v>#VALUE!</v>
      </c>
      <c r="FB46" t="e">
        <f>AND(Bills!#REF!,"AAAAAHm9fJ0=")</f>
        <v>#REF!</v>
      </c>
      <c r="FC46" t="e">
        <f>AND(Bills!G72,"AAAAAHm9fJ4=")</f>
        <v>#VALUE!</v>
      </c>
      <c r="FD46" t="e">
        <f>AND(Bills!H72,"AAAAAHm9fJ8=")</f>
        <v>#VALUE!</v>
      </c>
      <c r="FE46" t="e">
        <f>AND(Bills!I72,"AAAAAHm9fKA=")</f>
        <v>#VALUE!</v>
      </c>
      <c r="FF46" t="e">
        <f>AND(Bills!J72,"AAAAAHm9fKE=")</f>
        <v>#VALUE!</v>
      </c>
      <c r="FG46" t="e">
        <f>AND(Bills!K72,"AAAAAHm9fKI=")</f>
        <v>#VALUE!</v>
      </c>
      <c r="FH46" t="e">
        <f>AND(Bills!L72,"AAAAAHm9fKM=")</f>
        <v>#VALUE!</v>
      </c>
      <c r="FI46" t="e">
        <f>AND(Bills!#REF!,"AAAAAHm9fKQ=")</f>
        <v>#REF!</v>
      </c>
      <c r="FJ46" t="e">
        <f>AND(Bills!M72,"AAAAAHm9fKU=")</f>
        <v>#VALUE!</v>
      </c>
      <c r="FK46" t="e">
        <f>AND(Bills!N72,"AAAAAHm9fKY=")</f>
        <v>#VALUE!</v>
      </c>
      <c r="FL46" t="e">
        <f>AND(Bills!O72,"AAAAAHm9fKc=")</f>
        <v>#VALUE!</v>
      </c>
      <c r="FM46" t="e">
        <f>AND(Bills!P72,"AAAAAHm9fKg=")</f>
        <v>#VALUE!</v>
      </c>
      <c r="FN46" t="e">
        <f>AND(Bills!Q72,"AAAAAHm9fKk=")</f>
        <v>#VALUE!</v>
      </c>
      <c r="FO46" t="e">
        <f>AND(Bills!R72,"AAAAAHm9fKo=")</f>
        <v>#VALUE!</v>
      </c>
      <c r="FP46" t="e">
        <f>AND(Bills!S72,"AAAAAHm9fKs=")</f>
        <v>#VALUE!</v>
      </c>
      <c r="FQ46" t="e">
        <f>AND(Bills!T72,"AAAAAHm9fKw=")</f>
        <v>#VALUE!</v>
      </c>
      <c r="FR46" t="e">
        <f>AND(Bills!#REF!,"AAAAAHm9fK0=")</f>
        <v>#REF!</v>
      </c>
      <c r="FS46" t="e">
        <f>AND(Bills!U72,"AAAAAHm9fK4=")</f>
        <v>#VALUE!</v>
      </c>
      <c r="FT46" t="e">
        <f>AND(Bills!V72,"AAAAAHm9fK8=")</f>
        <v>#VALUE!</v>
      </c>
      <c r="FU46" t="e">
        <f>AND(Bills!W72,"AAAAAHm9fLA=")</f>
        <v>#VALUE!</v>
      </c>
      <c r="FV46" t="e">
        <f>AND(Bills!#REF!,"AAAAAHm9fLE=")</f>
        <v>#REF!</v>
      </c>
      <c r="FW46" t="e">
        <f>AND(Bills!#REF!,"AAAAAHm9fLI=")</f>
        <v>#REF!</v>
      </c>
      <c r="FX46" t="e">
        <f>AND(Bills!Y72,"AAAAAHm9fLM=")</f>
        <v>#VALUE!</v>
      </c>
      <c r="FY46" t="e">
        <f>AND(Bills!Z72,"AAAAAHm9fLQ=")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AND(Bills!AA72,"AAAAAHm9fL4=")</f>
        <v>#VALUE!</v>
      </c>
      <c r="GJ46" t="e">
        <f>AND(Bills!AB72,"AAAAAHm9fL8=")</f>
        <v>#VALUE!</v>
      </c>
      <c r="GK46" t="e">
        <f>AND(Bills!#REF!,"AAAAAHm9fMA=")</f>
        <v>#REF!</v>
      </c>
      <c r="GL46" t="e">
        <f>AND(Bills!#REF!,"AAAAAHm9fME=")</f>
        <v>#REF!</v>
      </c>
      <c r="GM46" t="e">
        <f>AND(Bills!#REF!,"AAAAAHm9fMI=")</f>
        <v>#REF!</v>
      </c>
      <c r="GN46" t="e">
        <f>AND(Bills!AC72,"AAAAAHm9fMM=")</f>
        <v>#VALUE!</v>
      </c>
      <c r="GO46" t="e">
        <f>AND(Bills!AD72,"AAAAAHm9fMQ=")</f>
        <v>#VALUE!</v>
      </c>
      <c r="GP46" t="e">
        <f>AND(Bills!#REF!,"AAAAAHm9fMU=")</f>
        <v>#REF!</v>
      </c>
      <c r="GQ46">
        <f>IF(Bills!73:73,"AAAAAHm9fMY=",0)</f>
        <v>0</v>
      </c>
      <c r="GR46" t="e">
        <f>AND(Bills!B73,"AAAAAHm9fMc=")</f>
        <v>#VALUE!</v>
      </c>
      <c r="GS46" t="e">
        <f>AND(Bills!#REF!,"AAAAAHm9fMg=")</f>
        <v>#REF!</v>
      </c>
      <c r="GT46" t="e">
        <f>AND(Bills!C73,"AAAAAHm9fMk=")</f>
        <v>#VALUE!</v>
      </c>
      <c r="GU46" t="e">
        <f>AND(Bills!D73,"AAAAAHm9fMo=")</f>
        <v>#VALUE!</v>
      </c>
      <c r="GV46" t="e">
        <f>AND(Bills!E73,"AAAAAHm9fMs=")</f>
        <v>#VALUE!</v>
      </c>
      <c r="GW46" t="e">
        <f>AND(Bills!#REF!,"AAAAAHm9fMw=")</f>
        <v>#REF!</v>
      </c>
      <c r="GX46" t="e">
        <f>AND(Bills!#REF!,"AAAAAHm9fM0=")</f>
        <v>#REF!</v>
      </c>
      <c r="GY46" t="e">
        <f>AND(Bills!#REF!,"AAAAAHm9fM4=")</f>
        <v>#REF!</v>
      </c>
      <c r="GZ46" t="e">
        <f>AND(Bills!F73,"AAAAAHm9fM8=")</f>
        <v>#VALUE!</v>
      </c>
      <c r="HA46" t="e">
        <f>AND(Bills!#REF!,"AAAAAHm9fNA=")</f>
        <v>#REF!</v>
      </c>
      <c r="HB46" t="e">
        <f>AND(Bills!G73,"AAAAAHm9fNE=")</f>
        <v>#VALUE!</v>
      </c>
      <c r="HC46" t="e">
        <f>AND(Bills!H73,"AAAAAHm9fNI=")</f>
        <v>#VALUE!</v>
      </c>
      <c r="HD46" t="e">
        <f>AND(Bills!I73,"AAAAAHm9fNM=")</f>
        <v>#VALUE!</v>
      </c>
      <c r="HE46" t="e">
        <f>AND(Bills!J73,"AAAAAHm9fNQ=")</f>
        <v>#VALUE!</v>
      </c>
      <c r="HF46" t="e">
        <f>AND(Bills!K73,"AAAAAHm9fNU=")</f>
        <v>#VALUE!</v>
      </c>
      <c r="HG46" t="e">
        <f>AND(Bills!L73,"AAAAAHm9fNY=")</f>
        <v>#VALUE!</v>
      </c>
      <c r="HH46" t="e">
        <f>AND(Bills!#REF!,"AAAAAHm9fNc=")</f>
        <v>#REF!</v>
      </c>
      <c r="HI46" t="e">
        <f>AND(Bills!M73,"AAAAAHm9fNg=")</f>
        <v>#VALUE!</v>
      </c>
      <c r="HJ46" t="e">
        <f>AND(Bills!N73,"AAAAAHm9fNk=")</f>
        <v>#VALUE!</v>
      </c>
      <c r="HK46" t="e">
        <f>AND(Bills!O73,"AAAAAHm9fNo=")</f>
        <v>#VALUE!</v>
      </c>
      <c r="HL46" t="e">
        <f>AND(Bills!P73,"AAAAAHm9fNs=")</f>
        <v>#VALUE!</v>
      </c>
      <c r="HM46" t="e">
        <f>AND(Bills!Q73,"AAAAAHm9fNw=")</f>
        <v>#VALUE!</v>
      </c>
      <c r="HN46" t="e">
        <f>AND(Bills!R73,"AAAAAHm9fN0=")</f>
        <v>#VALUE!</v>
      </c>
      <c r="HO46" t="e">
        <f>AND(Bills!S73,"AAAAAHm9fN4=")</f>
        <v>#VALUE!</v>
      </c>
      <c r="HP46" t="e">
        <f>AND(Bills!T73,"AAAAAHm9fN8=")</f>
        <v>#VALUE!</v>
      </c>
      <c r="HQ46" t="e">
        <f>AND(Bills!#REF!,"AAAAAHm9fOA=")</f>
        <v>#REF!</v>
      </c>
      <c r="HR46" t="e">
        <f>AND(Bills!U73,"AAAAAHm9fOE=")</f>
        <v>#VALUE!</v>
      </c>
      <c r="HS46" t="e">
        <f>AND(Bills!V73,"AAAAAHm9fOI=")</f>
        <v>#VALUE!</v>
      </c>
      <c r="HT46" t="e">
        <f>AND(Bills!W73,"AAAAAHm9fOM=")</f>
        <v>#VALUE!</v>
      </c>
      <c r="HU46" t="e">
        <f>AND(Bills!#REF!,"AAAAAHm9fOQ=")</f>
        <v>#REF!</v>
      </c>
      <c r="HV46" t="e">
        <f>AND(Bills!#REF!,"AAAAAHm9fOU=")</f>
        <v>#REF!</v>
      </c>
      <c r="HW46" t="e">
        <f>AND(Bills!Y73,"AAAAAHm9fOY=")</f>
        <v>#VALUE!</v>
      </c>
      <c r="HX46" t="e">
        <f>AND(Bills!Z73,"AAAAAHm9fOc=")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AND(Bills!AA73,"AAAAAHm9fPE=")</f>
        <v>#VALUE!</v>
      </c>
      <c r="II46" t="e">
        <f>AND(Bills!AB73,"AAAAAHm9fPI=")</f>
        <v>#VALUE!</v>
      </c>
      <c r="IJ46" t="e">
        <f>AND(Bills!#REF!,"AAAAAHm9fPM=")</f>
        <v>#REF!</v>
      </c>
      <c r="IK46" t="e">
        <f>AND(Bills!#REF!,"AAAAAHm9fPQ=")</f>
        <v>#REF!</v>
      </c>
      <c r="IL46" t="e">
        <f>AND(Bills!#REF!,"AAAAAHm9fPU=")</f>
        <v>#REF!</v>
      </c>
      <c r="IM46" t="e">
        <f>AND(Bills!AC73,"AAAAAHm9fPY=")</f>
        <v>#VALUE!</v>
      </c>
      <c r="IN46" t="e">
        <f>AND(Bills!AD73,"AAAAAHm9fPc=")</f>
        <v>#VALUE!</v>
      </c>
      <c r="IO46" t="e">
        <f>AND(Bills!#REF!,"AAAAAHm9fPg=")</f>
        <v>#REF!</v>
      </c>
      <c r="IP46">
        <f>IF(Bills!74:74,"AAAAAHm9fPk=",0)</f>
        <v>0</v>
      </c>
      <c r="IQ46" t="e">
        <f>AND(Bills!B74,"AAAAAHm9fPo=")</f>
        <v>#VALUE!</v>
      </c>
      <c r="IR46" t="e">
        <f>AND(Bills!#REF!,"AAAAAHm9fPs=")</f>
        <v>#REF!</v>
      </c>
      <c r="IS46" t="e">
        <f>AND(Bills!C74,"AAAAAHm9fPw=")</f>
        <v>#VALUE!</v>
      </c>
      <c r="IT46" t="e">
        <f>AND(Bills!D74,"AAAAAHm9fP0=")</f>
        <v>#VALUE!</v>
      </c>
      <c r="IU46" t="e">
        <f>AND(Bills!E74,"AAAAAHm9fP4=")</f>
        <v>#VALUE!</v>
      </c>
      <c r="IV46" t="e">
        <f>AND(Bills!#REF!,"AAAAAHm9fP8=")</f>
        <v>#REF!</v>
      </c>
    </row>
    <row r="47" spans="1:256">
      <c r="A47" t="e">
        <f>AND(Bills!#REF!,"AAAAAH6/3wA=")</f>
        <v>#REF!</v>
      </c>
      <c r="B47" t="e">
        <f>AND(Bills!#REF!,"AAAAAH6/3wE=")</f>
        <v>#REF!</v>
      </c>
      <c r="C47" t="e">
        <f>AND(Bills!F74,"AAAAAH6/3wI=")</f>
        <v>#VALUE!</v>
      </c>
      <c r="D47" t="e">
        <f>AND(Bills!#REF!,"AAAAAH6/3wM=")</f>
        <v>#REF!</v>
      </c>
      <c r="E47" t="e">
        <f>AND(Bills!G74,"AAAAAH6/3wQ=")</f>
        <v>#VALUE!</v>
      </c>
      <c r="F47" t="e">
        <f>AND(Bills!H74,"AAAAAH6/3wU=")</f>
        <v>#VALUE!</v>
      </c>
      <c r="G47" t="e">
        <f>AND(Bills!I74,"AAAAAH6/3wY=")</f>
        <v>#VALUE!</v>
      </c>
      <c r="H47" t="e">
        <f>AND(Bills!J74,"AAAAAH6/3wc=")</f>
        <v>#VALUE!</v>
      </c>
      <c r="I47" t="e">
        <f>AND(Bills!K74,"AAAAAH6/3wg=")</f>
        <v>#VALUE!</v>
      </c>
      <c r="J47" t="e">
        <f>AND(Bills!L74,"AAAAAH6/3wk=")</f>
        <v>#VALUE!</v>
      </c>
      <c r="K47" t="e">
        <f>AND(Bills!#REF!,"AAAAAH6/3wo=")</f>
        <v>#REF!</v>
      </c>
      <c r="L47" t="e">
        <f>AND(Bills!M74,"AAAAAH6/3ws=")</f>
        <v>#VALUE!</v>
      </c>
      <c r="M47" t="e">
        <f>AND(Bills!N74,"AAAAAH6/3ww=")</f>
        <v>#VALUE!</v>
      </c>
      <c r="N47" t="e">
        <f>AND(Bills!O74,"AAAAAH6/3w0=")</f>
        <v>#VALUE!</v>
      </c>
      <c r="O47" t="e">
        <f>AND(Bills!P74,"AAAAAH6/3w4=")</f>
        <v>#VALUE!</v>
      </c>
      <c r="P47" t="e">
        <f>AND(Bills!Q74,"AAAAAH6/3w8=")</f>
        <v>#VALUE!</v>
      </c>
      <c r="Q47" t="e">
        <f>AND(Bills!R74,"AAAAAH6/3xA=")</f>
        <v>#VALUE!</v>
      </c>
      <c r="R47" t="e">
        <f>AND(Bills!S74,"AAAAAH6/3xE=")</f>
        <v>#VALUE!</v>
      </c>
      <c r="S47" t="e">
        <f>AND(Bills!T74,"AAAAAH6/3xI=")</f>
        <v>#VALUE!</v>
      </c>
      <c r="T47" t="e">
        <f>AND(Bills!#REF!,"AAAAAH6/3xM=")</f>
        <v>#REF!</v>
      </c>
      <c r="U47" t="e">
        <f>AND(Bills!U74,"AAAAAH6/3xQ=")</f>
        <v>#VALUE!</v>
      </c>
      <c r="V47" t="e">
        <f>AND(Bills!V74,"AAAAAH6/3xU=")</f>
        <v>#VALUE!</v>
      </c>
      <c r="W47" t="e">
        <f>AND(Bills!W74,"AAAAAH6/3xY=")</f>
        <v>#VALUE!</v>
      </c>
      <c r="X47" t="e">
        <f>AND(Bills!#REF!,"AAAAAH6/3xc=")</f>
        <v>#REF!</v>
      </c>
      <c r="Y47" t="e">
        <f>AND(Bills!#REF!,"AAAAAH6/3xg=")</f>
        <v>#REF!</v>
      </c>
      <c r="Z47" t="e">
        <f>AND(Bills!Y74,"AAAAAH6/3xk=")</f>
        <v>#VALUE!</v>
      </c>
      <c r="AA47" t="e">
        <f>AND(Bills!Z74,"AAAAAH6/3xo=")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AND(Bills!AA74,"AAAAAH6/3yQ=")</f>
        <v>#VALUE!</v>
      </c>
      <c r="AL47" t="e">
        <f>AND(Bills!AB74,"AAAAAH6/3yU=")</f>
        <v>#VALUE!</v>
      </c>
      <c r="AM47" t="e">
        <f>AND(Bills!#REF!,"AAAAAH6/3yY=")</f>
        <v>#REF!</v>
      </c>
      <c r="AN47" t="e">
        <f>AND(Bills!#REF!,"AAAAAH6/3yc=")</f>
        <v>#REF!</v>
      </c>
      <c r="AO47" t="e">
        <f>AND(Bills!#REF!,"AAAAAH6/3yg=")</f>
        <v>#REF!</v>
      </c>
      <c r="AP47" t="e">
        <f>AND(Bills!AC74,"AAAAAH6/3yk=")</f>
        <v>#VALUE!</v>
      </c>
      <c r="AQ47" t="e">
        <f>AND(Bills!AD74,"AAAAAH6/3yo=")</f>
        <v>#VALUE!</v>
      </c>
      <c r="AR47" t="e">
        <f>AND(Bills!#REF!,"AAAAAH6/3ys=")</f>
        <v>#REF!</v>
      </c>
      <c r="AS47">
        <f>IF(Bills!75:75,"AAAAAH6/3yw=",0)</f>
        <v>0</v>
      </c>
      <c r="AT47" t="e">
        <f>AND(Bills!B75,"AAAAAH6/3y0=")</f>
        <v>#VALUE!</v>
      </c>
      <c r="AU47" t="e">
        <f>AND(Bills!#REF!,"AAAAAH6/3y4=")</f>
        <v>#REF!</v>
      </c>
      <c r="AV47" t="e">
        <f>AND(Bills!C75,"AAAAAH6/3y8=")</f>
        <v>#VALUE!</v>
      </c>
      <c r="AW47" t="e">
        <f>AND(Bills!D75,"AAAAAH6/3zA=")</f>
        <v>#VALUE!</v>
      </c>
      <c r="AX47" t="e">
        <f>AND(Bills!E75,"AAAAAH6/3zE=")</f>
        <v>#VALUE!</v>
      </c>
      <c r="AY47" t="e">
        <f>AND(Bills!#REF!,"AAAAAH6/3zI=")</f>
        <v>#REF!</v>
      </c>
      <c r="AZ47" t="e">
        <f>AND(Bills!#REF!,"AAAAAH6/3zM=")</f>
        <v>#REF!</v>
      </c>
      <c r="BA47" t="e">
        <f>AND(Bills!#REF!,"AAAAAH6/3zQ=")</f>
        <v>#REF!</v>
      </c>
      <c r="BB47" t="e">
        <f>AND(Bills!F75,"AAAAAH6/3zU=")</f>
        <v>#VALUE!</v>
      </c>
      <c r="BC47" t="e">
        <f>AND(Bills!#REF!,"AAAAAH6/3zY=")</f>
        <v>#REF!</v>
      </c>
      <c r="BD47" t="e">
        <f>AND(Bills!G75,"AAAAAH6/3zc=")</f>
        <v>#VALUE!</v>
      </c>
      <c r="BE47" t="e">
        <f>AND(Bills!H75,"AAAAAH6/3zg=")</f>
        <v>#VALUE!</v>
      </c>
      <c r="BF47" t="e">
        <f>AND(Bills!I75,"AAAAAH6/3zk=")</f>
        <v>#VALUE!</v>
      </c>
      <c r="BG47" t="e">
        <f>AND(Bills!J75,"AAAAAH6/3zo=")</f>
        <v>#VALUE!</v>
      </c>
      <c r="BH47" t="e">
        <f>AND(Bills!K75,"AAAAAH6/3zs=")</f>
        <v>#VALUE!</v>
      </c>
      <c r="BI47" t="e">
        <f>AND(Bills!L75,"AAAAAH6/3zw=")</f>
        <v>#VALUE!</v>
      </c>
      <c r="BJ47" t="e">
        <f>AND(Bills!#REF!,"AAAAAH6/3z0=")</f>
        <v>#REF!</v>
      </c>
      <c r="BK47" t="e">
        <f>AND(Bills!M75,"AAAAAH6/3z4=")</f>
        <v>#VALUE!</v>
      </c>
      <c r="BL47" t="e">
        <f>AND(Bills!N75,"AAAAAH6/3z8=")</f>
        <v>#VALUE!</v>
      </c>
      <c r="BM47" t="e">
        <f>AND(Bills!O75,"AAAAAH6/30A=")</f>
        <v>#VALUE!</v>
      </c>
      <c r="BN47" t="e">
        <f>AND(Bills!P75,"AAAAAH6/30E=")</f>
        <v>#VALUE!</v>
      </c>
      <c r="BO47" t="e">
        <f>AND(Bills!Q75,"AAAAAH6/30I=")</f>
        <v>#VALUE!</v>
      </c>
      <c r="BP47" t="e">
        <f>AND(Bills!R75,"AAAAAH6/30M=")</f>
        <v>#VALUE!</v>
      </c>
      <c r="BQ47" t="e">
        <f>AND(Bills!S75,"AAAAAH6/30Q=")</f>
        <v>#VALUE!</v>
      </c>
      <c r="BR47" t="e">
        <f>AND(Bills!T75,"AAAAAH6/30U=")</f>
        <v>#VALUE!</v>
      </c>
      <c r="BS47" t="e">
        <f>AND(Bills!#REF!,"AAAAAH6/30Y=")</f>
        <v>#REF!</v>
      </c>
      <c r="BT47" t="e">
        <f>AND(Bills!U75,"AAAAAH6/30c=")</f>
        <v>#VALUE!</v>
      </c>
      <c r="BU47" t="e">
        <f>AND(Bills!V75,"AAAAAH6/30g=")</f>
        <v>#VALUE!</v>
      </c>
      <c r="BV47" t="e">
        <f>AND(Bills!W75,"AAAAAH6/30k=")</f>
        <v>#VALUE!</v>
      </c>
      <c r="BW47" t="e">
        <f>AND(Bills!#REF!,"AAAAAH6/30o=")</f>
        <v>#REF!</v>
      </c>
      <c r="BX47" t="e">
        <f>AND(Bills!#REF!,"AAAAAH6/30s=")</f>
        <v>#REF!</v>
      </c>
      <c r="BY47" t="e">
        <f>AND(Bills!Y75,"AAAAAH6/30w=")</f>
        <v>#VALUE!</v>
      </c>
      <c r="BZ47" t="e">
        <f>AND(Bills!Z75,"AAAAAH6/300=")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AND(Bills!AA75,"AAAAAH6/31c=")</f>
        <v>#VALUE!</v>
      </c>
      <c r="CK47" t="e">
        <f>AND(Bills!AB75,"AAAAAH6/31g=")</f>
        <v>#VALUE!</v>
      </c>
      <c r="CL47" t="e">
        <f>AND(Bills!#REF!,"AAAAAH6/31k=")</f>
        <v>#REF!</v>
      </c>
      <c r="CM47" t="e">
        <f>AND(Bills!#REF!,"AAAAAH6/31o=")</f>
        <v>#REF!</v>
      </c>
      <c r="CN47" t="e">
        <f>AND(Bills!#REF!,"AAAAAH6/31s=")</f>
        <v>#REF!</v>
      </c>
      <c r="CO47" t="e">
        <f>AND(Bills!AC75,"AAAAAH6/31w=")</f>
        <v>#VALUE!</v>
      </c>
      <c r="CP47" t="e">
        <f>AND(Bills!AD75,"AAAAAH6/310=")</f>
        <v>#VALUE!</v>
      </c>
      <c r="CQ47" t="e">
        <f>AND(Bills!#REF!,"AAAAAH6/314=")</f>
        <v>#REF!</v>
      </c>
      <c r="CR47">
        <f>IF(Bills!76:76,"AAAAAH6/318=",0)</f>
        <v>0</v>
      </c>
      <c r="CS47" t="e">
        <f>AND(Bills!B76,"AAAAAH6/32A=")</f>
        <v>#VALUE!</v>
      </c>
      <c r="CT47" t="e">
        <f>AND(Bills!#REF!,"AAAAAH6/32E=")</f>
        <v>#REF!</v>
      </c>
      <c r="CU47" t="e">
        <f>AND(Bills!C76,"AAAAAH6/32I=")</f>
        <v>#VALUE!</v>
      </c>
      <c r="CV47" t="e">
        <f>AND(Bills!D76,"AAAAAH6/32M=")</f>
        <v>#VALUE!</v>
      </c>
      <c r="CW47" t="e">
        <f>AND(Bills!E76,"AAAAAH6/32Q=")</f>
        <v>#VALUE!</v>
      </c>
      <c r="CX47" t="e">
        <f>AND(Bills!#REF!,"AAAAAH6/32U=")</f>
        <v>#REF!</v>
      </c>
      <c r="CY47" t="e">
        <f>AND(Bills!#REF!,"AAAAAH6/32Y=")</f>
        <v>#REF!</v>
      </c>
      <c r="CZ47" t="e">
        <f>AND(Bills!#REF!,"AAAAAH6/32c=")</f>
        <v>#REF!</v>
      </c>
      <c r="DA47" t="e">
        <f>AND(Bills!F76,"AAAAAH6/32g=")</f>
        <v>#VALUE!</v>
      </c>
      <c r="DB47" t="e">
        <f>AND(Bills!#REF!,"AAAAAH6/32k=")</f>
        <v>#REF!</v>
      </c>
      <c r="DC47" t="e">
        <f>AND(Bills!G76,"AAAAAH6/32o=")</f>
        <v>#VALUE!</v>
      </c>
      <c r="DD47" t="e">
        <f>AND(Bills!H76,"AAAAAH6/32s=")</f>
        <v>#VALUE!</v>
      </c>
      <c r="DE47" t="e">
        <f>AND(Bills!I76,"AAAAAH6/32w=")</f>
        <v>#VALUE!</v>
      </c>
      <c r="DF47" t="e">
        <f>AND(Bills!J76,"AAAAAH6/320=")</f>
        <v>#VALUE!</v>
      </c>
      <c r="DG47" t="e">
        <f>AND(Bills!K76,"AAAAAH6/324=")</f>
        <v>#VALUE!</v>
      </c>
      <c r="DH47" t="e">
        <f>AND(Bills!L76,"AAAAAH6/328=")</f>
        <v>#VALUE!</v>
      </c>
      <c r="DI47" t="e">
        <f>AND(Bills!#REF!,"AAAAAH6/33A=")</f>
        <v>#REF!</v>
      </c>
      <c r="DJ47" t="e">
        <f>AND(Bills!M76,"AAAAAH6/33E=")</f>
        <v>#VALUE!</v>
      </c>
      <c r="DK47" t="e">
        <f>AND(Bills!N76,"AAAAAH6/33I=")</f>
        <v>#VALUE!</v>
      </c>
      <c r="DL47" t="e">
        <f>AND(Bills!O76,"AAAAAH6/33M=")</f>
        <v>#VALUE!</v>
      </c>
      <c r="DM47" t="e">
        <f>AND(Bills!P76,"AAAAAH6/33Q=")</f>
        <v>#VALUE!</v>
      </c>
      <c r="DN47" t="e">
        <f>AND(Bills!Q76,"AAAAAH6/33U=")</f>
        <v>#VALUE!</v>
      </c>
      <c r="DO47" t="e">
        <f>AND(Bills!R76,"AAAAAH6/33Y=")</f>
        <v>#VALUE!</v>
      </c>
      <c r="DP47" t="e">
        <f>AND(Bills!S76,"AAAAAH6/33c=")</f>
        <v>#VALUE!</v>
      </c>
      <c r="DQ47" t="e">
        <f>AND(Bills!T76,"AAAAAH6/33g=")</f>
        <v>#VALUE!</v>
      </c>
      <c r="DR47" t="e">
        <f>AND(Bills!#REF!,"AAAAAH6/33k=")</f>
        <v>#REF!</v>
      </c>
      <c r="DS47" t="e">
        <f>AND(Bills!U76,"AAAAAH6/33o=")</f>
        <v>#VALUE!</v>
      </c>
      <c r="DT47" t="e">
        <f>AND(Bills!V76,"AAAAAH6/33s=")</f>
        <v>#VALUE!</v>
      </c>
      <c r="DU47" t="e">
        <f>AND(Bills!W76,"AAAAAH6/33w=")</f>
        <v>#VALUE!</v>
      </c>
      <c r="DV47" t="e">
        <f>AND(Bills!#REF!,"AAAAAH6/330=")</f>
        <v>#REF!</v>
      </c>
      <c r="DW47" t="e">
        <f>AND(Bills!#REF!,"AAAAAH6/334=")</f>
        <v>#REF!</v>
      </c>
      <c r="DX47" t="e">
        <f>AND(Bills!Y76,"AAAAAH6/338=")</f>
        <v>#VALUE!</v>
      </c>
      <c r="DY47" t="e">
        <f>AND(Bills!Z76,"AAAAAH6/34A=")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AND(Bills!AA76,"AAAAAH6/34o=")</f>
        <v>#VALUE!</v>
      </c>
      <c r="EJ47" t="e">
        <f>AND(Bills!AB76,"AAAAAH6/34s=")</f>
        <v>#VALUE!</v>
      </c>
      <c r="EK47" t="e">
        <f>AND(Bills!#REF!,"AAAAAH6/34w=")</f>
        <v>#REF!</v>
      </c>
      <c r="EL47" t="e">
        <f>AND(Bills!#REF!,"AAAAAH6/340=")</f>
        <v>#REF!</v>
      </c>
      <c r="EM47" t="e">
        <f>AND(Bills!#REF!,"AAAAAH6/344=")</f>
        <v>#REF!</v>
      </c>
      <c r="EN47" t="e">
        <f>AND(Bills!AC76,"AAAAAH6/348=")</f>
        <v>#VALUE!</v>
      </c>
      <c r="EO47" t="e">
        <f>AND(Bills!AD76,"AAAAAH6/35A=")</f>
        <v>#VALUE!</v>
      </c>
      <c r="EP47" t="e">
        <f>AND(Bills!#REF!,"AAAAAH6/35E=")</f>
        <v>#REF!</v>
      </c>
      <c r="EQ47">
        <f>IF(Bills!77:77,"AAAAAH6/35I=",0)</f>
        <v>0</v>
      </c>
      <c r="ER47" t="e">
        <f>AND(Bills!B77,"AAAAAH6/35M=")</f>
        <v>#VALUE!</v>
      </c>
      <c r="ES47" t="e">
        <f>AND(Bills!#REF!,"AAAAAH6/35Q=")</f>
        <v>#REF!</v>
      </c>
      <c r="ET47" t="e">
        <f>AND(Bills!C77,"AAAAAH6/35U=")</f>
        <v>#VALUE!</v>
      </c>
      <c r="EU47" t="e">
        <f>AND(Bills!D77,"AAAAAH6/35Y=")</f>
        <v>#VALUE!</v>
      </c>
      <c r="EV47" t="e">
        <f>AND(Bills!E77,"AAAAAH6/35c=")</f>
        <v>#VALUE!</v>
      </c>
      <c r="EW47" t="e">
        <f>AND(Bills!#REF!,"AAAAAH6/35g=")</f>
        <v>#REF!</v>
      </c>
      <c r="EX47" t="e">
        <f>AND(Bills!#REF!,"AAAAAH6/35k=")</f>
        <v>#REF!</v>
      </c>
      <c r="EY47" t="e">
        <f>AND(Bills!#REF!,"AAAAAH6/35o=")</f>
        <v>#REF!</v>
      </c>
      <c r="EZ47" t="e">
        <f>AND(Bills!F77,"AAAAAH6/35s=")</f>
        <v>#VALUE!</v>
      </c>
      <c r="FA47" t="e">
        <f>AND(Bills!#REF!,"AAAAAH6/35w=")</f>
        <v>#REF!</v>
      </c>
      <c r="FB47" t="e">
        <f>AND(Bills!G77,"AAAAAH6/350=")</f>
        <v>#VALUE!</v>
      </c>
      <c r="FC47" t="e">
        <f>AND(Bills!H77,"AAAAAH6/354=")</f>
        <v>#VALUE!</v>
      </c>
      <c r="FD47" t="e">
        <f>AND(Bills!I77,"AAAAAH6/358=")</f>
        <v>#VALUE!</v>
      </c>
      <c r="FE47" t="e">
        <f>AND(Bills!J77,"AAAAAH6/36A=")</f>
        <v>#VALUE!</v>
      </c>
      <c r="FF47" t="e">
        <f>AND(Bills!K77,"AAAAAH6/36E=")</f>
        <v>#VALUE!</v>
      </c>
      <c r="FG47" t="e">
        <f>AND(Bills!L77,"AAAAAH6/36I=")</f>
        <v>#VALUE!</v>
      </c>
      <c r="FH47" t="e">
        <f>AND(Bills!#REF!,"AAAAAH6/36M=")</f>
        <v>#REF!</v>
      </c>
      <c r="FI47" t="e">
        <f>AND(Bills!M77,"AAAAAH6/36Q=")</f>
        <v>#VALUE!</v>
      </c>
      <c r="FJ47" t="e">
        <f>AND(Bills!N77,"AAAAAH6/36U=")</f>
        <v>#VALUE!</v>
      </c>
      <c r="FK47" t="e">
        <f>AND(Bills!O77,"AAAAAH6/36Y=")</f>
        <v>#VALUE!</v>
      </c>
      <c r="FL47" t="e">
        <f>AND(Bills!P77,"AAAAAH6/36c=")</f>
        <v>#VALUE!</v>
      </c>
      <c r="FM47" t="e">
        <f>AND(Bills!Q77,"AAAAAH6/36g=")</f>
        <v>#VALUE!</v>
      </c>
      <c r="FN47" t="e">
        <f>AND(Bills!R77,"AAAAAH6/36k=")</f>
        <v>#VALUE!</v>
      </c>
      <c r="FO47" t="e">
        <f>AND(Bills!S77,"AAAAAH6/36o=")</f>
        <v>#VALUE!</v>
      </c>
      <c r="FP47" t="e">
        <f>AND(Bills!T77,"AAAAAH6/36s=")</f>
        <v>#VALUE!</v>
      </c>
      <c r="FQ47" t="e">
        <f>AND(Bills!#REF!,"AAAAAH6/36w=")</f>
        <v>#REF!</v>
      </c>
      <c r="FR47" t="e">
        <f>AND(Bills!U77,"AAAAAH6/360=")</f>
        <v>#VALUE!</v>
      </c>
      <c r="FS47" t="e">
        <f>AND(Bills!V77,"AAAAAH6/364=")</f>
        <v>#VALUE!</v>
      </c>
      <c r="FT47" t="e">
        <f>AND(Bills!W77,"AAAAAH6/368=")</f>
        <v>#VALUE!</v>
      </c>
      <c r="FU47" t="e">
        <f>AND(Bills!#REF!,"AAAAAH6/37A=")</f>
        <v>#REF!</v>
      </c>
      <c r="FV47" t="e">
        <f>AND(Bills!#REF!,"AAAAAH6/37E=")</f>
        <v>#REF!</v>
      </c>
      <c r="FW47" t="e">
        <f>AND(Bills!Y77,"AAAAAH6/37I=")</f>
        <v>#VALUE!</v>
      </c>
      <c r="FX47" t="e">
        <f>AND(Bills!Z77,"AAAAAH6/37M=")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AND(Bills!AA77,"AAAAAH6/370=")</f>
        <v>#VALUE!</v>
      </c>
      <c r="GI47" t="e">
        <f>AND(Bills!AB77,"AAAAAH6/374=")</f>
        <v>#VALUE!</v>
      </c>
      <c r="GJ47" t="e">
        <f>AND(Bills!#REF!,"AAAAAH6/378=")</f>
        <v>#REF!</v>
      </c>
      <c r="GK47" t="e">
        <f>AND(Bills!#REF!,"AAAAAH6/38A=")</f>
        <v>#REF!</v>
      </c>
      <c r="GL47" t="e">
        <f>AND(Bills!#REF!,"AAAAAH6/38E=")</f>
        <v>#REF!</v>
      </c>
      <c r="GM47" t="e">
        <f>AND(Bills!AC77,"AAAAAH6/38I=")</f>
        <v>#VALUE!</v>
      </c>
      <c r="GN47" t="e">
        <f>AND(Bills!AD77,"AAAAAH6/38M=")</f>
        <v>#VALUE!</v>
      </c>
      <c r="GO47" t="e">
        <f>AND(Bills!#REF!,"AAAAAH6/38Q=")</f>
        <v>#REF!</v>
      </c>
      <c r="GP47">
        <f>IF(Bills!78:78,"AAAAAH6/38U=",0)</f>
        <v>0</v>
      </c>
      <c r="GQ47" t="e">
        <f>AND(Bills!B78,"AAAAAH6/38Y=")</f>
        <v>#VALUE!</v>
      </c>
      <c r="GR47" t="e">
        <f>AND(Bills!#REF!,"AAAAAH6/38c=")</f>
        <v>#REF!</v>
      </c>
      <c r="GS47" t="e">
        <f>AND(Bills!C78,"AAAAAH6/38g=")</f>
        <v>#VALUE!</v>
      </c>
      <c r="GT47" t="e">
        <f>AND(Bills!D78,"AAAAAH6/38k=")</f>
        <v>#VALUE!</v>
      </c>
      <c r="GU47" t="e">
        <f>AND(Bills!E78,"AAAAAH6/38o=")</f>
        <v>#VALUE!</v>
      </c>
      <c r="GV47" t="e">
        <f>AND(Bills!#REF!,"AAAAAH6/38s=")</f>
        <v>#REF!</v>
      </c>
      <c r="GW47" t="e">
        <f>AND(Bills!#REF!,"AAAAAH6/38w=")</f>
        <v>#REF!</v>
      </c>
      <c r="GX47" t="e">
        <f>AND(Bills!#REF!,"AAAAAH6/380=")</f>
        <v>#REF!</v>
      </c>
      <c r="GY47" t="e">
        <f>AND(Bills!F78,"AAAAAH6/384=")</f>
        <v>#VALUE!</v>
      </c>
      <c r="GZ47" t="e">
        <f>AND(Bills!#REF!,"AAAAAH6/388=")</f>
        <v>#REF!</v>
      </c>
      <c r="HA47" t="e">
        <f>AND(Bills!G78,"AAAAAH6/39A=")</f>
        <v>#VALUE!</v>
      </c>
      <c r="HB47" t="e">
        <f>AND(Bills!H78,"AAAAAH6/39E=")</f>
        <v>#VALUE!</v>
      </c>
      <c r="HC47" t="e">
        <f>AND(Bills!I78,"AAAAAH6/39I=")</f>
        <v>#VALUE!</v>
      </c>
      <c r="HD47" t="e">
        <f>AND(Bills!J78,"AAAAAH6/39M=")</f>
        <v>#VALUE!</v>
      </c>
      <c r="HE47" t="e">
        <f>AND(Bills!K78,"AAAAAH6/39Q=")</f>
        <v>#VALUE!</v>
      </c>
      <c r="HF47" t="e">
        <f>AND(Bills!L78,"AAAAAH6/39U=")</f>
        <v>#VALUE!</v>
      </c>
      <c r="HG47" t="e">
        <f>AND(Bills!#REF!,"AAAAAH6/39Y=")</f>
        <v>#REF!</v>
      </c>
      <c r="HH47" t="e">
        <f>AND(Bills!M78,"AAAAAH6/39c=")</f>
        <v>#VALUE!</v>
      </c>
      <c r="HI47" t="e">
        <f>AND(Bills!N78,"AAAAAH6/39g=")</f>
        <v>#VALUE!</v>
      </c>
      <c r="HJ47" t="e">
        <f>AND(Bills!O78,"AAAAAH6/39k=")</f>
        <v>#VALUE!</v>
      </c>
      <c r="HK47" t="e">
        <f>AND(Bills!P78,"AAAAAH6/39o=")</f>
        <v>#VALUE!</v>
      </c>
      <c r="HL47" t="e">
        <f>AND(Bills!Q78,"AAAAAH6/39s=")</f>
        <v>#VALUE!</v>
      </c>
      <c r="HM47" t="e">
        <f>AND(Bills!R78,"AAAAAH6/39w=")</f>
        <v>#VALUE!</v>
      </c>
      <c r="HN47" t="e">
        <f>AND(Bills!S78,"AAAAAH6/390=")</f>
        <v>#VALUE!</v>
      </c>
      <c r="HO47" t="e">
        <f>AND(Bills!T78,"AAAAAH6/394=")</f>
        <v>#VALUE!</v>
      </c>
      <c r="HP47" t="e">
        <f>AND(Bills!#REF!,"AAAAAH6/398=")</f>
        <v>#REF!</v>
      </c>
      <c r="HQ47" t="e">
        <f>AND(Bills!U78,"AAAAAH6/3+A=")</f>
        <v>#VALUE!</v>
      </c>
      <c r="HR47" t="e">
        <f>AND(Bills!V78,"AAAAAH6/3+E=")</f>
        <v>#VALUE!</v>
      </c>
      <c r="HS47" t="e">
        <f>AND(Bills!W78,"AAAAAH6/3+I=")</f>
        <v>#VALUE!</v>
      </c>
      <c r="HT47" t="e">
        <f>AND(Bills!#REF!,"AAAAAH6/3+M=")</f>
        <v>#REF!</v>
      </c>
      <c r="HU47" t="e">
        <f>AND(Bills!#REF!,"AAAAAH6/3+Q=")</f>
        <v>#REF!</v>
      </c>
      <c r="HV47" t="e">
        <f>AND(Bills!Y78,"AAAAAH6/3+U=")</f>
        <v>#VALUE!</v>
      </c>
      <c r="HW47" t="e">
        <f>AND(Bills!Z78,"AAAAAH6/3+Y=")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AND(Bills!AA78,"AAAAAH6/3/A=")</f>
        <v>#VALUE!</v>
      </c>
      <c r="IH47" t="e">
        <f>AND(Bills!AB78,"AAAAAH6/3/E=")</f>
        <v>#VALUE!</v>
      </c>
      <c r="II47" t="e">
        <f>AND(Bills!#REF!,"AAAAAH6/3/I=")</f>
        <v>#REF!</v>
      </c>
      <c r="IJ47" t="e">
        <f>AND(Bills!#REF!,"AAAAAH6/3/M=")</f>
        <v>#REF!</v>
      </c>
      <c r="IK47" t="e">
        <f>AND(Bills!#REF!,"AAAAAH6/3/Q=")</f>
        <v>#REF!</v>
      </c>
      <c r="IL47" t="e">
        <f>AND(Bills!AC78,"AAAAAH6/3/U=")</f>
        <v>#VALUE!</v>
      </c>
      <c r="IM47" t="e">
        <f>AND(Bills!AD78,"AAAAAH6/3/Y=")</f>
        <v>#VALUE!</v>
      </c>
      <c r="IN47" t="e">
        <f>AND(Bills!#REF!,"AAAAAH6/3/c=")</f>
        <v>#REF!</v>
      </c>
      <c r="IO47">
        <f>IF(Bills!79:79,"AAAAAH6/3/g=",0)</f>
        <v>0</v>
      </c>
      <c r="IP47" t="e">
        <f>AND(Bills!B79,"AAAAAH6/3/k=")</f>
        <v>#VALUE!</v>
      </c>
      <c r="IQ47" t="e">
        <f>AND(Bills!#REF!,"AAAAAH6/3/o=")</f>
        <v>#REF!</v>
      </c>
      <c r="IR47" t="e">
        <f>AND(Bills!C79,"AAAAAH6/3/s=")</f>
        <v>#VALUE!</v>
      </c>
      <c r="IS47" t="e">
        <f>AND(Bills!D79,"AAAAAH6/3/w=")</f>
        <v>#VALUE!</v>
      </c>
      <c r="IT47" t="e">
        <f>AND(Bills!E79,"AAAAAH6/3/0=")</f>
        <v>#VALUE!</v>
      </c>
      <c r="IU47" t="e">
        <f>AND(Bills!#REF!,"AAAAAH6/3/4=")</f>
        <v>#REF!</v>
      </c>
      <c r="IV47" t="e">
        <f>AND(Bills!#REF!,"AAAAAH6/3/8=")</f>
        <v>#REF!</v>
      </c>
    </row>
    <row r="48" spans="1:256">
      <c r="A48" t="e">
        <f>AND(Bills!#REF!,"AAAAAHN7/QA=")</f>
        <v>#REF!</v>
      </c>
      <c r="B48" t="e">
        <f>AND(Bills!F79,"AAAAAHN7/QE=")</f>
        <v>#VALUE!</v>
      </c>
      <c r="C48" t="e">
        <f>AND(Bills!#REF!,"AAAAAHN7/QI=")</f>
        <v>#REF!</v>
      </c>
      <c r="D48" t="e">
        <f>AND(Bills!G79,"AAAAAHN7/QM=")</f>
        <v>#VALUE!</v>
      </c>
      <c r="E48" t="e">
        <f>AND(Bills!H79,"AAAAAHN7/QQ=")</f>
        <v>#VALUE!</v>
      </c>
      <c r="F48" t="e">
        <f>AND(Bills!I79,"AAAAAHN7/QU=")</f>
        <v>#VALUE!</v>
      </c>
      <c r="G48" t="e">
        <f>AND(Bills!J79,"AAAAAHN7/QY=")</f>
        <v>#VALUE!</v>
      </c>
      <c r="H48" t="e">
        <f>AND(Bills!K79,"AAAAAHN7/Qc=")</f>
        <v>#VALUE!</v>
      </c>
      <c r="I48" t="e">
        <f>AND(Bills!L79,"AAAAAHN7/Qg=")</f>
        <v>#VALUE!</v>
      </c>
      <c r="J48" t="e">
        <f>AND(Bills!#REF!,"AAAAAHN7/Qk=")</f>
        <v>#REF!</v>
      </c>
      <c r="K48" t="e">
        <f>AND(Bills!M79,"AAAAAHN7/Qo=")</f>
        <v>#VALUE!</v>
      </c>
      <c r="L48" t="e">
        <f>AND(Bills!N79,"AAAAAHN7/Qs=")</f>
        <v>#VALUE!</v>
      </c>
      <c r="M48" t="e">
        <f>AND(Bills!O79,"AAAAAHN7/Qw=")</f>
        <v>#VALUE!</v>
      </c>
      <c r="N48" t="e">
        <f>AND(Bills!P79,"AAAAAHN7/Q0=")</f>
        <v>#VALUE!</v>
      </c>
      <c r="O48" t="e">
        <f>AND(Bills!Q79,"AAAAAHN7/Q4=")</f>
        <v>#VALUE!</v>
      </c>
      <c r="P48" t="e">
        <f>AND(Bills!R79,"AAAAAHN7/Q8=")</f>
        <v>#VALUE!</v>
      </c>
      <c r="Q48" t="e">
        <f>AND(Bills!S79,"AAAAAHN7/RA=")</f>
        <v>#VALUE!</v>
      </c>
      <c r="R48" t="e">
        <f>AND(Bills!T79,"AAAAAHN7/RE=")</f>
        <v>#VALUE!</v>
      </c>
      <c r="S48" t="e">
        <f>AND(Bills!#REF!,"AAAAAHN7/RI=")</f>
        <v>#REF!</v>
      </c>
      <c r="T48" t="e">
        <f>AND(Bills!U79,"AAAAAHN7/RM=")</f>
        <v>#VALUE!</v>
      </c>
      <c r="U48" t="e">
        <f>AND(Bills!V79,"AAAAAHN7/RQ=")</f>
        <v>#VALUE!</v>
      </c>
      <c r="V48" t="e">
        <f>AND(Bills!W79,"AAAAAHN7/RU=")</f>
        <v>#VALUE!</v>
      </c>
      <c r="W48" t="e">
        <f>AND(Bills!#REF!,"AAAAAHN7/RY=")</f>
        <v>#REF!</v>
      </c>
      <c r="X48" t="e">
        <f>AND(Bills!#REF!,"AAAAAHN7/Rc=")</f>
        <v>#REF!</v>
      </c>
      <c r="Y48" t="e">
        <f>AND(Bills!Y79,"AAAAAHN7/Rg=")</f>
        <v>#VALUE!</v>
      </c>
      <c r="Z48" t="e">
        <f>AND(Bills!Z79,"AAAAAHN7/Rk=")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AND(Bills!AA79,"AAAAAHN7/SM=")</f>
        <v>#VALUE!</v>
      </c>
      <c r="AK48" t="e">
        <f>AND(Bills!AB79,"AAAAAHN7/SQ=")</f>
        <v>#VALUE!</v>
      </c>
      <c r="AL48" t="e">
        <f>AND(Bills!#REF!,"AAAAAHN7/SU=")</f>
        <v>#REF!</v>
      </c>
      <c r="AM48" t="e">
        <f>AND(Bills!#REF!,"AAAAAHN7/SY=")</f>
        <v>#REF!</v>
      </c>
      <c r="AN48" t="e">
        <f>AND(Bills!#REF!,"AAAAAHN7/Sc=")</f>
        <v>#REF!</v>
      </c>
      <c r="AO48" t="e">
        <f>AND(Bills!AC79,"AAAAAHN7/Sg=")</f>
        <v>#VALUE!</v>
      </c>
      <c r="AP48" t="e">
        <f>AND(Bills!AD79,"AAAAAHN7/Sk=")</f>
        <v>#VALUE!</v>
      </c>
      <c r="AQ48" t="e">
        <f>AND(Bills!#REF!,"AAAAAHN7/So=")</f>
        <v>#REF!</v>
      </c>
      <c r="AR48">
        <f>IF(Bills!80:80,"AAAAAHN7/Ss=",0)</f>
        <v>0</v>
      </c>
      <c r="AS48" t="e">
        <f>AND(Bills!B80,"AAAAAHN7/Sw=")</f>
        <v>#VALUE!</v>
      </c>
      <c r="AT48" t="e">
        <f>AND(Bills!#REF!,"AAAAAHN7/S0=")</f>
        <v>#REF!</v>
      </c>
      <c r="AU48" t="e">
        <f>AND(Bills!C80,"AAAAAHN7/S4=")</f>
        <v>#VALUE!</v>
      </c>
      <c r="AV48" t="e">
        <f>AND(Bills!D80,"AAAAAHN7/S8=")</f>
        <v>#VALUE!</v>
      </c>
      <c r="AW48" t="e">
        <f>AND(Bills!E80,"AAAAAHN7/TA=")</f>
        <v>#VALUE!</v>
      </c>
      <c r="AX48" t="e">
        <f>AND(Bills!#REF!,"AAAAAHN7/TE=")</f>
        <v>#REF!</v>
      </c>
      <c r="AY48" t="e">
        <f>AND(Bills!#REF!,"AAAAAHN7/TI=")</f>
        <v>#REF!</v>
      </c>
      <c r="AZ48" t="e">
        <f>AND(Bills!#REF!,"AAAAAHN7/TM=")</f>
        <v>#REF!</v>
      </c>
      <c r="BA48" t="e">
        <f>AND(Bills!F80,"AAAAAHN7/TQ=")</f>
        <v>#VALUE!</v>
      </c>
      <c r="BB48" t="e">
        <f>AND(Bills!#REF!,"AAAAAHN7/TU=")</f>
        <v>#REF!</v>
      </c>
      <c r="BC48" t="e">
        <f>AND(Bills!G80,"AAAAAHN7/TY=")</f>
        <v>#VALUE!</v>
      </c>
      <c r="BD48" t="e">
        <f>AND(Bills!H80,"AAAAAHN7/Tc=")</f>
        <v>#VALUE!</v>
      </c>
      <c r="BE48" t="e">
        <f>AND(Bills!I80,"AAAAAHN7/Tg=")</f>
        <v>#VALUE!</v>
      </c>
      <c r="BF48" t="e">
        <f>AND(Bills!J80,"AAAAAHN7/Tk=")</f>
        <v>#VALUE!</v>
      </c>
      <c r="BG48" t="e">
        <f>AND(Bills!K80,"AAAAAHN7/To=")</f>
        <v>#VALUE!</v>
      </c>
      <c r="BH48" t="e">
        <f>AND(Bills!L80,"AAAAAHN7/Ts=")</f>
        <v>#VALUE!</v>
      </c>
      <c r="BI48" t="e">
        <f>AND(Bills!#REF!,"AAAAAHN7/Tw=")</f>
        <v>#REF!</v>
      </c>
      <c r="BJ48" t="e">
        <f>AND(Bills!M80,"AAAAAHN7/T0=")</f>
        <v>#VALUE!</v>
      </c>
      <c r="BK48" t="e">
        <f>AND(Bills!N80,"AAAAAHN7/T4=")</f>
        <v>#VALUE!</v>
      </c>
      <c r="BL48" t="e">
        <f>AND(Bills!O80,"AAAAAHN7/T8=")</f>
        <v>#VALUE!</v>
      </c>
      <c r="BM48" t="e">
        <f>AND(Bills!P80,"AAAAAHN7/UA=")</f>
        <v>#VALUE!</v>
      </c>
      <c r="BN48" t="e">
        <f>AND(Bills!Q80,"AAAAAHN7/UE=")</f>
        <v>#VALUE!</v>
      </c>
      <c r="BO48" t="e">
        <f>AND(Bills!R80,"AAAAAHN7/UI=")</f>
        <v>#VALUE!</v>
      </c>
      <c r="BP48" t="e">
        <f>AND(Bills!S80,"AAAAAHN7/UM=")</f>
        <v>#VALUE!</v>
      </c>
      <c r="BQ48" t="e">
        <f>AND(Bills!T80,"AAAAAHN7/UQ=")</f>
        <v>#VALUE!</v>
      </c>
      <c r="BR48" t="e">
        <f>AND(Bills!#REF!,"AAAAAHN7/UU=")</f>
        <v>#REF!</v>
      </c>
      <c r="BS48" t="e">
        <f>AND(Bills!U80,"AAAAAHN7/UY=")</f>
        <v>#VALUE!</v>
      </c>
      <c r="BT48" t="e">
        <f>AND(Bills!V80,"AAAAAHN7/Uc=")</f>
        <v>#VALUE!</v>
      </c>
      <c r="BU48" t="e">
        <f>AND(Bills!W80,"AAAAAHN7/Ug=")</f>
        <v>#VALUE!</v>
      </c>
      <c r="BV48" t="e">
        <f>AND(Bills!#REF!,"AAAAAHN7/Uk=")</f>
        <v>#REF!</v>
      </c>
      <c r="BW48" t="e">
        <f>AND(Bills!#REF!,"AAAAAHN7/Uo=")</f>
        <v>#REF!</v>
      </c>
      <c r="BX48" t="e">
        <f>AND(Bills!Y80,"AAAAAHN7/Us=")</f>
        <v>#VALUE!</v>
      </c>
      <c r="BY48" t="e">
        <f>AND(Bills!Z80,"AAAAAHN7/Uw=")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AND(Bills!AA80,"AAAAAHN7/VY=")</f>
        <v>#VALUE!</v>
      </c>
      <c r="CJ48" t="e">
        <f>AND(Bills!AB80,"AAAAAHN7/Vc=")</f>
        <v>#VALUE!</v>
      </c>
      <c r="CK48" t="e">
        <f>AND(Bills!#REF!,"AAAAAHN7/Vg=")</f>
        <v>#REF!</v>
      </c>
      <c r="CL48" t="e">
        <f>AND(Bills!#REF!,"AAAAAHN7/Vk=")</f>
        <v>#REF!</v>
      </c>
      <c r="CM48" t="e">
        <f>AND(Bills!#REF!,"AAAAAHN7/Vo=")</f>
        <v>#REF!</v>
      </c>
      <c r="CN48" t="e">
        <f>AND(Bills!AC80,"AAAAAHN7/Vs=")</f>
        <v>#VALUE!</v>
      </c>
      <c r="CO48" t="e">
        <f>AND(Bills!AD80,"AAAAAHN7/Vw=")</f>
        <v>#VALUE!</v>
      </c>
      <c r="CP48" t="e">
        <f>AND(Bills!#REF!,"AAAAAHN7/V0=")</f>
        <v>#REF!</v>
      </c>
      <c r="CQ48">
        <f>IF(Bills!81:81,"AAAAAHN7/V4=",0)</f>
        <v>0</v>
      </c>
      <c r="CR48" t="e">
        <f>AND(Bills!B81,"AAAAAHN7/V8=")</f>
        <v>#VALUE!</v>
      </c>
      <c r="CS48" t="e">
        <f>AND(Bills!#REF!,"AAAAAHN7/WA=")</f>
        <v>#REF!</v>
      </c>
      <c r="CT48" t="e">
        <f>AND(Bills!C81,"AAAAAHN7/WE=")</f>
        <v>#VALUE!</v>
      </c>
      <c r="CU48" t="e">
        <f>AND(Bills!D81,"AAAAAHN7/WI=")</f>
        <v>#VALUE!</v>
      </c>
      <c r="CV48" t="e">
        <f>AND(Bills!E81,"AAAAAHN7/WM=")</f>
        <v>#VALUE!</v>
      </c>
      <c r="CW48" t="e">
        <f>AND(Bills!#REF!,"AAAAAHN7/WQ=")</f>
        <v>#REF!</v>
      </c>
      <c r="CX48" t="e">
        <f>AND(Bills!#REF!,"AAAAAHN7/WU=")</f>
        <v>#REF!</v>
      </c>
      <c r="CY48" t="e">
        <f>AND(Bills!#REF!,"AAAAAHN7/WY=")</f>
        <v>#REF!</v>
      </c>
      <c r="CZ48" t="e">
        <f>AND(Bills!F81,"AAAAAHN7/Wc=")</f>
        <v>#VALUE!</v>
      </c>
      <c r="DA48" t="e">
        <f>AND(Bills!#REF!,"AAAAAHN7/Wg=")</f>
        <v>#REF!</v>
      </c>
      <c r="DB48" t="e">
        <f>AND(Bills!G81,"AAAAAHN7/Wk=")</f>
        <v>#VALUE!</v>
      </c>
      <c r="DC48" t="e">
        <f>AND(Bills!H81,"AAAAAHN7/Wo=")</f>
        <v>#VALUE!</v>
      </c>
      <c r="DD48" t="e">
        <f>AND(Bills!I81,"AAAAAHN7/Ws=")</f>
        <v>#VALUE!</v>
      </c>
      <c r="DE48" t="e">
        <f>AND(Bills!J81,"AAAAAHN7/Ww=")</f>
        <v>#VALUE!</v>
      </c>
      <c r="DF48" t="e">
        <f>AND(Bills!K81,"AAAAAHN7/W0=")</f>
        <v>#VALUE!</v>
      </c>
      <c r="DG48" t="e">
        <f>AND(Bills!L81,"AAAAAHN7/W4=")</f>
        <v>#VALUE!</v>
      </c>
      <c r="DH48" t="e">
        <f>AND(Bills!#REF!,"AAAAAHN7/W8=")</f>
        <v>#REF!</v>
      </c>
      <c r="DI48" t="e">
        <f>AND(Bills!M81,"AAAAAHN7/XA=")</f>
        <v>#VALUE!</v>
      </c>
      <c r="DJ48" t="e">
        <f>AND(Bills!N81,"AAAAAHN7/XE=")</f>
        <v>#VALUE!</v>
      </c>
      <c r="DK48" t="e">
        <f>AND(Bills!O81,"AAAAAHN7/XI=")</f>
        <v>#VALUE!</v>
      </c>
      <c r="DL48" t="e">
        <f>AND(Bills!P81,"AAAAAHN7/XM=")</f>
        <v>#VALUE!</v>
      </c>
      <c r="DM48" t="e">
        <f>AND(Bills!Q81,"AAAAAHN7/XQ=")</f>
        <v>#VALUE!</v>
      </c>
      <c r="DN48" t="e">
        <f>AND(Bills!R81,"AAAAAHN7/XU=")</f>
        <v>#VALUE!</v>
      </c>
      <c r="DO48" t="e">
        <f>AND(Bills!S81,"AAAAAHN7/XY=")</f>
        <v>#VALUE!</v>
      </c>
      <c r="DP48" t="e">
        <f>AND(Bills!T81,"AAAAAHN7/Xc=")</f>
        <v>#VALUE!</v>
      </c>
      <c r="DQ48" t="e">
        <f>AND(Bills!#REF!,"AAAAAHN7/Xg=")</f>
        <v>#REF!</v>
      </c>
      <c r="DR48" t="e">
        <f>AND(Bills!U81,"AAAAAHN7/Xk=")</f>
        <v>#VALUE!</v>
      </c>
      <c r="DS48" t="e">
        <f>AND(Bills!V81,"AAAAAHN7/Xo=")</f>
        <v>#VALUE!</v>
      </c>
      <c r="DT48" t="e">
        <f>AND(Bills!W81,"AAAAAHN7/Xs=")</f>
        <v>#VALUE!</v>
      </c>
      <c r="DU48" t="e">
        <f>AND(Bills!#REF!,"AAAAAHN7/Xw=")</f>
        <v>#REF!</v>
      </c>
      <c r="DV48" t="e">
        <f>AND(Bills!#REF!,"AAAAAHN7/X0=")</f>
        <v>#REF!</v>
      </c>
      <c r="DW48" t="e">
        <f>AND(Bills!Y81,"AAAAAHN7/X4=")</f>
        <v>#VALUE!</v>
      </c>
      <c r="DX48" t="e">
        <f>AND(Bills!Z81,"AAAAAHN7/X8=")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AND(Bills!AA81,"AAAAAHN7/Yk=")</f>
        <v>#VALUE!</v>
      </c>
      <c r="EI48" t="e">
        <f>AND(Bills!AB81,"AAAAAHN7/Yo=")</f>
        <v>#VALUE!</v>
      </c>
      <c r="EJ48" t="e">
        <f>AND(Bills!#REF!,"AAAAAHN7/Ys=")</f>
        <v>#REF!</v>
      </c>
      <c r="EK48" t="e">
        <f>AND(Bills!#REF!,"AAAAAHN7/Yw=")</f>
        <v>#REF!</v>
      </c>
      <c r="EL48" t="e">
        <f>AND(Bills!#REF!,"AAAAAHN7/Y0=")</f>
        <v>#REF!</v>
      </c>
      <c r="EM48" t="e">
        <f>AND(Bills!AC81,"AAAAAHN7/Y4=")</f>
        <v>#VALUE!</v>
      </c>
      <c r="EN48" t="e">
        <f>AND(Bills!AD81,"AAAAAHN7/Y8=")</f>
        <v>#VALUE!</v>
      </c>
      <c r="EO48" t="e">
        <f>AND(Bills!#REF!,"AAAAAHN7/ZA=")</f>
        <v>#REF!</v>
      </c>
      <c r="EP48">
        <f>IF(Bills!82:82,"AAAAAHN7/ZE=",0)</f>
        <v>0</v>
      </c>
      <c r="EQ48" t="e">
        <f>AND(Bills!B82,"AAAAAHN7/ZI=")</f>
        <v>#VALUE!</v>
      </c>
      <c r="ER48" t="e">
        <f>AND(Bills!#REF!,"AAAAAHN7/ZM=")</f>
        <v>#REF!</v>
      </c>
      <c r="ES48" t="e">
        <f>AND(Bills!C82,"AAAAAHN7/ZQ=")</f>
        <v>#VALUE!</v>
      </c>
      <c r="ET48" t="e">
        <f>AND(Bills!D82,"AAAAAHN7/ZU=")</f>
        <v>#VALUE!</v>
      </c>
      <c r="EU48" t="e">
        <f>AND(Bills!E82,"AAAAAHN7/ZY=")</f>
        <v>#VALUE!</v>
      </c>
      <c r="EV48" t="e">
        <f>AND(Bills!#REF!,"AAAAAHN7/Zc=")</f>
        <v>#REF!</v>
      </c>
      <c r="EW48" t="e">
        <f>AND(Bills!#REF!,"AAAAAHN7/Zg=")</f>
        <v>#REF!</v>
      </c>
      <c r="EX48" t="e">
        <f>AND(Bills!#REF!,"AAAAAHN7/Zk=")</f>
        <v>#REF!</v>
      </c>
      <c r="EY48" t="e">
        <f>AND(Bills!F82,"AAAAAHN7/Zo=")</f>
        <v>#VALUE!</v>
      </c>
      <c r="EZ48" t="e">
        <f>AND(Bills!#REF!,"AAAAAHN7/Zs=")</f>
        <v>#REF!</v>
      </c>
      <c r="FA48" t="e">
        <f>AND(Bills!G82,"AAAAAHN7/Zw=")</f>
        <v>#VALUE!</v>
      </c>
      <c r="FB48" t="e">
        <f>AND(Bills!H82,"AAAAAHN7/Z0=")</f>
        <v>#VALUE!</v>
      </c>
      <c r="FC48" t="e">
        <f>AND(Bills!I82,"AAAAAHN7/Z4=")</f>
        <v>#VALUE!</v>
      </c>
      <c r="FD48" t="e">
        <f>AND(Bills!J82,"AAAAAHN7/Z8=")</f>
        <v>#VALUE!</v>
      </c>
      <c r="FE48" t="e">
        <f>AND(Bills!K82,"AAAAAHN7/aA=")</f>
        <v>#VALUE!</v>
      </c>
      <c r="FF48" t="e">
        <f>AND(Bills!L82,"AAAAAHN7/aE=")</f>
        <v>#VALUE!</v>
      </c>
      <c r="FG48" t="e">
        <f>AND(Bills!#REF!,"AAAAAHN7/aI=")</f>
        <v>#REF!</v>
      </c>
      <c r="FH48" t="e">
        <f>AND(Bills!M82,"AAAAAHN7/aM=")</f>
        <v>#VALUE!</v>
      </c>
      <c r="FI48" t="e">
        <f>AND(Bills!N82,"AAAAAHN7/aQ=")</f>
        <v>#VALUE!</v>
      </c>
      <c r="FJ48" t="e">
        <f>AND(Bills!O82,"AAAAAHN7/aU=")</f>
        <v>#VALUE!</v>
      </c>
      <c r="FK48" t="e">
        <f>AND(Bills!P82,"AAAAAHN7/aY=")</f>
        <v>#VALUE!</v>
      </c>
      <c r="FL48" t="e">
        <f>AND(Bills!Q82,"AAAAAHN7/ac=")</f>
        <v>#VALUE!</v>
      </c>
      <c r="FM48" t="e">
        <f>AND(Bills!R82,"AAAAAHN7/ag=")</f>
        <v>#VALUE!</v>
      </c>
      <c r="FN48" t="e">
        <f>AND(Bills!S82,"AAAAAHN7/ak=")</f>
        <v>#VALUE!</v>
      </c>
      <c r="FO48" t="e">
        <f>AND(Bills!T82,"AAAAAHN7/ao=")</f>
        <v>#VALUE!</v>
      </c>
      <c r="FP48" t="e">
        <f>AND(Bills!#REF!,"AAAAAHN7/as=")</f>
        <v>#REF!</v>
      </c>
      <c r="FQ48" t="e">
        <f>AND(Bills!U82,"AAAAAHN7/aw=")</f>
        <v>#VALUE!</v>
      </c>
      <c r="FR48" t="e">
        <f>AND(Bills!V82,"AAAAAHN7/a0=")</f>
        <v>#VALUE!</v>
      </c>
      <c r="FS48" t="e">
        <f>AND(Bills!W82,"AAAAAHN7/a4=")</f>
        <v>#VALUE!</v>
      </c>
      <c r="FT48" t="e">
        <f>AND(Bills!#REF!,"AAAAAHN7/a8=")</f>
        <v>#REF!</v>
      </c>
      <c r="FU48" t="e">
        <f>AND(Bills!#REF!,"AAAAAHN7/bA=")</f>
        <v>#REF!</v>
      </c>
      <c r="FV48" t="e">
        <f>AND(Bills!Y82,"AAAAAHN7/bE=")</f>
        <v>#VALUE!</v>
      </c>
      <c r="FW48" t="e">
        <f>AND(Bills!Z82,"AAAAAHN7/bI=")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AND(Bills!AA82,"AAAAAHN7/bw=")</f>
        <v>#VALUE!</v>
      </c>
      <c r="GH48" t="e">
        <f>AND(Bills!AB82,"AAAAAHN7/b0=")</f>
        <v>#VALUE!</v>
      </c>
      <c r="GI48" t="e">
        <f>AND(Bills!#REF!,"AAAAAHN7/b4=")</f>
        <v>#REF!</v>
      </c>
      <c r="GJ48" t="e">
        <f>AND(Bills!#REF!,"AAAAAHN7/b8=")</f>
        <v>#REF!</v>
      </c>
      <c r="GK48" t="e">
        <f>AND(Bills!#REF!,"AAAAAHN7/cA=")</f>
        <v>#REF!</v>
      </c>
      <c r="GL48" t="e">
        <f>AND(Bills!AC82,"AAAAAHN7/cE=")</f>
        <v>#VALUE!</v>
      </c>
      <c r="GM48" t="e">
        <f>AND(Bills!AD82,"AAAAAHN7/cI=")</f>
        <v>#VALUE!</v>
      </c>
      <c r="GN48" t="e">
        <f>AND(Bills!#REF!,"AAAAAHN7/cM=")</f>
        <v>#REF!</v>
      </c>
      <c r="GO48">
        <f>IF(Bills!83:83,"AAAAAHN7/cQ=",0)</f>
        <v>0</v>
      </c>
      <c r="GP48" t="e">
        <f>AND(Bills!B83,"AAAAAHN7/cU=")</f>
        <v>#VALUE!</v>
      </c>
      <c r="GQ48" t="e">
        <f>AND(Bills!#REF!,"AAAAAHN7/cY=")</f>
        <v>#REF!</v>
      </c>
      <c r="GR48" t="e">
        <f>AND(Bills!C83,"AAAAAHN7/cc=")</f>
        <v>#VALUE!</v>
      </c>
      <c r="GS48" t="e">
        <f>AND(Bills!D83,"AAAAAHN7/cg=")</f>
        <v>#VALUE!</v>
      </c>
      <c r="GT48" t="e">
        <f>AND(Bills!E83,"AAAAAHN7/ck=")</f>
        <v>#VALUE!</v>
      </c>
      <c r="GU48" t="e">
        <f>AND(Bills!#REF!,"AAAAAHN7/co=")</f>
        <v>#REF!</v>
      </c>
      <c r="GV48" t="e">
        <f>AND(Bills!#REF!,"AAAAAHN7/cs=")</f>
        <v>#REF!</v>
      </c>
      <c r="GW48" t="e">
        <f>AND(Bills!#REF!,"AAAAAHN7/cw=")</f>
        <v>#REF!</v>
      </c>
      <c r="GX48" t="e">
        <f>AND(Bills!F83,"AAAAAHN7/c0=")</f>
        <v>#VALUE!</v>
      </c>
      <c r="GY48" t="e">
        <f>AND(Bills!#REF!,"AAAAAHN7/c4=")</f>
        <v>#REF!</v>
      </c>
      <c r="GZ48" t="e">
        <f>AND(Bills!G83,"AAAAAHN7/c8=")</f>
        <v>#VALUE!</v>
      </c>
      <c r="HA48" t="e">
        <f>AND(Bills!H83,"AAAAAHN7/dA=")</f>
        <v>#VALUE!</v>
      </c>
      <c r="HB48" t="e">
        <f>AND(Bills!I83,"AAAAAHN7/dE=")</f>
        <v>#VALUE!</v>
      </c>
      <c r="HC48" t="e">
        <f>AND(Bills!J83,"AAAAAHN7/dI=")</f>
        <v>#VALUE!</v>
      </c>
      <c r="HD48" t="e">
        <f>AND(Bills!K83,"AAAAAHN7/dM=")</f>
        <v>#VALUE!</v>
      </c>
      <c r="HE48" t="e">
        <f>AND(Bills!L83,"AAAAAHN7/dQ=")</f>
        <v>#VALUE!</v>
      </c>
      <c r="HF48" t="e">
        <f>AND(Bills!#REF!,"AAAAAHN7/dU=")</f>
        <v>#REF!</v>
      </c>
      <c r="HG48" t="e">
        <f>AND(Bills!M83,"AAAAAHN7/dY=")</f>
        <v>#VALUE!</v>
      </c>
      <c r="HH48" t="e">
        <f>AND(Bills!N83,"AAAAAHN7/dc=")</f>
        <v>#VALUE!</v>
      </c>
      <c r="HI48" t="e">
        <f>AND(Bills!O83,"AAAAAHN7/dg=")</f>
        <v>#VALUE!</v>
      </c>
      <c r="HJ48" t="e">
        <f>AND(Bills!P83,"AAAAAHN7/dk=")</f>
        <v>#VALUE!</v>
      </c>
      <c r="HK48" t="e">
        <f>AND(Bills!Q83,"AAAAAHN7/do=")</f>
        <v>#VALUE!</v>
      </c>
      <c r="HL48" t="e">
        <f>AND(Bills!R83,"AAAAAHN7/ds=")</f>
        <v>#VALUE!</v>
      </c>
      <c r="HM48" t="e">
        <f>AND(Bills!S83,"AAAAAHN7/dw=")</f>
        <v>#VALUE!</v>
      </c>
      <c r="HN48" t="e">
        <f>AND(Bills!T83,"AAAAAHN7/d0=")</f>
        <v>#VALUE!</v>
      </c>
      <c r="HO48" t="e">
        <f>AND(Bills!#REF!,"AAAAAHN7/d4=")</f>
        <v>#REF!</v>
      </c>
      <c r="HP48" t="e">
        <f>AND(Bills!U83,"AAAAAHN7/d8=")</f>
        <v>#VALUE!</v>
      </c>
      <c r="HQ48" t="e">
        <f>AND(Bills!V83,"AAAAAHN7/eA=")</f>
        <v>#VALUE!</v>
      </c>
      <c r="HR48" t="e">
        <f>AND(Bills!W83,"AAAAAHN7/eE=")</f>
        <v>#VALUE!</v>
      </c>
      <c r="HS48" t="e">
        <f>AND(Bills!#REF!,"AAAAAHN7/eI=")</f>
        <v>#REF!</v>
      </c>
      <c r="HT48" t="e">
        <f>AND(Bills!#REF!,"AAAAAHN7/eM=")</f>
        <v>#REF!</v>
      </c>
      <c r="HU48" t="e">
        <f>AND(Bills!Y83,"AAAAAHN7/eQ=")</f>
        <v>#VALUE!</v>
      </c>
      <c r="HV48" t="e">
        <f>AND(Bills!Z83,"AAAAAHN7/eU=")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AND(Bills!AA83,"AAAAAHN7/e8=")</f>
        <v>#VALUE!</v>
      </c>
      <c r="IG48" t="e">
        <f>AND(Bills!AB83,"AAAAAHN7/fA=")</f>
        <v>#VALUE!</v>
      </c>
      <c r="IH48" t="e">
        <f>AND(Bills!#REF!,"AAAAAHN7/fE=")</f>
        <v>#REF!</v>
      </c>
      <c r="II48" t="e">
        <f>AND(Bills!#REF!,"AAAAAHN7/fI=")</f>
        <v>#REF!</v>
      </c>
      <c r="IJ48" t="e">
        <f>AND(Bills!#REF!,"AAAAAHN7/fM=")</f>
        <v>#REF!</v>
      </c>
      <c r="IK48" t="e">
        <f>AND(Bills!AC83,"AAAAAHN7/fQ=")</f>
        <v>#VALUE!</v>
      </c>
      <c r="IL48" t="e">
        <f>AND(Bills!AD83,"AAAAAHN7/fU=")</f>
        <v>#VALUE!</v>
      </c>
      <c r="IM48" t="e">
        <f>AND(Bills!#REF!,"AAAAAHN7/fY=")</f>
        <v>#REF!</v>
      </c>
      <c r="IN48">
        <f>IF(Bills!84:84,"AAAAAHN7/fc=",0)</f>
        <v>0</v>
      </c>
      <c r="IO48" t="e">
        <f>AND(Bills!B84,"AAAAAHN7/fg=")</f>
        <v>#VALUE!</v>
      </c>
      <c r="IP48" t="e">
        <f>AND(Bills!#REF!,"AAAAAHN7/fk=")</f>
        <v>#REF!</v>
      </c>
      <c r="IQ48" t="e">
        <f>AND(Bills!C84,"AAAAAHN7/fo=")</f>
        <v>#VALUE!</v>
      </c>
      <c r="IR48" t="e">
        <f>AND(Bills!D84,"AAAAAHN7/fs=")</f>
        <v>#VALUE!</v>
      </c>
      <c r="IS48" t="e">
        <f>AND(Bills!E84,"AAAAAHN7/fw=")</f>
        <v>#VALUE!</v>
      </c>
      <c r="IT48" t="e">
        <f>AND(Bills!#REF!,"AAAAAHN7/f0=")</f>
        <v>#REF!</v>
      </c>
      <c r="IU48" t="e">
        <f>AND(Bills!#REF!,"AAAAAHN7/f4=")</f>
        <v>#REF!</v>
      </c>
      <c r="IV48" t="e">
        <f>AND(Bills!#REF!,"AAAAAHN7/f8=")</f>
        <v>#REF!</v>
      </c>
    </row>
    <row r="49" spans="1:256">
      <c r="A49" t="e">
        <f>AND(Bills!F84,"AAAAAH+36QA=")</f>
        <v>#VALUE!</v>
      </c>
      <c r="B49" t="e">
        <f>AND(Bills!#REF!,"AAAAAH+36QE=")</f>
        <v>#REF!</v>
      </c>
      <c r="C49" t="e">
        <f>AND(Bills!G84,"AAAAAH+36QI=")</f>
        <v>#VALUE!</v>
      </c>
      <c r="D49" t="e">
        <f>AND(Bills!H84,"AAAAAH+36QM=")</f>
        <v>#VALUE!</v>
      </c>
      <c r="E49" t="e">
        <f>AND(Bills!I84,"AAAAAH+36QQ=")</f>
        <v>#VALUE!</v>
      </c>
      <c r="F49" t="e">
        <f>AND(Bills!J84,"AAAAAH+36QU=")</f>
        <v>#VALUE!</v>
      </c>
      <c r="G49" t="e">
        <f>AND(Bills!K84,"AAAAAH+36QY=")</f>
        <v>#VALUE!</v>
      </c>
      <c r="H49" t="e">
        <f>AND(Bills!L84,"AAAAAH+36Qc=")</f>
        <v>#VALUE!</v>
      </c>
      <c r="I49" t="e">
        <f>AND(Bills!#REF!,"AAAAAH+36Qg=")</f>
        <v>#REF!</v>
      </c>
      <c r="J49" t="e">
        <f>AND(Bills!M84,"AAAAAH+36Qk=")</f>
        <v>#VALUE!</v>
      </c>
      <c r="K49" t="e">
        <f>AND(Bills!N84,"AAAAAH+36Qo=")</f>
        <v>#VALUE!</v>
      </c>
      <c r="L49" t="e">
        <f>AND(Bills!O84,"AAAAAH+36Qs=")</f>
        <v>#VALUE!</v>
      </c>
      <c r="M49" t="e">
        <f>AND(Bills!P84,"AAAAAH+36Qw=")</f>
        <v>#VALUE!</v>
      </c>
      <c r="N49" t="e">
        <f>AND(Bills!Q84,"AAAAAH+36Q0=")</f>
        <v>#VALUE!</v>
      </c>
      <c r="O49" t="e">
        <f>AND(Bills!R84,"AAAAAH+36Q4=")</f>
        <v>#VALUE!</v>
      </c>
      <c r="P49" t="e">
        <f>AND(Bills!S84,"AAAAAH+36Q8=")</f>
        <v>#VALUE!</v>
      </c>
      <c r="Q49" t="e">
        <f>AND(Bills!T84,"AAAAAH+36RA=")</f>
        <v>#VALUE!</v>
      </c>
      <c r="R49" t="e">
        <f>AND(Bills!#REF!,"AAAAAH+36RE=")</f>
        <v>#REF!</v>
      </c>
      <c r="S49" t="e">
        <f>AND(Bills!U84,"AAAAAH+36RI=")</f>
        <v>#VALUE!</v>
      </c>
      <c r="T49" t="e">
        <f>AND(Bills!V84,"AAAAAH+36RM=")</f>
        <v>#VALUE!</v>
      </c>
      <c r="U49" t="e">
        <f>AND(Bills!W84,"AAAAAH+36RQ=")</f>
        <v>#VALUE!</v>
      </c>
      <c r="V49" t="e">
        <f>AND(Bills!#REF!,"AAAAAH+36RU=")</f>
        <v>#REF!</v>
      </c>
      <c r="W49" t="e">
        <f>AND(Bills!#REF!,"AAAAAH+36RY=")</f>
        <v>#REF!</v>
      </c>
      <c r="X49" t="e">
        <f>AND(Bills!Y84,"AAAAAH+36Rc=")</f>
        <v>#VALUE!</v>
      </c>
      <c r="Y49" t="e">
        <f>AND(Bills!Z84,"AAAAAH+36Rg=")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AND(Bills!AA84,"AAAAAH+36SI=")</f>
        <v>#VALUE!</v>
      </c>
      <c r="AJ49" t="e">
        <f>AND(Bills!AB84,"AAAAAH+36SM=")</f>
        <v>#VALUE!</v>
      </c>
      <c r="AK49" t="e">
        <f>AND(Bills!#REF!,"AAAAAH+36SQ=")</f>
        <v>#REF!</v>
      </c>
      <c r="AL49" t="e">
        <f>AND(Bills!#REF!,"AAAAAH+36SU=")</f>
        <v>#REF!</v>
      </c>
      <c r="AM49" t="e">
        <f>AND(Bills!#REF!,"AAAAAH+36SY=")</f>
        <v>#REF!</v>
      </c>
      <c r="AN49" t="e">
        <f>AND(Bills!AC84,"AAAAAH+36Sc=")</f>
        <v>#VALUE!</v>
      </c>
      <c r="AO49" t="e">
        <f>AND(Bills!AD84,"AAAAAH+36Sg=")</f>
        <v>#VALUE!</v>
      </c>
      <c r="AP49" t="e">
        <f>AND(Bills!#REF!,"AAAAAH+36Sk=")</f>
        <v>#REF!</v>
      </c>
      <c r="AQ49">
        <f>IF(Bills!85:85,"AAAAAH+36So=",0)</f>
        <v>0</v>
      </c>
      <c r="AR49" t="e">
        <f>AND(Bills!B85,"AAAAAH+36Ss=")</f>
        <v>#VALUE!</v>
      </c>
      <c r="AS49" t="e">
        <f>AND(Bills!#REF!,"AAAAAH+36Sw=")</f>
        <v>#REF!</v>
      </c>
      <c r="AT49" t="e">
        <f>AND(Bills!C85,"AAAAAH+36S0=")</f>
        <v>#VALUE!</v>
      </c>
      <c r="AU49" t="e">
        <f>AND(Bills!D85,"AAAAAH+36S4=")</f>
        <v>#VALUE!</v>
      </c>
      <c r="AV49" t="e">
        <f>AND(Bills!E85,"AAAAAH+36S8=")</f>
        <v>#VALUE!</v>
      </c>
      <c r="AW49" t="e">
        <f>AND(Bills!#REF!,"AAAAAH+36TA=")</f>
        <v>#REF!</v>
      </c>
      <c r="AX49" t="e">
        <f>AND(Bills!#REF!,"AAAAAH+36TE=")</f>
        <v>#REF!</v>
      </c>
      <c r="AY49" t="e">
        <f>AND(Bills!#REF!,"AAAAAH+36TI=")</f>
        <v>#REF!</v>
      </c>
      <c r="AZ49" t="e">
        <f>AND(Bills!F85,"AAAAAH+36TM=")</f>
        <v>#VALUE!</v>
      </c>
      <c r="BA49" t="e">
        <f>AND(Bills!#REF!,"AAAAAH+36TQ=")</f>
        <v>#REF!</v>
      </c>
      <c r="BB49" t="e">
        <f>AND(Bills!G85,"AAAAAH+36TU=")</f>
        <v>#VALUE!</v>
      </c>
      <c r="BC49" t="e">
        <f>AND(Bills!H85,"AAAAAH+36TY=")</f>
        <v>#VALUE!</v>
      </c>
      <c r="BD49" t="e">
        <f>AND(Bills!I85,"AAAAAH+36Tc=")</f>
        <v>#VALUE!</v>
      </c>
      <c r="BE49" t="e">
        <f>AND(Bills!J85,"AAAAAH+36Tg=")</f>
        <v>#VALUE!</v>
      </c>
      <c r="BF49" t="e">
        <f>AND(Bills!K85,"AAAAAH+36Tk=")</f>
        <v>#VALUE!</v>
      </c>
      <c r="BG49" t="e">
        <f>AND(Bills!L85,"AAAAAH+36To=")</f>
        <v>#VALUE!</v>
      </c>
      <c r="BH49" t="e">
        <f>AND(Bills!#REF!,"AAAAAH+36Ts=")</f>
        <v>#REF!</v>
      </c>
      <c r="BI49" t="e">
        <f>AND(Bills!M85,"AAAAAH+36Tw=")</f>
        <v>#VALUE!</v>
      </c>
      <c r="BJ49" t="e">
        <f>AND(Bills!N85,"AAAAAH+36T0=")</f>
        <v>#VALUE!</v>
      </c>
      <c r="BK49" t="e">
        <f>AND(Bills!O85,"AAAAAH+36T4=")</f>
        <v>#VALUE!</v>
      </c>
      <c r="BL49" t="e">
        <f>AND(Bills!P85,"AAAAAH+36T8=")</f>
        <v>#VALUE!</v>
      </c>
      <c r="BM49" t="e">
        <f>AND(Bills!Q85,"AAAAAH+36UA=")</f>
        <v>#VALUE!</v>
      </c>
      <c r="BN49" t="e">
        <f>AND(Bills!R85,"AAAAAH+36UE=")</f>
        <v>#VALUE!</v>
      </c>
      <c r="BO49" t="e">
        <f>AND(Bills!S85,"AAAAAH+36UI=")</f>
        <v>#VALUE!</v>
      </c>
      <c r="BP49" t="e">
        <f>AND(Bills!T85,"AAAAAH+36UM=")</f>
        <v>#VALUE!</v>
      </c>
      <c r="BQ49" t="e">
        <f>AND(Bills!#REF!,"AAAAAH+36UQ=")</f>
        <v>#REF!</v>
      </c>
      <c r="BR49" t="e">
        <f>AND(Bills!U85,"AAAAAH+36UU=")</f>
        <v>#VALUE!</v>
      </c>
      <c r="BS49" t="e">
        <f>AND(Bills!V85,"AAAAAH+36UY=")</f>
        <v>#VALUE!</v>
      </c>
      <c r="BT49" t="e">
        <f>AND(Bills!W85,"AAAAAH+36Uc=")</f>
        <v>#VALUE!</v>
      </c>
      <c r="BU49" t="e">
        <f>AND(Bills!#REF!,"AAAAAH+36Ug=")</f>
        <v>#REF!</v>
      </c>
      <c r="BV49" t="e">
        <f>AND(Bills!#REF!,"AAAAAH+36Uk=")</f>
        <v>#REF!</v>
      </c>
      <c r="BW49" t="e">
        <f>AND(Bills!Y85,"AAAAAH+36Uo=")</f>
        <v>#VALUE!</v>
      </c>
      <c r="BX49" t="e">
        <f>AND(Bills!Z85,"AAAAAH+36Us=")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AND(Bills!AA85,"AAAAAH+36VU=")</f>
        <v>#VALUE!</v>
      </c>
      <c r="CI49" t="e">
        <f>AND(Bills!AB85,"AAAAAH+36VY=")</f>
        <v>#VALUE!</v>
      </c>
      <c r="CJ49" t="e">
        <f>AND(Bills!#REF!,"AAAAAH+36Vc=")</f>
        <v>#REF!</v>
      </c>
      <c r="CK49" t="e">
        <f>AND(Bills!#REF!,"AAAAAH+36Vg=")</f>
        <v>#REF!</v>
      </c>
      <c r="CL49" t="e">
        <f>AND(Bills!#REF!,"AAAAAH+36Vk=")</f>
        <v>#REF!</v>
      </c>
      <c r="CM49" t="e">
        <f>AND(Bills!AC85,"AAAAAH+36Vo=")</f>
        <v>#VALUE!</v>
      </c>
      <c r="CN49" t="e">
        <f>AND(Bills!AD85,"AAAAAH+36Vs=")</f>
        <v>#VALUE!</v>
      </c>
      <c r="CO49" t="e">
        <f>AND(Bills!#REF!,"AAAAAH+36Vw=")</f>
        <v>#REF!</v>
      </c>
      <c r="CP49">
        <f>IF(Bills!86:86,"AAAAAH+36V0=",0)</f>
        <v>0</v>
      </c>
      <c r="CQ49" t="e">
        <f>AND(Bills!B86,"AAAAAH+36V4=")</f>
        <v>#VALUE!</v>
      </c>
      <c r="CR49" t="e">
        <f>AND(Bills!#REF!,"AAAAAH+36V8=")</f>
        <v>#REF!</v>
      </c>
      <c r="CS49" t="e">
        <f>AND(Bills!C86,"AAAAAH+36WA=")</f>
        <v>#VALUE!</v>
      </c>
      <c r="CT49" t="e">
        <f>AND(Bills!D86,"AAAAAH+36WE=")</f>
        <v>#VALUE!</v>
      </c>
      <c r="CU49" t="e">
        <f>AND(Bills!E86,"AAAAAH+36WI=")</f>
        <v>#VALUE!</v>
      </c>
      <c r="CV49" t="e">
        <f>AND(Bills!#REF!,"AAAAAH+36WM=")</f>
        <v>#REF!</v>
      </c>
      <c r="CW49" t="e">
        <f>AND(Bills!#REF!,"AAAAAH+36WQ=")</f>
        <v>#REF!</v>
      </c>
      <c r="CX49" t="e">
        <f>AND(Bills!#REF!,"AAAAAH+36WU=")</f>
        <v>#REF!</v>
      </c>
      <c r="CY49" t="e">
        <f>AND(Bills!F86,"AAAAAH+36WY=")</f>
        <v>#VALUE!</v>
      </c>
      <c r="CZ49" t="e">
        <f>AND(Bills!#REF!,"AAAAAH+36Wc=")</f>
        <v>#REF!</v>
      </c>
      <c r="DA49" t="e">
        <f>AND(Bills!G86,"AAAAAH+36Wg=")</f>
        <v>#VALUE!</v>
      </c>
      <c r="DB49" t="e">
        <f>AND(Bills!H86,"AAAAAH+36Wk=")</f>
        <v>#VALUE!</v>
      </c>
      <c r="DC49" t="e">
        <f>AND(Bills!I86,"AAAAAH+36Wo=")</f>
        <v>#VALUE!</v>
      </c>
      <c r="DD49" t="e">
        <f>AND(Bills!J86,"AAAAAH+36Ws=")</f>
        <v>#VALUE!</v>
      </c>
      <c r="DE49" t="e">
        <f>AND(Bills!K86,"AAAAAH+36Ww=")</f>
        <v>#VALUE!</v>
      </c>
      <c r="DF49" t="e">
        <f>AND(Bills!L86,"AAAAAH+36W0=")</f>
        <v>#VALUE!</v>
      </c>
      <c r="DG49" t="e">
        <f>AND(Bills!#REF!,"AAAAAH+36W4=")</f>
        <v>#REF!</v>
      </c>
      <c r="DH49" t="e">
        <f>AND(Bills!M86,"AAAAAH+36W8=")</f>
        <v>#VALUE!</v>
      </c>
      <c r="DI49" t="e">
        <f>AND(Bills!N86,"AAAAAH+36XA=")</f>
        <v>#VALUE!</v>
      </c>
      <c r="DJ49" t="e">
        <f>AND(Bills!O86,"AAAAAH+36XE=")</f>
        <v>#VALUE!</v>
      </c>
      <c r="DK49" t="e">
        <f>AND(Bills!P86,"AAAAAH+36XI=")</f>
        <v>#VALUE!</v>
      </c>
      <c r="DL49" t="e">
        <f>AND(Bills!Q86,"AAAAAH+36XM=")</f>
        <v>#VALUE!</v>
      </c>
      <c r="DM49" t="e">
        <f>AND(Bills!R86,"AAAAAH+36XQ=")</f>
        <v>#VALUE!</v>
      </c>
      <c r="DN49" t="e">
        <f>AND(Bills!S86,"AAAAAH+36XU=")</f>
        <v>#VALUE!</v>
      </c>
      <c r="DO49" t="e">
        <f>AND(Bills!T86,"AAAAAH+36XY=")</f>
        <v>#VALUE!</v>
      </c>
      <c r="DP49" t="e">
        <f>AND(Bills!#REF!,"AAAAAH+36Xc=")</f>
        <v>#REF!</v>
      </c>
      <c r="DQ49" t="e">
        <f>AND(Bills!U86,"AAAAAH+36Xg=")</f>
        <v>#VALUE!</v>
      </c>
      <c r="DR49" t="e">
        <f>AND(Bills!V86,"AAAAAH+36Xk=")</f>
        <v>#VALUE!</v>
      </c>
      <c r="DS49" t="e">
        <f>AND(Bills!W86,"AAAAAH+36Xo=")</f>
        <v>#VALUE!</v>
      </c>
      <c r="DT49" t="e">
        <f>AND(Bills!#REF!,"AAAAAH+36Xs=")</f>
        <v>#REF!</v>
      </c>
      <c r="DU49" t="e">
        <f>AND(Bills!#REF!,"AAAAAH+36Xw=")</f>
        <v>#REF!</v>
      </c>
      <c r="DV49" t="e">
        <f>AND(Bills!Y86,"AAAAAH+36X0=")</f>
        <v>#VALUE!</v>
      </c>
      <c r="DW49" t="e">
        <f>AND(Bills!Z86,"AAAAAH+36X4=")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AND(Bills!AA86,"AAAAAH+36Yg=")</f>
        <v>#VALUE!</v>
      </c>
      <c r="EH49" t="e">
        <f>AND(Bills!AB86,"AAAAAH+36Yk=")</f>
        <v>#VALUE!</v>
      </c>
      <c r="EI49" t="e">
        <f>AND(Bills!#REF!,"AAAAAH+36Yo=")</f>
        <v>#REF!</v>
      </c>
      <c r="EJ49" t="e">
        <f>AND(Bills!#REF!,"AAAAAH+36Ys=")</f>
        <v>#REF!</v>
      </c>
      <c r="EK49" t="e">
        <f>AND(Bills!#REF!,"AAAAAH+36Yw=")</f>
        <v>#REF!</v>
      </c>
      <c r="EL49" t="e">
        <f>AND(Bills!AC86,"AAAAAH+36Y0=")</f>
        <v>#VALUE!</v>
      </c>
      <c r="EM49" t="e">
        <f>AND(Bills!AD86,"AAAAAH+36Y4=")</f>
        <v>#VALUE!</v>
      </c>
      <c r="EN49" t="e">
        <f>AND(Bills!#REF!,"AAAAAH+36Y8=")</f>
        <v>#REF!</v>
      </c>
      <c r="EO49">
        <f>IF(Bills!87:87,"AAAAAH+36ZA=",0)</f>
        <v>0</v>
      </c>
      <c r="EP49" t="e">
        <f>AND(Bills!B87,"AAAAAH+36ZE=")</f>
        <v>#VALUE!</v>
      </c>
      <c r="EQ49" t="e">
        <f>AND(Bills!#REF!,"AAAAAH+36ZI=")</f>
        <v>#REF!</v>
      </c>
      <c r="ER49" t="e">
        <f>AND(Bills!C87,"AAAAAH+36ZM=")</f>
        <v>#VALUE!</v>
      </c>
      <c r="ES49" t="e">
        <f>AND(Bills!D87,"AAAAAH+36ZQ=")</f>
        <v>#VALUE!</v>
      </c>
      <c r="ET49" t="e">
        <f>AND(Bills!E87,"AAAAAH+36ZU=")</f>
        <v>#VALUE!</v>
      </c>
      <c r="EU49" t="e">
        <f>AND(Bills!#REF!,"AAAAAH+36ZY=")</f>
        <v>#REF!</v>
      </c>
      <c r="EV49" t="e">
        <f>AND(Bills!#REF!,"AAAAAH+36Zc=")</f>
        <v>#REF!</v>
      </c>
      <c r="EW49" t="e">
        <f>AND(Bills!#REF!,"AAAAAH+36Zg=")</f>
        <v>#REF!</v>
      </c>
      <c r="EX49" t="e">
        <f>AND(Bills!F87,"AAAAAH+36Zk=")</f>
        <v>#VALUE!</v>
      </c>
      <c r="EY49" t="e">
        <f>AND(Bills!#REF!,"AAAAAH+36Zo=")</f>
        <v>#REF!</v>
      </c>
      <c r="EZ49" t="e">
        <f>AND(Bills!G87,"AAAAAH+36Zs=")</f>
        <v>#VALUE!</v>
      </c>
      <c r="FA49" t="e">
        <f>AND(Bills!H87,"AAAAAH+36Zw=")</f>
        <v>#VALUE!</v>
      </c>
      <c r="FB49" t="e">
        <f>AND(Bills!I87,"AAAAAH+36Z0=")</f>
        <v>#VALUE!</v>
      </c>
      <c r="FC49" t="e">
        <f>AND(Bills!J87,"AAAAAH+36Z4=")</f>
        <v>#VALUE!</v>
      </c>
      <c r="FD49" t="e">
        <f>AND(Bills!K87,"AAAAAH+36Z8=")</f>
        <v>#VALUE!</v>
      </c>
      <c r="FE49" t="e">
        <f>AND(Bills!L87,"AAAAAH+36aA=")</f>
        <v>#VALUE!</v>
      </c>
      <c r="FF49" t="e">
        <f>AND(Bills!#REF!,"AAAAAH+36aE=")</f>
        <v>#REF!</v>
      </c>
      <c r="FG49" t="e">
        <f>AND(Bills!M87,"AAAAAH+36aI=")</f>
        <v>#VALUE!</v>
      </c>
      <c r="FH49" t="e">
        <f>AND(Bills!N87,"AAAAAH+36aM=")</f>
        <v>#VALUE!</v>
      </c>
      <c r="FI49" t="e">
        <f>AND(Bills!O87,"AAAAAH+36aQ=")</f>
        <v>#VALUE!</v>
      </c>
      <c r="FJ49" t="e">
        <f>AND(Bills!P87,"AAAAAH+36aU=")</f>
        <v>#VALUE!</v>
      </c>
      <c r="FK49" t="e">
        <f>AND(Bills!Q87,"AAAAAH+36aY=")</f>
        <v>#VALUE!</v>
      </c>
      <c r="FL49" t="e">
        <f>AND(Bills!R87,"AAAAAH+36ac=")</f>
        <v>#VALUE!</v>
      </c>
      <c r="FM49" t="e">
        <f>AND(Bills!S87,"AAAAAH+36ag=")</f>
        <v>#VALUE!</v>
      </c>
      <c r="FN49" t="e">
        <f>AND(Bills!T87,"AAAAAH+36ak=")</f>
        <v>#VALUE!</v>
      </c>
      <c r="FO49" t="e">
        <f>AND(Bills!#REF!,"AAAAAH+36ao=")</f>
        <v>#REF!</v>
      </c>
      <c r="FP49" t="e">
        <f>AND(Bills!U87,"AAAAAH+36as=")</f>
        <v>#VALUE!</v>
      </c>
      <c r="FQ49" t="e">
        <f>AND(Bills!V87,"AAAAAH+36aw=")</f>
        <v>#VALUE!</v>
      </c>
      <c r="FR49" t="e">
        <f>AND(Bills!W87,"AAAAAH+36a0=")</f>
        <v>#VALUE!</v>
      </c>
      <c r="FS49" t="e">
        <f>AND(Bills!#REF!,"AAAAAH+36a4=")</f>
        <v>#REF!</v>
      </c>
      <c r="FT49" t="e">
        <f>AND(Bills!#REF!,"AAAAAH+36a8=")</f>
        <v>#REF!</v>
      </c>
      <c r="FU49" t="e">
        <f>AND(Bills!Y87,"AAAAAH+36bA=")</f>
        <v>#VALUE!</v>
      </c>
      <c r="FV49" t="e">
        <f>AND(Bills!Z87,"AAAAAH+36bE=")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AND(Bills!AA87,"AAAAAH+36bs=")</f>
        <v>#VALUE!</v>
      </c>
      <c r="GG49" t="e">
        <f>AND(Bills!AB87,"AAAAAH+36bw=")</f>
        <v>#VALUE!</v>
      </c>
      <c r="GH49" t="e">
        <f>AND(Bills!#REF!,"AAAAAH+36b0=")</f>
        <v>#REF!</v>
      </c>
      <c r="GI49" t="e">
        <f>AND(Bills!#REF!,"AAAAAH+36b4=")</f>
        <v>#REF!</v>
      </c>
      <c r="GJ49" t="e">
        <f>AND(Bills!#REF!,"AAAAAH+36b8=")</f>
        <v>#REF!</v>
      </c>
      <c r="GK49" t="e">
        <f>AND(Bills!AC87,"AAAAAH+36cA=")</f>
        <v>#VALUE!</v>
      </c>
      <c r="GL49" t="e">
        <f>AND(Bills!AD87,"AAAAAH+36cE=")</f>
        <v>#VALUE!</v>
      </c>
      <c r="GM49" t="e">
        <f>AND(Bills!#REF!,"AAAAAH+36cI=")</f>
        <v>#REF!</v>
      </c>
      <c r="GN49">
        <f>IF(Bills!88:88,"AAAAAH+36cM=",0)</f>
        <v>0</v>
      </c>
      <c r="GO49" t="e">
        <f>AND(Bills!B88,"AAAAAH+36cQ=")</f>
        <v>#VALUE!</v>
      </c>
      <c r="GP49" t="e">
        <f>AND(Bills!#REF!,"AAAAAH+36cU=")</f>
        <v>#REF!</v>
      </c>
      <c r="GQ49" t="e">
        <f>AND(Bills!C88,"AAAAAH+36cY=")</f>
        <v>#VALUE!</v>
      </c>
      <c r="GR49" t="e">
        <f>AND(Bills!D88,"AAAAAH+36cc=")</f>
        <v>#VALUE!</v>
      </c>
      <c r="GS49" t="e">
        <f>AND(Bills!E88,"AAAAAH+36cg=")</f>
        <v>#VALUE!</v>
      </c>
      <c r="GT49" t="e">
        <f>AND(Bills!#REF!,"AAAAAH+36ck=")</f>
        <v>#REF!</v>
      </c>
      <c r="GU49" t="e">
        <f>AND(Bills!#REF!,"AAAAAH+36co=")</f>
        <v>#REF!</v>
      </c>
      <c r="GV49" t="e">
        <f>AND(Bills!#REF!,"AAAAAH+36cs=")</f>
        <v>#REF!</v>
      </c>
      <c r="GW49" t="e">
        <f>AND(Bills!F88,"AAAAAH+36cw=")</f>
        <v>#VALUE!</v>
      </c>
      <c r="GX49" t="e">
        <f>AND(Bills!#REF!,"AAAAAH+36c0=")</f>
        <v>#REF!</v>
      </c>
      <c r="GY49" t="e">
        <f>AND(Bills!G88,"AAAAAH+36c4=")</f>
        <v>#VALUE!</v>
      </c>
      <c r="GZ49" t="e">
        <f>AND(Bills!H88,"AAAAAH+36c8=")</f>
        <v>#VALUE!</v>
      </c>
      <c r="HA49" t="e">
        <f>AND(Bills!I88,"AAAAAH+36dA=")</f>
        <v>#VALUE!</v>
      </c>
      <c r="HB49" t="e">
        <f>AND(Bills!J88,"AAAAAH+36dE=")</f>
        <v>#VALUE!</v>
      </c>
      <c r="HC49" t="e">
        <f>AND(Bills!K88,"AAAAAH+36dI=")</f>
        <v>#VALUE!</v>
      </c>
      <c r="HD49" t="e">
        <f>AND(Bills!L88,"AAAAAH+36dM=")</f>
        <v>#VALUE!</v>
      </c>
      <c r="HE49" t="e">
        <f>AND(Bills!#REF!,"AAAAAH+36dQ=")</f>
        <v>#REF!</v>
      </c>
      <c r="HF49" t="e">
        <f>AND(Bills!M88,"AAAAAH+36dU=")</f>
        <v>#VALUE!</v>
      </c>
      <c r="HG49" t="e">
        <f>AND(Bills!N88,"AAAAAH+36dY=")</f>
        <v>#VALUE!</v>
      </c>
      <c r="HH49" t="e">
        <f>AND(Bills!O88,"AAAAAH+36dc=")</f>
        <v>#VALUE!</v>
      </c>
      <c r="HI49" t="e">
        <f>AND(Bills!P88,"AAAAAH+36dg=")</f>
        <v>#VALUE!</v>
      </c>
      <c r="HJ49" t="e">
        <f>AND(Bills!Q88,"AAAAAH+36dk=")</f>
        <v>#VALUE!</v>
      </c>
      <c r="HK49" t="e">
        <f>AND(Bills!R88,"AAAAAH+36do=")</f>
        <v>#VALUE!</v>
      </c>
      <c r="HL49" t="e">
        <f>AND(Bills!S88,"AAAAAH+36ds=")</f>
        <v>#VALUE!</v>
      </c>
      <c r="HM49" t="e">
        <f>AND(Bills!T88,"AAAAAH+36dw=")</f>
        <v>#VALUE!</v>
      </c>
      <c r="HN49" t="e">
        <f>AND(Bills!#REF!,"AAAAAH+36d0=")</f>
        <v>#REF!</v>
      </c>
      <c r="HO49" t="e">
        <f>AND(Bills!U88,"AAAAAH+36d4=")</f>
        <v>#VALUE!</v>
      </c>
      <c r="HP49" t="e">
        <f>AND(Bills!V88,"AAAAAH+36d8=")</f>
        <v>#VALUE!</v>
      </c>
      <c r="HQ49" t="e">
        <f>AND(Bills!W88,"AAAAAH+36eA=")</f>
        <v>#VALUE!</v>
      </c>
      <c r="HR49" t="e">
        <f>AND(Bills!#REF!,"AAAAAH+36eE=")</f>
        <v>#REF!</v>
      </c>
      <c r="HS49" t="e">
        <f>AND(Bills!#REF!,"AAAAAH+36eI=")</f>
        <v>#REF!</v>
      </c>
      <c r="HT49" t="e">
        <f>AND(Bills!Y88,"AAAAAH+36eM=")</f>
        <v>#VALUE!</v>
      </c>
      <c r="HU49" t="e">
        <f>AND(Bills!Z88,"AAAAAH+36eQ=")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AND(Bills!AA88,"AAAAAH+36e4=")</f>
        <v>#VALUE!</v>
      </c>
      <c r="IF49" t="e">
        <f>AND(Bills!AB88,"AAAAAH+36e8=")</f>
        <v>#VALUE!</v>
      </c>
      <c r="IG49" t="e">
        <f>AND(Bills!#REF!,"AAAAAH+36fA=")</f>
        <v>#REF!</v>
      </c>
      <c r="IH49" t="e">
        <f>AND(Bills!#REF!,"AAAAAH+36fE=")</f>
        <v>#REF!</v>
      </c>
      <c r="II49" t="e">
        <f>AND(Bills!#REF!,"AAAAAH+36fI=")</f>
        <v>#REF!</v>
      </c>
      <c r="IJ49" t="e">
        <f>AND(Bills!AC88,"AAAAAH+36fM=")</f>
        <v>#VALUE!</v>
      </c>
      <c r="IK49" t="e">
        <f>AND(Bills!AD88,"AAAAAH+36fQ=")</f>
        <v>#VALUE!</v>
      </c>
      <c r="IL49" t="e">
        <f>AND(Bills!#REF!,"AAAAAH+36fU=")</f>
        <v>#REF!</v>
      </c>
      <c r="IM49">
        <f>IF(Bills!89:89,"AAAAAH+36fY=",0)</f>
        <v>0</v>
      </c>
      <c r="IN49" t="e">
        <f>AND(Bills!B89,"AAAAAH+36fc=")</f>
        <v>#VALUE!</v>
      </c>
      <c r="IO49" t="e">
        <f>AND(Bills!#REF!,"AAAAAH+36fg=")</f>
        <v>#REF!</v>
      </c>
      <c r="IP49" t="e">
        <f>AND(Bills!C89,"AAAAAH+36fk=")</f>
        <v>#VALUE!</v>
      </c>
      <c r="IQ49" t="e">
        <f>AND(Bills!D89,"AAAAAH+36fo=")</f>
        <v>#VALUE!</v>
      </c>
      <c r="IR49" t="e">
        <f>AND(Bills!E89,"AAAAAH+36fs=")</f>
        <v>#VALUE!</v>
      </c>
      <c r="IS49" t="e">
        <f>AND(Bills!#REF!,"AAAAAH+36fw=")</f>
        <v>#REF!</v>
      </c>
      <c r="IT49" t="e">
        <f>AND(Bills!#REF!,"AAAAAH+36f0=")</f>
        <v>#REF!</v>
      </c>
      <c r="IU49" t="e">
        <f>AND(Bills!#REF!,"AAAAAH+36f4=")</f>
        <v>#REF!</v>
      </c>
      <c r="IV49" t="e">
        <f>AND(Bills!F89,"AAAAAH+36f8=")</f>
        <v>#VALUE!</v>
      </c>
    </row>
    <row r="50" spans="1:256">
      <c r="A50" t="e">
        <f>AND(Bills!#REF!,"AAAAAH/7vwA=")</f>
        <v>#REF!</v>
      </c>
      <c r="B50" t="e">
        <f>AND(Bills!G89,"AAAAAH/7vwE=")</f>
        <v>#VALUE!</v>
      </c>
      <c r="C50" t="e">
        <f>AND(Bills!H89,"AAAAAH/7vwI=")</f>
        <v>#VALUE!</v>
      </c>
      <c r="D50" t="e">
        <f>AND(Bills!I89,"AAAAAH/7vwM=")</f>
        <v>#VALUE!</v>
      </c>
      <c r="E50" t="e">
        <f>AND(Bills!J89,"AAAAAH/7vwQ=")</f>
        <v>#VALUE!</v>
      </c>
      <c r="F50" t="e">
        <f>AND(Bills!K89,"AAAAAH/7vwU=")</f>
        <v>#VALUE!</v>
      </c>
      <c r="G50" t="e">
        <f>AND(Bills!L89,"AAAAAH/7vwY=")</f>
        <v>#VALUE!</v>
      </c>
      <c r="H50" t="e">
        <f>AND(Bills!#REF!,"AAAAAH/7vwc=")</f>
        <v>#REF!</v>
      </c>
      <c r="I50" t="e">
        <f>AND(Bills!M89,"AAAAAH/7vwg=")</f>
        <v>#VALUE!</v>
      </c>
      <c r="J50" t="e">
        <f>AND(Bills!N89,"AAAAAH/7vwk=")</f>
        <v>#VALUE!</v>
      </c>
      <c r="K50" t="e">
        <f>AND(Bills!O89,"AAAAAH/7vwo=")</f>
        <v>#VALUE!</v>
      </c>
      <c r="L50" t="e">
        <f>AND(Bills!P89,"AAAAAH/7vws=")</f>
        <v>#VALUE!</v>
      </c>
      <c r="M50" t="e">
        <f>AND(Bills!Q89,"AAAAAH/7vww=")</f>
        <v>#VALUE!</v>
      </c>
      <c r="N50" t="e">
        <f>AND(Bills!R89,"AAAAAH/7vw0=")</f>
        <v>#VALUE!</v>
      </c>
      <c r="O50" t="e">
        <f>AND(Bills!S89,"AAAAAH/7vw4=")</f>
        <v>#VALUE!</v>
      </c>
      <c r="P50" t="e">
        <f>AND(Bills!T89,"AAAAAH/7vw8=")</f>
        <v>#VALUE!</v>
      </c>
      <c r="Q50" t="e">
        <f>AND(Bills!#REF!,"AAAAAH/7vxA=")</f>
        <v>#REF!</v>
      </c>
      <c r="R50" t="e">
        <f>AND(Bills!U89,"AAAAAH/7vxE=")</f>
        <v>#VALUE!</v>
      </c>
      <c r="S50" t="e">
        <f>AND(Bills!V89,"AAAAAH/7vxI=")</f>
        <v>#VALUE!</v>
      </c>
      <c r="T50" t="e">
        <f>AND(Bills!W89,"AAAAAH/7vxM=")</f>
        <v>#VALUE!</v>
      </c>
      <c r="U50" t="e">
        <f>AND(Bills!#REF!,"AAAAAH/7vxQ=")</f>
        <v>#REF!</v>
      </c>
      <c r="V50" t="e">
        <f>AND(Bills!#REF!,"AAAAAH/7vxU=")</f>
        <v>#REF!</v>
      </c>
      <c r="W50" t="e">
        <f>AND(Bills!Y89,"AAAAAH/7vxY=")</f>
        <v>#VALUE!</v>
      </c>
      <c r="X50" t="e">
        <f>AND(Bills!Z89,"AAAAAH/7vxc=")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AND(Bills!AA89,"AAAAAH/7vyE=")</f>
        <v>#VALUE!</v>
      </c>
      <c r="AI50" t="e">
        <f>AND(Bills!AB89,"AAAAAH/7vyI=")</f>
        <v>#VALUE!</v>
      </c>
      <c r="AJ50" t="e">
        <f>AND(Bills!#REF!,"AAAAAH/7vyM=")</f>
        <v>#REF!</v>
      </c>
      <c r="AK50" t="e">
        <f>AND(Bills!#REF!,"AAAAAH/7vyQ=")</f>
        <v>#REF!</v>
      </c>
      <c r="AL50" t="e">
        <f>AND(Bills!#REF!,"AAAAAH/7vyU=")</f>
        <v>#REF!</v>
      </c>
      <c r="AM50" t="e">
        <f>AND(Bills!AC89,"AAAAAH/7vyY=")</f>
        <v>#VALUE!</v>
      </c>
      <c r="AN50" t="e">
        <f>AND(Bills!AD89,"AAAAAH/7vyc=")</f>
        <v>#VALUE!</v>
      </c>
      <c r="AO50" t="e">
        <f>AND(Bills!#REF!,"AAAAAH/7vyg=")</f>
        <v>#REF!</v>
      </c>
      <c r="AP50">
        <f>IF(Bills!90:90,"AAAAAH/7vyk=",0)</f>
        <v>0</v>
      </c>
      <c r="AQ50" t="e">
        <f>AND(Bills!B90,"AAAAAH/7vyo=")</f>
        <v>#VALUE!</v>
      </c>
      <c r="AR50" t="e">
        <f>AND(Bills!#REF!,"AAAAAH/7vys=")</f>
        <v>#REF!</v>
      </c>
      <c r="AS50" t="e">
        <f>AND(Bills!C90,"AAAAAH/7vyw=")</f>
        <v>#VALUE!</v>
      </c>
      <c r="AT50" t="e">
        <f>AND(Bills!D90,"AAAAAH/7vy0=")</f>
        <v>#VALUE!</v>
      </c>
      <c r="AU50" t="e">
        <f>AND(Bills!E90,"AAAAAH/7vy4=")</f>
        <v>#VALUE!</v>
      </c>
      <c r="AV50" t="e">
        <f>AND(Bills!#REF!,"AAAAAH/7vy8=")</f>
        <v>#REF!</v>
      </c>
      <c r="AW50" t="e">
        <f>AND(Bills!#REF!,"AAAAAH/7vzA=")</f>
        <v>#REF!</v>
      </c>
      <c r="AX50" t="e">
        <f>AND(Bills!#REF!,"AAAAAH/7vzE=")</f>
        <v>#REF!</v>
      </c>
      <c r="AY50" t="e">
        <f>AND(Bills!F90,"AAAAAH/7vzI=")</f>
        <v>#VALUE!</v>
      </c>
      <c r="AZ50" t="e">
        <f>AND(Bills!#REF!,"AAAAAH/7vzM=")</f>
        <v>#REF!</v>
      </c>
      <c r="BA50" t="e">
        <f>AND(Bills!G90,"AAAAAH/7vzQ=")</f>
        <v>#VALUE!</v>
      </c>
      <c r="BB50" t="e">
        <f>AND(Bills!H90,"AAAAAH/7vzU=")</f>
        <v>#VALUE!</v>
      </c>
      <c r="BC50" t="e">
        <f>AND(Bills!I90,"AAAAAH/7vzY=")</f>
        <v>#VALUE!</v>
      </c>
      <c r="BD50" t="e">
        <f>AND(Bills!J90,"AAAAAH/7vzc=")</f>
        <v>#VALUE!</v>
      </c>
      <c r="BE50" t="e">
        <f>AND(Bills!K90,"AAAAAH/7vzg=")</f>
        <v>#VALUE!</v>
      </c>
      <c r="BF50" t="e">
        <f>AND(Bills!L90,"AAAAAH/7vzk=")</f>
        <v>#VALUE!</v>
      </c>
      <c r="BG50" t="e">
        <f>AND(Bills!#REF!,"AAAAAH/7vzo=")</f>
        <v>#REF!</v>
      </c>
      <c r="BH50" t="e">
        <f>AND(Bills!M90,"AAAAAH/7vzs=")</f>
        <v>#VALUE!</v>
      </c>
      <c r="BI50" t="e">
        <f>AND(Bills!N90,"AAAAAH/7vzw=")</f>
        <v>#VALUE!</v>
      </c>
      <c r="BJ50" t="e">
        <f>AND(Bills!O90,"AAAAAH/7vz0=")</f>
        <v>#VALUE!</v>
      </c>
      <c r="BK50" t="e">
        <f>AND(Bills!P90,"AAAAAH/7vz4=")</f>
        <v>#VALUE!</v>
      </c>
      <c r="BL50" t="e">
        <f>AND(Bills!Q90,"AAAAAH/7vz8=")</f>
        <v>#VALUE!</v>
      </c>
      <c r="BM50" t="e">
        <f>AND(Bills!R90,"AAAAAH/7v0A=")</f>
        <v>#VALUE!</v>
      </c>
      <c r="BN50" t="e">
        <f>AND(Bills!S90,"AAAAAH/7v0E=")</f>
        <v>#VALUE!</v>
      </c>
      <c r="BO50" t="e">
        <f>AND(Bills!T90,"AAAAAH/7v0I=")</f>
        <v>#VALUE!</v>
      </c>
      <c r="BP50" t="e">
        <f>AND(Bills!#REF!,"AAAAAH/7v0M=")</f>
        <v>#REF!</v>
      </c>
      <c r="BQ50" t="e">
        <f>AND(Bills!U90,"AAAAAH/7v0Q=")</f>
        <v>#VALUE!</v>
      </c>
      <c r="BR50" t="e">
        <f>AND(Bills!V90,"AAAAAH/7v0U=")</f>
        <v>#VALUE!</v>
      </c>
      <c r="BS50" t="e">
        <f>AND(Bills!W90,"AAAAAH/7v0Y=")</f>
        <v>#VALUE!</v>
      </c>
      <c r="BT50" t="e">
        <f>AND(Bills!#REF!,"AAAAAH/7v0c=")</f>
        <v>#REF!</v>
      </c>
      <c r="BU50" t="e">
        <f>AND(Bills!#REF!,"AAAAAH/7v0g=")</f>
        <v>#REF!</v>
      </c>
      <c r="BV50" t="e">
        <f>AND(Bills!Y90,"AAAAAH/7v0k=")</f>
        <v>#VALUE!</v>
      </c>
      <c r="BW50" t="e">
        <f>AND(Bills!Z90,"AAAAAH/7v0o=")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AND(Bills!AA90,"AAAAAH/7v1Q=")</f>
        <v>#VALUE!</v>
      </c>
      <c r="CH50" t="e">
        <f>AND(Bills!AB90,"AAAAAH/7v1U=")</f>
        <v>#VALUE!</v>
      </c>
      <c r="CI50" t="e">
        <f>AND(Bills!#REF!,"AAAAAH/7v1Y=")</f>
        <v>#REF!</v>
      </c>
      <c r="CJ50" t="e">
        <f>AND(Bills!#REF!,"AAAAAH/7v1c=")</f>
        <v>#REF!</v>
      </c>
      <c r="CK50" t="e">
        <f>AND(Bills!#REF!,"AAAAAH/7v1g=")</f>
        <v>#REF!</v>
      </c>
      <c r="CL50" t="e">
        <f>AND(Bills!AC90,"AAAAAH/7v1k=")</f>
        <v>#VALUE!</v>
      </c>
      <c r="CM50" t="e">
        <f>AND(Bills!AD90,"AAAAAH/7v1o=")</f>
        <v>#VALUE!</v>
      </c>
      <c r="CN50" t="e">
        <f>AND(Bills!#REF!,"AAAAAH/7v1s=")</f>
        <v>#REF!</v>
      </c>
      <c r="CO50">
        <f>IF(Bills!91:91,"AAAAAH/7v1w=",0)</f>
        <v>0</v>
      </c>
      <c r="CP50" t="e">
        <f>AND(Bills!B91,"AAAAAH/7v10=")</f>
        <v>#VALUE!</v>
      </c>
      <c r="CQ50" t="e">
        <f>AND(Bills!#REF!,"AAAAAH/7v14=")</f>
        <v>#REF!</v>
      </c>
      <c r="CR50" t="e">
        <f>AND(Bills!C91,"AAAAAH/7v18=")</f>
        <v>#VALUE!</v>
      </c>
      <c r="CS50" t="e">
        <f>AND(Bills!D91,"AAAAAH/7v2A=")</f>
        <v>#VALUE!</v>
      </c>
      <c r="CT50" t="e">
        <f>AND(Bills!E91,"AAAAAH/7v2E=")</f>
        <v>#VALUE!</v>
      </c>
      <c r="CU50" t="e">
        <f>AND(Bills!#REF!,"AAAAAH/7v2I=")</f>
        <v>#REF!</v>
      </c>
      <c r="CV50" t="e">
        <f>AND(Bills!#REF!,"AAAAAH/7v2M=")</f>
        <v>#REF!</v>
      </c>
      <c r="CW50" t="e">
        <f>AND(Bills!#REF!,"AAAAAH/7v2Q=")</f>
        <v>#REF!</v>
      </c>
      <c r="CX50" t="e">
        <f>AND(Bills!F91,"AAAAAH/7v2U=")</f>
        <v>#VALUE!</v>
      </c>
      <c r="CY50" t="e">
        <f>AND(Bills!#REF!,"AAAAAH/7v2Y=")</f>
        <v>#REF!</v>
      </c>
      <c r="CZ50" t="e">
        <f>AND(Bills!G91,"AAAAAH/7v2c=")</f>
        <v>#VALUE!</v>
      </c>
      <c r="DA50" t="e">
        <f>AND(Bills!H91,"AAAAAH/7v2g=")</f>
        <v>#VALUE!</v>
      </c>
      <c r="DB50" t="e">
        <f>AND(Bills!I91,"AAAAAH/7v2k=")</f>
        <v>#VALUE!</v>
      </c>
      <c r="DC50" t="e">
        <f>AND(Bills!J91,"AAAAAH/7v2o=")</f>
        <v>#VALUE!</v>
      </c>
      <c r="DD50" t="e">
        <f>AND(Bills!K91,"AAAAAH/7v2s=")</f>
        <v>#VALUE!</v>
      </c>
      <c r="DE50" t="e">
        <f>AND(Bills!L91,"AAAAAH/7v2w=")</f>
        <v>#VALUE!</v>
      </c>
      <c r="DF50" t="e">
        <f>AND(Bills!#REF!,"AAAAAH/7v20=")</f>
        <v>#REF!</v>
      </c>
      <c r="DG50" t="e">
        <f>AND(Bills!M91,"AAAAAH/7v24=")</f>
        <v>#VALUE!</v>
      </c>
      <c r="DH50" t="e">
        <f>AND(Bills!N91,"AAAAAH/7v28=")</f>
        <v>#VALUE!</v>
      </c>
      <c r="DI50" t="e">
        <f>AND(Bills!O91,"AAAAAH/7v3A=")</f>
        <v>#VALUE!</v>
      </c>
      <c r="DJ50" t="e">
        <f>AND(Bills!P91,"AAAAAH/7v3E=")</f>
        <v>#VALUE!</v>
      </c>
      <c r="DK50" t="e">
        <f>AND(Bills!Q91,"AAAAAH/7v3I=")</f>
        <v>#VALUE!</v>
      </c>
      <c r="DL50" t="e">
        <f>AND(Bills!R91,"AAAAAH/7v3M=")</f>
        <v>#VALUE!</v>
      </c>
      <c r="DM50" t="e">
        <f>AND(Bills!S91,"AAAAAH/7v3Q=")</f>
        <v>#VALUE!</v>
      </c>
      <c r="DN50" t="e">
        <f>AND(Bills!T91,"AAAAAH/7v3U=")</f>
        <v>#VALUE!</v>
      </c>
      <c r="DO50" t="e">
        <f>AND(Bills!#REF!,"AAAAAH/7v3Y=")</f>
        <v>#REF!</v>
      </c>
      <c r="DP50" t="e">
        <f>AND(Bills!U91,"AAAAAH/7v3c=")</f>
        <v>#VALUE!</v>
      </c>
      <c r="DQ50" t="e">
        <f>AND(Bills!V91,"AAAAAH/7v3g=")</f>
        <v>#VALUE!</v>
      </c>
      <c r="DR50" t="e">
        <f>AND(Bills!W91,"AAAAAH/7v3k=")</f>
        <v>#VALUE!</v>
      </c>
      <c r="DS50" t="e">
        <f>AND(Bills!#REF!,"AAAAAH/7v3o=")</f>
        <v>#REF!</v>
      </c>
      <c r="DT50" t="e">
        <f>AND(Bills!#REF!,"AAAAAH/7v3s=")</f>
        <v>#REF!</v>
      </c>
      <c r="DU50" t="e">
        <f>AND(Bills!Y91,"AAAAAH/7v3w=")</f>
        <v>#VALUE!</v>
      </c>
      <c r="DV50" t="e">
        <f>AND(Bills!Z91,"AAAAAH/7v30=")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AND(Bills!AA91,"AAAAAH/7v4c=")</f>
        <v>#VALUE!</v>
      </c>
      <c r="EG50" t="e">
        <f>AND(Bills!AB91,"AAAAAH/7v4g=")</f>
        <v>#VALUE!</v>
      </c>
      <c r="EH50" t="e">
        <f>AND(Bills!#REF!,"AAAAAH/7v4k=")</f>
        <v>#REF!</v>
      </c>
      <c r="EI50" t="e">
        <f>AND(Bills!#REF!,"AAAAAH/7v4o=")</f>
        <v>#REF!</v>
      </c>
      <c r="EJ50" t="e">
        <f>AND(Bills!#REF!,"AAAAAH/7v4s=")</f>
        <v>#REF!</v>
      </c>
      <c r="EK50" t="e">
        <f>AND(Bills!AC91,"AAAAAH/7v4w=")</f>
        <v>#VALUE!</v>
      </c>
      <c r="EL50" t="e">
        <f>AND(Bills!AD91,"AAAAAH/7v40=")</f>
        <v>#VALUE!</v>
      </c>
      <c r="EM50" t="e">
        <f>AND(Bills!#REF!,"AAAAAH/7v44=")</f>
        <v>#REF!</v>
      </c>
      <c r="EN50">
        <f>IF(Bills!92:92,"AAAAAH/7v48=",0)</f>
        <v>0</v>
      </c>
      <c r="EO50" t="e">
        <f>AND(Bills!B92,"AAAAAH/7v5A=")</f>
        <v>#VALUE!</v>
      </c>
      <c r="EP50" t="e">
        <f>AND(Bills!#REF!,"AAAAAH/7v5E=")</f>
        <v>#REF!</v>
      </c>
      <c r="EQ50" t="e">
        <f>AND(Bills!C92,"AAAAAH/7v5I=")</f>
        <v>#VALUE!</v>
      </c>
      <c r="ER50" t="e">
        <f>AND(Bills!D92,"AAAAAH/7v5M=")</f>
        <v>#VALUE!</v>
      </c>
      <c r="ES50" t="e">
        <f>AND(Bills!E92,"AAAAAH/7v5Q=")</f>
        <v>#VALUE!</v>
      </c>
      <c r="ET50" t="e">
        <f>AND(Bills!#REF!,"AAAAAH/7v5U=")</f>
        <v>#REF!</v>
      </c>
      <c r="EU50" t="e">
        <f>AND(Bills!#REF!,"AAAAAH/7v5Y=")</f>
        <v>#REF!</v>
      </c>
      <c r="EV50" t="e">
        <f>AND(Bills!#REF!,"AAAAAH/7v5c=")</f>
        <v>#REF!</v>
      </c>
      <c r="EW50" t="e">
        <f>AND(Bills!F92,"AAAAAH/7v5g=")</f>
        <v>#VALUE!</v>
      </c>
      <c r="EX50" t="e">
        <f>AND(Bills!#REF!,"AAAAAH/7v5k=")</f>
        <v>#REF!</v>
      </c>
      <c r="EY50" t="e">
        <f>AND(Bills!G92,"AAAAAH/7v5o=")</f>
        <v>#VALUE!</v>
      </c>
      <c r="EZ50" t="e">
        <f>AND(Bills!H92,"AAAAAH/7v5s=")</f>
        <v>#VALUE!</v>
      </c>
      <c r="FA50" t="e">
        <f>AND(Bills!I92,"AAAAAH/7v5w=")</f>
        <v>#VALUE!</v>
      </c>
      <c r="FB50" t="e">
        <f>AND(Bills!J92,"AAAAAH/7v50=")</f>
        <v>#VALUE!</v>
      </c>
      <c r="FC50" t="e">
        <f>AND(Bills!K92,"AAAAAH/7v54=")</f>
        <v>#VALUE!</v>
      </c>
      <c r="FD50" t="e">
        <f>AND(Bills!L92,"AAAAAH/7v58=")</f>
        <v>#VALUE!</v>
      </c>
      <c r="FE50" t="e">
        <f>AND(Bills!#REF!,"AAAAAH/7v6A=")</f>
        <v>#REF!</v>
      </c>
      <c r="FF50" t="e">
        <f>AND(Bills!M92,"AAAAAH/7v6E=")</f>
        <v>#VALUE!</v>
      </c>
      <c r="FG50" t="e">
        <f>AND(Bills!N92,"AAAAAH/7v6I=")</f>
        <v>#VALUE!</v>
      </c>
      <c r="FH50" t="e">
        <f>AND(Bills!O92,"AAAAAH/7v6M=")</f>
        <v>#VALUE!</v>
      </c>
      <c r="FI50" t="e">
        <f>AND(Bills!P92,"AAAAAH/7v6Q=")</f>
        <v>#VALUE!</v>
      </c>
      <c r="FJ50" t="e">
        <f>AND(Bills!Q92,"AAAAAH/7v6U=")</f>
        <v>#VALUE!</v>
      </c>
      <c r="FK50" t="e">
        <f>AND(Bills!R92,"AAAAAH/7v6Y=")</f>
        <v>#VALUE!</v>
      </c>
      <c r="FL50" t="e">
        <f>AND(Bills!S92,"AAAAAH/7v6c=")</f>
        <v>#VALUE!</v>
      </c>
      <c r="FM50" t="e">
        <f>AND(Bills!T92,"AAAAAH/7v6g=")</f>
        <v>#VALUE!</v>
      </c>
      <c r="FN50" t="e">
        <f>AND(Bills!#REF!,"AAAAAH/7v6k=")</f>
        <v>#REF!</v>
      </c>
      <c r="FO50" t="e">
        <f>AND(Bills!U92,"AAAAAH/7v6o=")</f>
        <v>#VALUE!</v>
      </c>
      <c r="FP50" t="e">
        <f>AND(Bills!V92,"AAAAAH/7v6s=")</f>
        <v>#VALUE!</v>
      </c>
      <c r="FQ50" t="e">
        <f>AND(Bills!W92,"AAAAAH/7v6w=")</f>
        <v>#VALUE!</v>
      </c>
      <c r="FR50" t="e">
        <f>AND(Bills!#REF!,"AAAAAH/7v60=")</f>
        <v>#REF!</v>
      </c>
      <c r="FS50" t="e">
        <f>AND(Bills!#REF!,"AAAAAH/7v64=")</f>
        <v>#REF!</v>
      </c>
      <c r="FT50" t="e">
        <f>AND(Bills!Y92,"AAAAAH/7v68=")</f>
        <v>#VALUE!</v>
      </c>
      <c r="FU50" t="e">
        <f>AND(Bills!Z92,"AAAAAH/7v7A=")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AND(Bills!AA92,"AAAAAH/7v7o=")</f>
        <v>#VALUE!</v>
      </c>
      <c r="GF50" t="e">
        <f>AND(Bills!AB92,"AAAAAH/7v7s=")</f>
        <v>#VALUE!</v>
      </c>
      <c r="GG50" t="e">
        <f>AND(Bills!#REF!,"AAAAAH/7v7w=")</f>
        <v>#REF!</v>
      </c>
      <c r="GH50" t="e">
        <f>AND(Bills!#REF!,"AAAAAH/7v70=")</f>
        <v>#REF!</v>
      </c>
      <c r="GI50" t="e">
        <f>AND(Bills!#REF!,"AAAAAH/7v74=")</f>
        <v>#REF!</v>
      </c>
      <c r="GJ50" t="e">
        <f>AND(Bills!AC92,"AAAAAH/7v78=")</f>
        <v>#VALUE!</v>
      </c>
      <c r="GK50" t="e">
        <f>AND(Bills!AD92,"AAAAAH/7v8A=")</f>
        <v>#VALUE!</v>
      </c>
      <c r="GL50" t="e">
        <f>AND(Bills!#REF!,"AAAAAH/7v8E=")</f>
        <v>#REF!</v>
      </c>
      <c r="GM50">
        <f>IF(Bills!93:93,"AAAAAH/7v8I=",0)</f>
        <v>0</v>
      </c>
      <c r="GN50" t="e">
        <f>AND(Bills!B93,"AAAAAH/7v8M=")</f>
        <v>#VALUE!</v>
      </c>
      <c r="GO50" t="e">
        <f>AND(Bills!#REF!,"AAAAAH/7v8Q=")</f>
        <v>#REF!</v>
      </c>
      <c r="GP50" t="e">
        <f>AND(Bills!C93,"AAAAAH/7v8U=")</f>
        <v>#VALUE!</v>
      </c>
      <c r="GQ50" t="e">
        <f>AND(Bills!D93,"AAAAAH/7v8Y=")</f>
        <v>#VALUE!</v>
      </c>
      <c r="GR50" t="e">
        <f>AND(Bills!E93,"AAAAAH/7v8c=")</f>
        <v>#VALUE!</v>
      </c>
      <c r="GS50" t="e">
        <f>AND(Bills!#REF!,"AAAAAH/7v8g=")</f>
        <v>#REF!</v>
      </c>
      <c r="GT50" t="e">
        <f>AND(Bills!#REF!,"AAAAAH/7v8k=")</f>
        <v>#REF!</v>
      </c>
      <c r="GU50" t="e">
        <f>AND(Bills!#REF!,"AAAAAH/7v8o=")</f>
        <v>#REF!</v>
      </c>
      <c r="GV50" t="e">
        <f>AND(Bills!F93,"AAAAAH/7v8s=")</f>
        <v>#VALUE!</v>
      </c>
      <c r="GW50" t="e">
        <f>AND(Bills!#REF!,"AAAAAH/7v8w=")</f>
        <v>#REF!</v>
      </c>
      <c r="GX50" t="e">
        <f>AND(Bills!G93,"AAAAAH/7v80=")</f>
        <v>#VALUE!</v>
      </c>
      <c r="GY50" t="e">
        <f>AND(Bills!H93,"AAAAAH/7v84=")</f>
        <v>#VALUE!</v>
      </c>
      <c r="GZ50" t="e">
        <f>AND(Bills!I93,"AAAAAH/7v88=")</f>
        <v>#VALUE!</v>
      </c>
      <c r="HA50" t="e">
        <f>AND(Bills!J93,"AAAAAH/7v9A=")</f>
        <v>#VALUE!</v>
      </c>
      <c r="HB50" t="e">
        <f>AND(Bills!K93,"AAAAAH/7v9E=")</f>
        <v>#VALUE!</v>
      </c>
      <c r="HC50" t="e">
        <f>AND(Bills!L93,"AAAAAH/7v9I=")</f>
        <v>#VALUE!</v>
      </c>
      <c r="HD50" t="e">
        <f>AND(Bills!#REF!,"AAAAAH/7v9M=")</f>
        <v>#REF!</v>
      </c>
      <c r="HE50" t="e">
        <f>AND(Bills!M93,"AAAAAH/7v9Q=")</f>
        <v>#VALUE!</v>
      </c>
      <c r="HF50" t="e">
        <f>AND(Bills!N93,"AAAAAH/7v9U=")</f>
        <v>#VALUE!</v>
      </c>
      <c r="HG50" t="e">
        <f>AND(Bills!O93,"AAAAAH/7v9Y=")</f>
        <v>#VALUE!</v>
      </c>
      <c r="HH50" t="e">
        <f>AND(Bills!P93,"AAAAAH/7v9c=")</f>
        <v>#VALUE!</v>
      </c>
      <c r="HI50" t="e">
        <f>AND(Bills!Q93,"AAAAAH/7v9g=")</f>
        <v>#VALUE!</v>
      </c>
      <c r="HJ50" t="e">
        <f>AND(Bills!R93,"AAAAAH/7v9k=")</f>
        <v>#VALUE!</v>
      </c>
      <c r="HK50" t="e">
        <f>AND(Bills!S93,"AAAAAH/7v9o=")</f>
        <v>#VALUE!</v>
      </c>
      <c r="HL50" t="e">
        <f>AND(Bills!T93,"AAAAAH/7v9s=")</f>
        <v>#VALUE!</v>
      </c>
      <c r="HM50" t="e">
        <f>AND(Bills!#REF!,"AAAAAH/7v9w=")</f>
        <v>#REF!</v>
      </c>
      <c r="HN50" t="e">
        <f>AND(Bills!U93,"AAAAAH/7v90=")</f>
        <v>#VALUE!</v>
      </c>
      <c r="HO50" t="e">
        <f>AND(Bills!V93,"AAAAAH/7v94=")</f>
        <v>#VALUE!</v>
      </c>
      <c r="HP50" t="e">
        <f>AND(Bills!W93,"AAAAAH/7v98=")</f>
        <v>#VALUE!</v>
      </c>
      <c r="HQ50" t="e">
        <f>AND(Bills!#REF!,"AAAAAH/7v+A=")</f>
        <v>#REF!</v>
      </c>
      <c r="HR50" t="e">
        <f>AND(Bills!#REF!,"AAAAAH/7v+E=")</f>
        <v>#REF!</v>
      </c>
      <c r="HS50" t="e">
        <f>AND(Bills!Y93,"AAAAAH/7v+I=")</f>
        <v>#VALUE!</v>
      </c>
      <c r="HT50" t="e">
        <f>AND(Bills!Z93,"AAAAAH/7v+M=")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AND(Bills!AA93,"AAAAAH/7v+0=")</f>
        <v>#VALUE!</v>
      </c>
      <c r="IE50" t="e">
        <f>AND(Bills!AB93,"AAAAAH/7v+4=")</f>
        <v>#VALUE!</v>
      </c>
      <c r="IF50" t="e">
        <f>AND(Bills!#REF!,"AAAAAH/7v+8=")</f>
        <v>#REF!</v>
      </c>
      <c r="IG50" t="e">
        <f>AND(Bills!#REF!,"AAAAAH/7v/A=")</f>
        <v>#REF!</v>
      </c>
      <c r="IH50" t="e">
        <f>AND(Bills!#REF!,"AAAAAH/7v/E=")</f>
        <v>#REF!</v>
      </c>
      <c r="II50" t="e">
        <f>AND(Bills!AC93,"AAAAAH/7v/I=")</f>
        <v>#VALUE!</v>
      </c>
      <c r="IJ50" t="e">
        <f>AND(Bills!AD93,"AAAAAH/7v/M=")</f>
        <v>#VALUE!</v>
      </c>
      <c r="IK50" t="e">
        <f>AND(Bills!#REF!,"AAAAAH/7v/Q=")</f>
        <v>#REF!</v>
      </c>
      <c r="IL50">
        <f>IF(Bills!94:94,"AAAAAH/7v/U=",0)</f>
        <v>0</v>
      </c>
      <c r="IM50" t="e">
        <f>AND(Bills!B94,"AAAAAH/7v/Y=")</f>
        <v>#VALUE!</v>
      </c>
      <c r="IN50" t="e">
        <f>AND(Bills!#REF!,"AAAAAH/7v/c=")</f>
        <v>#REF!</v>
      </c>
      <c r="IO50" t="e">
        <f>AND(Bills!C94,"AAAAAH/7v/g=")</f>
        <v>#VALUE!</v>
      </c>
      <c r="IP50" t="e">
        <f>AND(Bills!D94,"AAAAAH/7v/k=")</f>
        <v>#VALUE!</v>
      </c>
      <c r="IQ50" t="e">
        <f>AND(Bills!E94,"AAAAAH/7v/o=")</f>
        <v>#VALUE!</v>
      </c>
      <c r="IR50" t="e">
        <f>AND(Bills!#REF!,"AAAAAH/7v/s=")</f>
        <v>#REF!</v>
      </c>
      <c r="IS50" t="e">
        <f>AND(Bills!#REF!,"AAAAAH/7v/w=")</f>
        <v>#REF!</v>
      </c>
      <c r="IT50" t="e">
        <f>AND(Bills!#REF!,"AAAAAH/7v/0=")</f>
        <v>#REF!</v>
      </c>
      <c r="IU50" t="e">
        <f>AND(Bills!F94,"AAAAAH/7v/4=")</f>
        <v>#VALUE!</v>
      </c>
      <c r="IV50" t="e">
        <f>AND(Bills!#REF!,"AAAAAH/7v/8=")</f>
        <v>#REF!</v>
      </c>
    </row>
    <row r="51" spans="1:256">
      <c r="A51" t="e">
        <f>AND(Bills!G94,"AAAAAF/7ywA=")</f>
        <v>#VALUE!</v>
      </c>
      <c r="B51" t="e">
        <f>AND(Bills!H94,"AAAAAF/7ywE=")</f>
        <v>#VALUE!</v>
      </c>
      <c r="C51" t="e">
        <f>AND(Bills!I94,"AAAAAF/7ywI=")</f>
        <v>#VALUE!</v>
      </c>
      <c r="D51" t="e">
        <f>AND(Bills!J94,"AAAAAF/7ywM=")</f>
        <v>#VALUE!</v>
      </c>
      <c r="E51" t="e">
        <f>AND(Bills!K94,"AAAAAF/7ywQ=")</f>
        <v>#VALUE!</v>
      </c>
      <c r="F51" t="e">
        <f>AND(Bills!L94,"AAAAAF/7ywU=")</f>
        <v>#VALUE!</v>
      </c>
      <c r="G51" t="e">
        <f>AND(Bills!#REF!,"AAAAAF/7ywY=")</f>
        <v>#REF!</v>
      </c>
      <c r="H51" t="e">
        <f>AND(Bills!M94,"AAAAAF/7ywc=")</f>
        <v>#VALUE!</v>
      </c>
      <c r="I51" t="e">
        <f>AND(Bills!N94,"AAAAAF/7ywg=")</f>
        <v>#VALUE!</v>
      </c>
      <c r="J51" t="e">
        <f>AND(Bills!O94,"AAAAAF/7ywk=")</f>
        <v>#VALUE!</v>
      </c>
      <c r="K51" t="e">
        <f>AND(Bills!P94,"AAAAAF/7ywo=")</f>
        <v>#VALUE!</v>
      </c>
      <c r="L51" t="e">
        <f>AND(Bills!Q94,"AAAAAF/7yws=")</f>
        <v>#VALUE!</v>
      </c>
      <c r="M51" t="e">
        <f>AND(Bills!R94,"AAAAAF/7yww=")</f>
        <v>#VALUE!</v>
      </c>
      <c r="N51" t="e">
        <f>AND(Bills!S94,"AAAAAF/7yw0=")</f>
        <v>#VALUE!</v>
      </c>
      <c r="O51" t="e">
        <f>AND(Bills!T94,"AAAAAF/7yw4=")</f>
        <v>#VALUE!</v>
      </c>
      <c r="P51" t="e">
        <f>AND(Bills!#REF!,"AAAAAF/7yw8=")</f>
        <v>#REF!</v>
      </c>
      <c r="Q51" t="e">
        <f>AND(Bills!U94,"AAAAAF/7yxA=")</f>
        <v>#VALUE!</v>
      </c>
      <c r="R51" t="e">
        <f>AND(Bills!V94,"AAAAAF/7yxE=")</f>
        <v>#VALUE!</v>
      </c>
      <c r="S51" t="e">
        <f>AND(Bills!W94,"AAAAAF/7yxI=")</f>
        <v>#VALUE!</v>
      </c>
      <c r="T51" t="e">
        <f>AND(Bills!#REF!,"AAAAAF/7yxM=")</f>
        <v>#REF!</v>
      </c>
      <c r="U51" t="e">
        <f>AND(Bills!#REF!,"AAAAAF/7yxQ=")</f>
        <v>#REF!</v>
      </c>
      <c r="V51" t="e">
        <f>AND(Bills!Y94,"AAAAAF/7yxU=")</f>
        <v>#VALUE!</v>
      </c>
      <c r="W51" t="e">
        <f>AND(Bills!Z94,"AAAAAF/7yxY=")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AND(Bills!AA94,"AAAAAF/7yyA=")</f>
        <v>#VALUE!</v>
      </c>
      <c r="AH51" t="e">
        <f>AND(Bills!AB94,"AAAAAF/7yyE=")</f>
        <v>#VALUE!</v>
      </c>
      <c r="AI51" t="e">
        <f>AND(Bills!#REF!,"AAAAAF/7yyI=")</f>
        <v>#REF!</v>
      </c>
      <c r="AJ51" t="e">
        <f>AND(Bills!#REF!,"AAAAAF/7yyM=")</f>
        <v>#REF!</v>
      </c>
      <c r="AK51" t="e">
        <f>AND(Bills!#REF!,"AAAAAF/7yyQ=")</f>
        <v>#REF!</v>
      </c>
      <c r="AL51" t="e">
        <f>AND(Bills!AC94,"AAAAAF/7yyU=")</f>
        <v>#VALUE!</v>
      </c>
      <c r="AM51" t="e">
        <f>AND(Bills!AD94,"AAAAAF/7yyY=")</f>
        <v>#VALUE!</v>
      </c>
      <c r="AN51" t="e">
        <f>AND(Bills!#REF!,"AAAAAF/7yyc=")</f>
        <v>#REF!</v>
      </c>
      <c r="AO51">
        <f>IF(Bills!95:95,"AAAAAF/7yyg=",0)</f>
        <v>0</v>
      </c>
      <c r="AP51" t="e">
        <f>AND(Bills!B95,"AAAAAF/7yyk=")</f>
        <v>#VALUE!</v>
      </c>
      <c r="AQ51" t="e">
        <f>AND(Bills!#REF!,"AAAAAF/7yyo=")</f>
        <v>#REF!</v>
      </c>
      <c r="AR51" t="e">
        <f>AND(Bills!C95,"AAAAAF/7yys=")</f>
        <v>#VALUE!</v>
      </c>
      <c r="AS51" t="e">
        <f>AND(Bills!D95,"AAAAAF/7yyw=")</f>
        <v>#VALUE!</v>
      </c>
      <c r="AT51" t="e">
        <f>AND(Bills!E95,"AAAAAF/7yy0=")</f>
        <v>#VALUE!</v>
      </c>
      <c r="AU51" t="e">
        <f>AND(Bills!#REF!,"AAAAAF/7yy4=")</f>
        <v>#REF!</v>
      </c>
      <c r="AV51" t="e">
        <f>AND(Bills!#REF!,"AAAAAF/7yy8=")</f>
        <v>#REF!</v>
      </c>
      <c r="AW51" t="e">
        <f>AND(Bills!#REF!,"AAAAAF/7yzA=")</f>
        <v>#REF!</v>
      </c>
      <c r="AX51" t="e">
        <f>AND(Bills!F95,"AAAAAF/7yzE=")</f>
        <v>#VALUE!</v>
      </c>
      <c r="AY51" t="e">
        <f>AND(Bills!#REF!,"AAAAAF/7yzI=")</f>
        <v>#REF!</v>
      </c>
      <c r="AZ51" t="e">
        <f>AND(Bills!G95,"AAAAAF/7yzM=")</f>
        <v>#VALUE!</v>
      </c>
      <c r="BA51" t="e">
        <f>AND(Bills!H95,"AAAAAF/7yzQ=")</f>
        <v>#VALUE!</v>
      </c>
      <c r="BB51" t="e">
        <f>AND(Bills!I95,"AAAAAF/7yzU=")</f>
        <v>#VALUE!</v>
      </c>
      <c r="BC51" t="e">
        <f>AND(Bills!J95,"AAAAAF/7yzY=")</f>
        <v>#VALUE!</v>
      </c>
      <c r="BD51" t="e">
        <f>AND(Bills!K95,"AAAAAF/7yzc=")</f>
        <v>#VALUE!</v>
      </c>
      <c r="BE51" t="e">
        <f>AND(Bills!L95,"AAAAAF/7yzg=")</f>
        <v>#VALUE!</v>
      </c>
      <c r="BF51" t="e">
        <f>AND(Bills!#REF!,"AAAAAF/7yzk=")</f>
        <v>#REF!</v>
      </c>
      <c r="BG51" t="e">
        <f>AND(Bills!M95,"AAAAAF/7yzo=")</f>
        <v>#VALUE!</v>
      </c>
      <c r="BH51" t="e">
        <f>AND(Bills!N95,"AAAAAF/7yzs=")</f>
        <v>#VALUE!</v>
      </c>
      <c r="BI51" t="e">
        <f>AND(Bills!O95,"AAAAAF/7yzw=")</f>
        <v>#VALUE!</v>
      </c>
      <c r="BJ51" t="e">
        <f>AND(Bills!P95,"AAAAAF/7yz0=")</f>
        <v>#VALUE!</v>
      </c>
      <c r="BK51" t="e">
        <f>AND(Bills!Q95,"AAAAAF/7yz4=")</f>
        <v>#VALUE!</v>
      </c>
      <c r="BL51" t="e">
        <f>AND(Bills!R95,"AAAAAF/7yz8=")</f>
        <v>#VALUE!</v>
      </c>
      <c r="BM51" t="e">
        <f>AND(Bills!S95,"AAAAAF/7y0A=")</f>
        <v>#VALUE!</v>
      </c>
      <c r="BN51" t="e">
        <f>AND(Bills!T95,"AAAAAF/7y0E=")</f>
        <v>#VALUE!</v>
      </c>
      <c r="BO51" t="e">
        <f>AND(Bills!#REF!,"AAAAAF/7y0I=")</f>
        <v>#REF!</v>
      </c>
      <c r="BP51" t="e">
        <f>AND(Bills!U95,"AAAAAF/7y0M=")</f>
        <v>#VALUE!</v>
      </c>
      <c r="BQ51" t="e">
        <f>AND(Bills!V95,"AAAAAF/7y0Q=")</f>
        <v>#VALUE!</v>
      </c>
      <c r="BR51" t="e">
        <f>AND(Bills!W95,"AAAAAF/7y0U=")</f>
        <v>#VALUE!</v>
      </c>
      <c r="BS51" t="e">
        <f>AND(Bills!#REF!,"AAAAAF/7y0Y=")</f>
        <v>#REF!</v>
      </c>
      <c r="BT51" t="e">
        <f>AND(Bills!#REF!,"AAAAAF/7y0c=")</f>
        <v>#REF!</v>
      </c>
      <c r="BU51" t="e">
        <f>AND(Bills!Y95,"AAAAAF/7y0g=")</f>
        <v>#VALUE!</v>
      </c>
      <c r="BV51" t="e">
        <f>AND(Bills!Z95,"AAAAAF/7y0k=")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AND(Bills!AA95,"AAAAAF/7y1M=")</f>
        <v>#VALUE!</v>
      </c>
      <c r="CG51" t="e">
        <f>AND(Bills!AB95,"AAAAAF/7y1Q=")</f>
        <v>#VALUE!</v>
      </c>
      <c r="CH51" t="e">
        <f>AND(Bills!#REF!,"AAAAAF/7y1U=")</f>
        <v>#REF!</v>
      </c>
      <c r="CI51" t="e">
        <f>AND(Bills!#REF!,"AAAAAF/7y1Y=")</f>
        <v>#REF!</v>
      </c>
      <c r="CJ51" t="e">
        <f>AND(Bills!#REF!,"AAAAAF/7y1c=")</f>
        <v>#REF!</v>
      </c>
      <c r="CK51" t="e">
        <f>AND(Bills!AC95,"AAAAAF/7y1g=")</f>
        <v>#VALUE!</v>
      </c>
      <c r="CL51" t="e">
        <f>AND(Bills!AD95,"AAAAAF/7y1k=")</f>
        <v>#VALUE!</v>
      </c>
      <c r="CM51" t="e">
        <f>AND(Bills!#REF!,"AAAAAF/7y1o=")</f>
        <v>#REF!</v>
      </c>
      <c r="CN51">
        <f>IF(Bills!96:96,"AAAAAF/7y1s=",0)</f>
        <v>0</v>
      </c>
      <c r="CO51" t="e">
        <f>AND(Bills!B96,"AAAAAF/7y1w=")</f>
        <v>#VALUE!</v>
      </c>
      <c r="CP51" t="e">
        <f>AND(Bills!#REF!,"AAAAAF/7y10=")</f>
        <v>#REF!</v>
      </c>
      <c r="CQ51" t="e">
        <f>AND(Bills!C96,"AAAAAF/7y14=")</f>
        <v>#VALUE!</v>
      </c>
      <c r="CR51" t="e">
        <f>AND(Bills!D96,"AAAAAF/7y18=")</f>
        <v>#VALUE!</v>
      </c>
      <c r="CS51" t="e">
        <f>AND(Bills!E96,"AAAAAF/7y2A=")</f>
        <v>#VALUE!</v>
      </c>
      <c r="CT51" t="e">
        <f>AND(Bills!#REF!,"AAAAAF/7y2E=")</f>
        <v>#REF!</v>
      </c>
      <c r="CU51" t="e">
        <f>AND(Bills!#REF!,"AAAAAF/7y2I=")</f>
        <v>#REF!</v>
      </c>
      <c r="CV51" t="e">
        <f>AND(Bills!#REF!,"AAAAAF/7y2M=")</f>
        <v>#REF!</v>
      </c>
      <c r="CW51" t="e">
        <f>AND(Bills!F96,"AAAAAF/7y2Q=")</f>
        <v>#VALUE!</v>
      </c>
      <c r="CX51" t="e">
        <f>AND(Bills!#REF!,"AAAAAF/7y2U=")</f>
        <v>#REF!</v>
      </c>
      <c r="CY51" t="e">
        <f>AND(Bills!G96,"AAAAAF/7y2Y=")</f>
        <v>#VALUE!</v>
      </c>
      <c r="CZ51" t="e">
        <f>AND(Bills!H96,"AAAAAF/7y2c=")</f>
        <v>#VALUE!</v>
      </c>
      <c r="DA51" t="e">
        <f>AND(Bills!I96,"AAAAAF/7y2g=")</f>
        <v>#VALUE!</v>
      </c>
      <c r="DB51" t="e">
        <f>AND(Bills!J96,"AAAAAF/7y2k=")</f>
        <v>#VALUE!</v>
      </c>
      <c r="DC51" t="e">
        <f>AND(Bills!K96,"AAAAAF/7y2o=")</f>
        <v>#VALUE!</v>
      </c>
      <c r="DD51" t="e">
        <f>AND(Bills!L96,"AAAAAF/7y2s=")</f>
        <v>#VALUE!</v>
      </c>
      <c r="DE51" t="e">
        <f>AND(Bills!#REF!,"AAAAAF/7y2w=")</f>
        <v>#REF!</v>
      </c>
      <c r="DF51" t="e">
        <f>AND(Bills!M96,"AAAAAF/7y20=")</f>
        <v>#VALUE!</v>
      </c>
      <c r="DG51" t="e">
        <f>AND(Bills!N96,"AAAAAF/7y24=")</f>
        <v>#VALUE!</v>
      </c>
      <c r="DH51" t="e">
        <f>AND(Bills!O96,"AAAAAF/7y28=")</f>
        <v>#VALUE!</v>
      </c>
      <c r="DI51" t="e">
        <f>AND(Bills!P96,"AAAAAF/7y3A=")</f>
        <v>#VALUE!</v>
      </c>
      <c r="DJ51" t="e">
        <f>AND(Bills!Q96,"AAAAAF/7y3E=")</f>
        <v>#VALUE!</v>
      </c>
      <c r="DK51" t="e">
        <f>AND(Bills!R96,"AAAAAF/7y3I=")</f>
        <v>#VALUE!</v>
      </c>
      <c r="DL51" t="e">
        <f>AND(Bills!S96,"AAAAAF/7y3M=")</f>
        <v>#VALUE!</v>
      </c>
      <c r="DM51" t="e">
        <f>AND(Bills!T96,"AAAAAF/7y3Q=")</f>
        <v>#VALUE!</v>
      </c>
      <c r="DN51" t="e">
        <f>AND(Bills!#REF!,"AAAAAF/7y3U=")</f>
        <v>#REF!</v>
      </c>
      <c r="DO51" t="e">
        <f>AND(Bills!U96,"AAAAAF/7y3Y=")</f>
        <v>#VALUE!</v>
      </c>
      <c r="DP51" t="e">
        <f>AND(Bills!V96,"AAAAAF/7y3c=")</f>
        <v>#VALUE!</v>
      </c>
      <c r="DQ51" t="e">
        <f>AND(Bills!W96,"AAAAAF/7y3g=")</f>
        <v>#VALUE!</v>
      </c>
      <c r="DR51" t="e">
        <f>AND(Bills!#REF!,"AAAAAF/7y3k=")</f>
        <v>#REF!</v>
      </c>
      <c r="DS51" t="e">
        <f>AND(Bills!#REF!,"AAAAAF/7y3o=")</f>
        <v>#REF!</v>
      </c>
      <c r="DT51" t="e">
        <f>AND(Bills!Y96,"AAAAAF/7y3s=")</f>
        <v>#VALUE!</v>
      </c>
      <c r="DU51" t="e">
        <f>AND(Bills!Z96,"AAAAAF/7y3w=")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AND(Bills!AA96,"AAAAAF/7y4Y=")</f>
        <v>#VALUE!</v>
      </c>
      <c r="EF51" t="e">
        <f>AND(Bills!AB96,"AAAAAF/7y4c=")</f>
        <v>#VALUE!</v>
      </c>
      <c r="EG51" t="e">
        <f>AND(Bills!#REF!,"AAAAAF/7y4g=")</f>
        <v>#REF!</v>
      </c>
      <c r="EH51" t="e">
        <f>AND(Bills!#REF!,"AAAAAF/7y4k=")</f>
        <v>#REF!</v>
      </c>
      <c r="EI51" t="e">
        <f>AND(Bills!#REF!,"AAAAAF/7y4o=")</f>
        <v>#REF!</v>
      </c>
      <c r="EJ51" t="e">
        <f>AND(Bills!AC96,"AAAAAF/7y4s=")</f>
        <v>#VALUE!</v>
      </c>
      <c r="EK51" t="e">
        <f>AND(Bills!AD96,"AAAAAF/7y4w=")</f>
        <v>#VALUE!</v>
      </c>
      <c r="EL51" t="e">
        <f>AND(Bills!#REF!,"AAAAAF/7y40=")</f>
        <v>#REF!</v>
      </c>
      <c r="EM51">
        <f>IF(Bills!97:97,"AAAAAF/7y44=",0)</f>
        <v>0</v>
      </c>
      <c r="EN51" t="e">
        <f>AND(Bills!B97,"AAAAAF/7y48=")</f>
        <v>#VALUE!</v>
      </c>
      <c r="EO51" t="e">
        <f>AND(Bills!#REF!,"AAAAAF/7y5A=")</f>
        <v>#REF!</v>
      </c>
      <c r="EP51" t="e">
        <f>AND(Bills!C97,"AAAAAF/7y5E=")</f>
        <v>#VALUE!</v>
      </c>
      <c r="EQ51" t="e">
        <f>AND(Bills!D97,"AAAAAF/7y5I=")</f>
        <v>#VALUE!</v>
      </c>
      <c r="ER51" t="e">
        <f>AND(Bills!E97,"AAAAAF/7y5M=")</f>
        <v>#VALUE!</v>
      </c>
      <c r="ES51" t="e">
        <f>AND(Bills!#REF!,"AAAAAF/7y5Q=")</f>
        <v>#REF!</v>
      </c>
      <c r="ET51" t="e">
        <f>AND(Bills!#REF!,"AAAAAF/7y5U=")</f>
        <v>#REF!</v>
      </c>
      <c r="EU51" t="e">
        <f>AND(Bills!#REF!,"AAAAAF/7y5Y=")</f>
        <v>#REF!</v>
      </c>
      <c r="EV51" t="e">
        <f>AND(Bills!F97,"AAAAAF/7y5c=")</f>
        <v>#VALUE!</v>
      </c>
      <c r="EW51" t="e">
        <f>AND(Bills!#REF!,"AAAAAF/7y5g=")</f>
        <v>#REF!</v>
      </c>
      <c r="EX51" t="e">
        <f>AND(Bills!G97,"AAAAAF/7y5k=")</f>
        <v>#VALUE!</v>
      </c>
      <c r="EY51" t="e">
        <f>AND(Bills!H97,"AAAAAF/7y5o=")</f>
        <v>#VALUE!</v>
      </c>
      <c r="EZ51" t="e">
        <f>AND(Bills!I97,"AAAAAF/7y5s=")</f>
        <v>#VALUE!</v>
      </c>
      <c r="FA51" t="e">
        <f>AND(Bills!J97,"AAAAAF/7y5w=")</f>
        <v>#VALUE!</v>
      </c>
      <c r="FB51" t="e">
        <f>AND(Bills!K97,"AAAAAF/7y50=")</f>
        <v>#VALUE!</v>
      </c>
      <c r="FC51" t="e">
        <f>AND(Bills!L97,"AAAAAF/7y54=")</f>
        <v>#VALUE!</v>
      </c>
      <c r="FD51" t="e">
        <f>AND(Bills!#REF!,"AAAAAF/7y58=")</f>
        <v>#REF!</v>
      </c>
      <c r="FE51" t="e">
        <f>AND(Bills!M97,"AAAAAF/7y6A=")</f>
        <v>#VALUE!</v>
      </c>
      <c r="FF51" t="e">
        <f>AND(Bills!N97,"AAAAAF/7y6E=")</f>
        <v>#VALUE!</v>
      </c>
      <c r="FG51" t="e">
        <f>AND(Bills!O97,"AAAAAF/7y6I=")</f>
        <v>#VALUE!</v>
      </c>
      <c r="FH51" t="e">
        <f>AND(Bills!P97,"AAAAAF/7y6M=")</f>
        <v>#VALUE!</v>
      </c>
      <c r="FI51" t="e">
        <f>AND(Bills!Q97,"AAAAAF/7y6Q=")</f>
        <v>#VALUE!</v>
      </c>
      <c r="FJ51" t="e">
        <f>AND(Bills!R97,"AAAAAF/7y6U=")</f>
        <v>#VALUE!</v>
      </c>
      <c r="FK51" t="e">
        <f>AND(Bills!S97,"AAAAAF/7y6Y=")</f>
        <v>#VALUE!</v>
      </c>
      <c r="FL51" t="e">
        <f>AND(Bills!T97,"AAAAAF/7y6c=")</f>
        <v>#VALUE!</v>
      </c>
      <c r="FM51" t="e">
        <f>AND(Bills!#REF!,"AAAAAF/7y6g=")</f>
        <v>#REF!</v>
      </c>
      <c r="FN51" t="e">
        <f>AND(Bills!U97,"AAAAAF/7y6k=")</f>
        <v>#VALUE!</v>
      </c>
      <c r="FO51" t="e">
        <f>AND(Bills!V97,"AAAAAF/7y6o=")</f>
        <v>#VALUE!</v>
      </c>
      <c r="FP51" t="e">
        <f>AND(Bills!W97,"AAAAAF/7y6s=")</f>
        <v>#VALUE!</v>
      </c>
      <c r="FQ51" t="e">
        <f>AND(Bills!#REF!,"AAAAAF/7y6w=")</f>
        <v>#REF!</v>
      </c>
      <c r="FR51" t="e">
        <f>AND(Bills!#REF!,"AAAAAF/7y60=")</f>
        <v>#REF!</v>
      </c>
      <c r="FS51" t="e">
        <f>AND(Bills!Y97,"AAAAAF/7y64=")</f>
        <v>#VALUE!</v>
      </c>
      <c r="FT51" t="e">
        <f>AND(Bills!Z97,"AAAAAF/7y68=")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AND(Bills!AA97,"AAAAAF/7y7k=")</f>
        <v>#VALUE!</v>
      </c>
      <c r="GE51" t="e">
        <f>AND(Bills!AB97,"AAAAAF/7y7o=")</f>
        <v>#VALUE!</v>
      </c>
      <c r="GF51" t="e">
        <f>AND(Bills!#REF!,"AAAAAF/7y7s=")</f>
        <v>#REF!</v>
      </c>
      <c r="GG51" t="e">
        <f>AND(Bills!#REF!,"AAAAAF/7y7w=")</f>
        <v>#REF!</v>
      </c>
      <c r="GH51" t="e">
        <f>AND(Bills!#REF!,"AAAAAF/7y70=")</f>
        <v>#REF!</v>
      </c>
      <c r="GI51" t="e">
        <f>AND(Bills!AC97,"AAAAAF/7y74=")</f>
        <v>#VALUE!</v>
      </c>
      <c r="GJ51" t="e">
        <f>AND(Bills!AD97,"AAAAAF/7y78=")</f>
        <v>#VALUE!</v>
      </c>
      <c r="GK51" t="e">
        <f>AND(Bills!#REF!,"AAAAAF/7y8A=")</f>
        <v>#REF!</v>
      </c>
      <c r="GL51">
        <f>IF(Bills!98:98,"AAAAAF/7y8E=",0)</f>
        <v>0</v>
      </c>
      <c r="GM51" t="e">
        <f>AND(Bills!B98,"AAAAAF/7y8I=")</f>
        <v>#VALUE!</v>
      </c>
      <c r="GN51" t="e">
        <f>AND(Bills!#REF!,"AAAAAF/7y8M=")</f>
        <v>#REF!</v>
      </c>
      <c r="GO51" t="e">
        <f>AND(Bills!C98,"AAAAAF/7y8Q=")</f>
        <v>#VALUE!</v>
      </c>
      <c r="GP51" t="e">
        <f>AND(Bills!D98,"AAAAAF/7y8U=")</f>
        <v>#VALUE!</v>
      </c>
      <c r="GQ51" t="e">
        <f>AND(Bills!E98,"AAAAAF/7y8Y=")</f>
        <v>#VALUE!</v>
      </c>
      <c r="GR51" t="e">
        <f>AND(Bills!#REF!,"AAAAAF/7y8c=")</f>
        <v>#REF!</v>
      </c>
      <c r="GS51" t="e">
        <f>AND(Bills!#REF!,"AAAAAF/7y8g=")</f>
        <v>#REF!</v>
      </c>
      <c r="GT51" t="e">
        <f>AND(Bills!#REF!,"AAAAAF/7y8k=")</f>
        <v>#REF!</v>
      </c>
      <c r="GU51" t="e">
        <f>AND(Bills!F98,"AAAAAF/7y8o=")</f>
        <v>#VALUE!</v>
      </c>
      <c r="GV51" t="e">
        <f>AND(Bills!#REF!,"AAAAAF/7y8s=")</f>
        <v>#REF!</v>
      </c>
      <c r="GW51" t="e">
        <f>AND(Bills!G98,"AAAAAF/7y8w=")</f>
        <v>#VALUE!</v>
      </c>
      <c r="GX51" t="e">
        <f>AND(Bills!H98,"AAAAAF/7y80=")</f>
        <v>#VALUE!</v>
      </c>
      <c r="GY51" t="e">
        <f>AND(Bills!I98,"AAAAAF/7y84=")</f>
        <v>#VALUE!</v>
      </c>
      <c r="GZ51" t="e">
        <f>AND(Bills!J98,"AAAAAF/7y88=")</f>
        <v>#VALUE!</v>
      </c>
      <c r="HA51" t="e">
        <f>AND(Bills!K98,"AAAAAF/7y9A=")</f>
        <v>#VALUE!</v>
      </c>
      <c r="HB51" t="e">
        <f>AND(Bills!L98,"AAAAAF/7y9E=")</f>
        <v>#VALUE!</v>
      </c>
      <c r="HC51" t="e">
        <f>AND(Bills!#REF!,"AAAAAF/7y9I=")</f>
        <v>#REF!</v>
      </c>
      <c r="HD51" t="e">
        <f>AND(Bills!M98,"AAAAAF/7y9M=")</f>
        <v>#VALUE!</v>
      </c>
      <c r="HE51" t="e">
        <f>AND(Bills!N98,"AAAAAF/7y9Q=")</f>
        <v>#VALUE!</v>
      </c>
      <c r="HF51" t="e">
        <f>AND(Bills!O98,"AAAAAF/7y9U=")</f>
        <v>#VALUE!</v>
      </c>
      <c r="HG51" t="e">
        <f>AND(Bills!P98,"AAAAAF/7y9Y=")</f>
        <v>#VALUE!</v>
      </c>
      <c r="HH51" t="e">
        <f>AND(Bills!Q98,"AAAAAF/7y9c=")</f>
        <v>#VALUE!</v>
      </c>
      <c r="HI51" t="e">
        <f>AND(Bills!R98,"AAAAAF/7y9g=")</f>
        <v>#VALUE!</v>
      </c>
      <c r="HJ51" t="e">
        <f>AND(Bills!S98,"AAAAAF/7y9k=")</f>
        <v>#VALUE!</v>
      </c>
      <c r="HK51" t="e">
        <f>AND(Bills!T98,"AAAAAF/7y9o=")</f>
        <v>#VALUE!</v>
      </c>
      <c r="HL51" t="e">
        <f>AND(Bills!#REF!,"AAAAAF/7y9s=")</f>
        <v>#REF!</v>
      </c>
      <c r="HM51" t="e">
        <f>AND(Bills!U98,"AAAAAF/7y9w=")</f>
        <v>#VALUE!</v>
      </c>
      <c r="HN51" t="e">
        <f>AND(Bills!V98,"AAAAAF/7y90=")</f>
        <v>#VALUE!</v>
      </c>
      <c r="HO51" t="e">
        <f>AND(Bills!W98,"AAAAAF/7y94=")</f>
        <v>#VALUE!</v>
      </c>
      <c r="HP51" t="e">
        <f>AND(Bills!#REF!,"AAAAAF/7y98=")</f>
        <v>#REF!</v>
      </c>
      <c r="HQ51" t="e">
        <f>AND(Bills!#REF!,"AAAAAF/7y+A=")</f>
        <v>#REF!</v>
      </c>
      <c r="HR51" t="e">
        <f>AND(Bills!Y98,"AAAAAF/7y+E=")</f>
        <v>#VALUE!</v>
      </c>
      <c r="HS51" t="e">
        <f>AND(Bills!Z98,"AAAAAF/7y+I=")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AND(Bills!AA98,"AAAAAF/7y+w=")</f>
        <v>#VALUE!</v>
      </c>
      <c r="ID51" t="e">
        <f>AND(Bills!AB98,"AAAAAF/7y+0=")</f>
        <v>#VALUE!</v>
      </c>
      <c r="IE51" t="e">
        <f>AND(Bills!#REF!,"AAAAAF/7y+4=")</f>
        <v>#REF!</v>
      </c>
      <c r="IF51" t="e">
        <f>AND(Bills!#REF!,"AAAAAF/7y+8=")</f>
        <v>#REF!</v>
      </c>
      <c r="IG51" t="e">
        <f>AND(Bills!#REF!,"AAAAAF/7y/A=")</f>
        <v>#REF!</v>
      </c>
      <c r="IH51" t="e">
        <f>AND(Bills!AC98,"AAAAAF/7y/E=")</f>
        <v>#VALUE!</v>
      </c>
      <c r="II51" t="e">
        <f>AND(Bills!AD98,"AAAAAF/7y/I=")</f>
        <v>#VALUE!</v>
      </c>
      <c r="IJ51" t="e">
        <f>AND(Bills!#REF!,"AAAAAF/7y/M=")</f>
        <v>#REF!</v>
      </c>
      <c r="IK51">
        <f>IF(Bills!99:99,"AAAAAF/7y/Q=",0)</f>
        <v>0</v>
      </c>
      <c r="IL51" t="e">
        <f>AND(Bills!B99,"AAAAAF/7y/U=")</f>
        <v>#VALUE!</v>
      </c>
      <c r="IM51" t="e">
        <f>AND(Bills!#REF!,"AAAAAF/7y/Y=")</f>
        <v>#REF!</v>
      </c>
      <c r="IN51" t="e">
        <f>AND(Bills!C99,"AAAAAF/7y/c=")</f>
        <v>#VALUE!</v>
      </c>
      <c r="IO51" t="e">
        <f>AND(Bills!D99,"AAAAAF/7y/g=")</f>
        <v>#VALUE!</v>
      </c>
      <c r="IP51" t="e">
        <f>AND(Bills!E99,"AAAAAF/7y/k=")</f>
        <v>#VALUE!</v>
      </c>
      <c r="IQ51" t="e">
        <f>AND(Bills!#REF!,"AAAAAF/7y/o=")</f>
        <v>#REF!</v>
      </c>
      <c r="IR51" t="e">
        <f>AND(Bills!#REF!,"AAAAAF/7y/s=")</f>
        <v>#REF!</v>
      </c>
      <c r="IS51" t="e">
        <f>AND(Bills!#REF!,"AAAAAF/7y/w=")</f>
        <v>#REF!</v>
      </c>
      <c r="IT51" t="e">
        <f>AND(Bills!F99,"AAAAAF/7y/0=")</f>
        <v>#VALUE!</v>
      </c>
      <c r="IU51" t="e">
        <f>AND(Bills!#REF!,"AAAAAF/7y/4=")</f>
        <v>#REF!</v>
      </c>
      <c r="IV51" t="e">
        <f>AND(Bills!G99,"AAAAAF/7y/8=")</f>
        <v>#VALUE!</v>
      </c>
    </row>
    <row r="52" spans="1:256">
      <c r="A52" t="e">
        <f>AND(Bills!H99,"AAAAAH/7XAA=")</f>
        <v>#VALUE!</v>
      </c>
      <c r="B52" t="e">
        <f>AND(Bills!I99,"AAAAAH/7XAE=")</f>
        <v>#VALUE!</v>
      </c>
      <c r="C52" t="e">
        <f>AND(Bills!J99,"AAAAAH/7XAI=")</f>
        <v>#VALUE!</v>
      </c>
      <c r="D52" t="e">
        <f>AND(Bills!K99,"AAAAAH/7XAM=")</f>
        <v>#VALUE!</v>
      </c>
      <c r="E52" t="e">
        <f>AND(Bills!L99,"AAAAAH/7XAQ=")</f>
        <v>#VALUE!</v>
      </c>
      <c r="F52" t="e">
        <f>AND(Bills!#REF!,"AAAAAH/7XAU=")</f>
        <v>#REF!</v>
      </c>
      <c r="G52" t="e">
        <f>AND(Bills!M99,"AAAAAH/7XAY=")</f>
        <v>#VALUE!</v>
      </c>
      <c r="H52" t="e">
        <f>AND(Bills!N99,"AAAAAH/7XAc=")</f>
        <v>#VALUE!</v>
      </c>
      <c r="I52" t="e">
        <f>AND(Bills!O99,"AAAAAH/7XAg=")</f>
        <v>#VALUE!</v>
      </c>
      <c r="J52" t="e">
        <f>AND(Bills!P99,"AAAAAH/7XAk=")</f>
        <v>#VALUE!</v>
      </c>
      <c r="K52" t="e">
        <f>AND(Bills!Q99,"AAAAAH/7XAo=")</f>
        <v>#VALUE!</v>
      </c>
      <c r="L52" t="e">
        <f>AND(Bills!R99,"AAAAAH/7XAs=")</f>
        <v>#VALUE!</v>
      </c>
      <c r="M52" t="e">
        <f>AND(Bills!S99,"AAAAAH/7XAw=")</f>
        <v>#VALUE!</v>
      </c>
      <c r="N52" t="e">
        <f>AND(Bills!T99,"AAAAAH/7XA0=")</f>
        <v>#VALUE!</v>
      </c>
      <c r="O52" t="e">
        <f>AND(Bills!#REF!,"AAAAAH/7XA4=")</f>
        <v>#REF!</v>
      </c>
      <c r="P52" t="e">
        <f>AND(Bills!U99,"AAAAAH/7XA8=")</f>
        <v>#VALUE!</v>
      </c>
      <c r="Q52" t="e">
        <f>AND(Bills!V99,"AAAAAH/7XBA=")</f>
        <v>#VALUE!</v>
      </c>
      <c r="R52" t="e">
        <f>AND(Bills!W99,"AAAAAH/7XBE=")</f>
        <v>#VALUE!</v>
      </c>
      <c r="S52" t="e">
        <f>AND(Bills!#REF!,"AAAAAH/7XBI=")</f>
        <v>#REF!</v>
      </c>
      <c r="T52" t="e">
        <f>AND(Bills!#REF!,"AAAAAH/7XBM=")</f>
        <v>#REF!</v>
      </c>
      <c r="U52" t="e">
        <f>AND(Bills!Y99,"AAAAAH/7XBQ=")</f>
        <v>#VALUE!</v>
      </c>
      <c r="V52" t="e">
        <f>AND(Bills!Z99,"AAAAAH/7XBU=")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AND(Bills!AA99,"AAAAAH/7XB8=")</f>
        <v>#VALUE!</v>
      </c>
      <c r="AG52" t="e">
        <f>AND(Bills!AB99,"AAAAAH/7XCA=")</f>
        <v>#VALUE!</v>
      </c>
      <c r="AH52" t="e">
        <f>AND(Bills!#REF!,"AAAAAH/7XCE=")</f>
        <v>#REF!</v>
      </c>
      <c r="AI52" t="e">
        <f>AND(Bills!#REF!,"AAAAAH/7XCI=")</f>
        <v>#REF!</v>
      </c>
      <c r="AJ52" t="e">
        <f>AND(Bills!#REF!,"AAAAAH/7XCM=")</f>
        <v>#REF!</v>
      </c>
      <c r="AK52" t="e">
        <f>AND(Bills!AC99,"AAAAAH/7XCQ=")</f>
        <v>#VALUE!</v>
      </c>
      <c r="AL52" t="e">
        <f>AND(Bills!AD99,"AAAAAH/7XCU=")</f>
        <v>#VALUE!</v>
      </c>
      <c r="AM52" t="e">
        <f>AND(Bills!#REF!,"AAAAAH/7XCY=")</f>
        <v>#REF!</v>
      </c>
      <c r="AN52">
        <f>IF(Bills!100:100,"AAAAAH/7XCc=",0)</f>
        <v>0</v>
      </c>
      <c r="AO52" t="e">
        <f>AND(Bills!B100,"AAAAAH/7XCg=")</f>
        <v>#VALUE!</v>
      </c>
      <c r="AP52" t="e">
        <f>AND(Bills!#REF!,"AAAAAH/7XCk=")</f>
        <v>#REF!</v>
      </c>
      <c r="AQ52" t="e">
        <f>AND(Bills!C100,"AAAAAH/7XCo=")</f>
        <v>#VALUE!</v>
      </c>
      <c r="AR52" t="e">
        <f>AND(Bills!D100,"AAAAAH/7XCs=")</f>
        <v>#VALUE!</v>
      </c>
      <c r="AS52" t="e">
        <f>AND(Bills!E100,"AAAAAH/7XCw=")</f>
        <v>#VALUE!</v>
      </c>
      <c r="AT52" t="e">
        <f>AND(Bills!#REF!,"AAAAAH/7XC0=")</f>
        <v>#REF!</v>
      </c>
      <c r="AU52" t="e">
        <f>AND(Bills!#REF!,"AAAAAH/7XC4=")</f>
        <v>#REF!</v>
      </c>
      <c r="AV52" t="e">
        <f>AND(Bills!#REF!,"AAAAAH/7XC8=")</f>
        <v>#REF!</v>
      </c>
      <c r="AW52" t="e">
        <f>AND(Bills!F100,"AAAAAH/7XDA=")</f>
        <v>#VALUE!</v>
      </c>
      <c r="AX52" t="e">
        <f>AND(Bills!#REF!,"AAAAAH/7XDE=")</f>
        <v>#REF!</v>
      </c>
      <c r="AY52" t="e">
        <f>AND(Bills!G100,"AAAAAH/7XDI=")</f>
        <v>#VALUE!</v>
      </c>
      <c r="AZ52" t="e">
        <f>AND(Bills!H100,"AAAAAH/7XDM=")</f>
        <v>#VALUE!</v>
      </c>
      <c r="BA52" t="e">
        <f>AND(Bills!I100,"AAAAAH/7XDQ=")</f>
        <v>#VALUE!</v>
      </c>
      <c r="BB52" t="e">
        <f>AND(Bills!J100,"AAAAAH/7XDU=")</f>
        <v>#VALUE!</v>
      </c>
      <c r="BC52" t="e">
        <f>AND(Bills!K100,"AAAAAH/7XDY=")</f>
        <v>#VALUE!</v>
      </c>
      <c r="BD52" t="e">
        <f>AND(Bills!L100,"AAAAAH/7XDc=")</f>
        <v>#VALUE!</v>
      </c>
      <c r="BE52" t="e">
        <f>AND(Bills!#REF!,"AAAAAH/7XDg=")</f>
        <v>#REF!</v>
      </c>
      <c r="BF52" t="e">
        <f>AND(Bills!M100,"AAAAAH/7XDk=")</f>
        <v>#VALUE!</v>
      </c>
      <c r="BG52" t="e">
        <f>AND(Bills!N100,"AAAAAH/7XDo=")</f>
        <v>#VALUE!</v>
      </c>
      <c r="BH52" t="e">
        <f>AND(Bills!O100,"AAAAAH/7XDs=")</f>
        <v>#VALUE!</v>
      </c>
      <c r="BI52" t="e">
        <f>AND(Bills!P100,"AAAAAH/7XDw=")</f>
        <v>#VALUE!</v>
      </c>
      <c r="BJ52" t="e">
        <f>AND(Bills!Q100,"AAAAAH/7XD0=")</f>
        <v>#VALUE!</v>
      </c>
      <c r="BK52" t="e">
        <f>AND(Bills!R100,"AAAAAH/7XD4=")</f>
        <v>#VALUE!</v>
      </c>
      <c r="BL52" t="e">
        <f>AND(Bills!S100,"AAAAAH/7XD8=")</f>
        <v>#VALUE!</v>
      </c>
      <c r="BM52" t="e">
        <f>AND(Bills!T100,"AAAAAH/7XEA=")</f>
        <v>#VALUE!</v>
      </c>
      <c r="BN52" t="e">
        <f>AND(Bills!#REF!,"AAAAAH/7XEE=")</f>
        <v>#REF!</v>
      </c>
      <c r="BO52" t="e">
        <f>AND(Bills!U100,"AAAAAH/7XEI=")</f>
        <v>#VALUE!</v>
      </c>
      <c r="BP52" t="e">
        <f>AND(Bills!V100,"AAAAAH/7XEM=")</f>
        <v>#VALUE!</v>
      </c>
      <c r="BQ52" t="e">
        <f>AND(Bills!W100,"AAAAAH/7XEQ=")</f>
        <v>#VALUE!</v>
      </c>
      <c r="BR52" t="e">
        <f>AND(Bills!#REF!,"AAAAAH/7XEU=")</f>
        <v>#REF!</v>
      </c>
      <c r="BS52" t="e">
        <f>AND(Bills!#REF!,"AAAAAH/7XEY=")</f>
        <v>#REF!</v>
      </c>
      <c r="BT52" t="e">
        <f>AND(Bills!Y100,"AAAAAH/7XEc=")</f>
        <v>#VALUE!</v>
      </c>
      <c r="BU52" t="e">
        <f>AND(Bills!Z100,"AAAAAH/7XEg=")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AND(Bills!AA100,"AAAAAH/7XFI=")</f>
        <v>#VALUE!</v>
      </c>
      <c r="CF52" t="e">
        <f>AND(Bills!AB100,"AAAAAH/7XFM=")</f>
        <v>#VALUE!</v>
      </c>
      <c r="CG52" t="e">
        <f>AND(Bills!#REF!,"AAAAAH/7XFQ=")</f>
        <v>#REF!</v>
      </c>
      <c r="CH52" t="e">
        <f>AND(Bills!#REF!,"AAAAAH/7XFU=")</f>
        <v>#REF!</v>
      </c>
      <c r="CI52" t="e">
        <f>AND(Bills!#REF!,"AAAAAH/7XFY=")</f>
        <v>#REF!</v>
      </c>
      <c r="CJ52" t="e">
        <f>AND(Bills!AC100,"AAAAAH/7XFc=")</f>
        <v>#VALUE!</v>
      </c>
      <c r="CK52" t="e">
        <f>AND(Bills!AD100,"AAAAAH/7XFg=")</f>
        <v>#VALUE!</v>
      </c>
      <c r="CL52" t="e">
        <f>AND(Bills!#REF!,"AAAAAH/7XFk=")</f>
        <v>#REF!</v>
      </c>
      <c r="CM52">
        <f>IF(Bills!101:101,"AAAAAH/7XFo=",0)</f>
        <v>0</v>
      </c>
      <c r="CN52" t="e">
        <f>AND(Bills!B101,"AAAAAH/7XFs=")</f>
        <v>#VALUE!</v>
      </c>
      <c r="CO52" t="e">
        <f>AND(Bills!#REF!,"AAAAAH/7XFw=")</f>
        <v>#REF!</v>
      </c>
      <c r="CP52" t="e">
        <f>AND(Bills!C101,"AAAAAH/7XF0=")</f>
        <v>#VALUE!</v>
      </c>
      <c r="CQ52" t="e">
        <f>AND(Bills!D101,"AAAAAH/7XF4=")</f>
        <v>#VALUE!</v>
      </c>
      <c r="CR52" t="e">
        <f>AND(Bills!E101,"AAAAAH/7XF8=")</f>
        <v>#VALUE!</v>
      </c>
      <c r="CS52" t="e">
        <f>AND(Bills!#REF!,"AAAAAH/7XGA=")</f>
        <v>#REF!</v>
      </c>
      <c r="CT52" t="e">
        <f>AND(Bills!#REF!,"AAAAAH/7XGE=")</f>
        <v>#REF!</v>
      </c>
      <c r="CU52" t="e">
        <f>AND(Bills!#REF!,"AAAAAH/7XGI=")</f>
        <v>#REF!</v>
      </c>
      <c r="CV52" t="e">
        <f>AND(Bills!F101,"AAAAAH/7XGM=")</f>
        <v>#VALUE!</v>
      </c>
      <c r="CW52" t="e">
        <f>AND(Bills!#REF!,"AAAAAH/7XGQ=")</f>
        <v>#REF!</v>
      </c>
      <c r="CX52" t="e">
        <f>AND(Bills!G101,"AAAAAH/7XGU=")</f>
        <v>#VALUE!</v>
      </c>
      <c r="CY52" t="e">
        <f>AND(Bills!H101,"AAAAAH/7XGY=")</f>
        <v>#VALUE!</v>
      </c>
      <c r="CZ52" t="e">
        <f>AND(Bills!I101,"AAAAAH/7XGc=")</f>
        <v>#VALUE!</v>
      </c>
      <c r="DA52" t="e">
        <f>AND(Bills!J101,"AAAAAH/7XGg=")</f>
        <v>#VALUE!</v>
      </c>
      <c r="DB52" t="e">
        <f>AND(Bills!K101,"AAAAAH/7XGk=")</f>
        <v>#VALUE!</v>
      </c>
      <c r="DC52" t="e">
        <f>AND(Bills!L101,"AAAAAH/7XGo=")</f>
        <v>#VALUE!</v>
      </c>
      <c r="DD52" t="e">
        <f>AND(Bills!#REF!,"AAAAAH/7XGs=")</f>
        <v>#REF!</v>
      </c>
      <c r="DE52" t="e">
        <f>AND(Bills!M101,"AAAAAH/7XGw=")</f>
        <v>#VALUE!</v>
      </c>
      <c r="DF52" t="e">
        <f>AND(Bills!N101,"AAAAAH/7XG0=")</f>
        <v>#VALUE!</v>
      </c>
      <c r="DG52" t="e">
        <f>AND(Bills!O101,"AAAAAH/7XG4=")</f>
        <v>#VALUE!</v>
      </c>
      <c r="DH52" t="e">
        <f>AND(Bills!P101,"AAAAAH/7XG8=")</f>
        <v>#VALUE!</v>
      </c>
      <c r="DI52" t="e">
        <f>AND(Bills!Q101,"AAAAAH/7XHA=")</f>
        <v>#VALUE!</v>
      </c>
      <c r="DJ52" t="e">
        <f>AND(Bills!R101,"AAAAAH/7XHE=")</f>
        <v>#VALUE!</v>
      </c>
      <c r="DK52" t="e">
        <f>AND(Bills!S101,"AAAAAH/7XHI=")</f>
        <v>#VALUE!</v>
      </c>
      <c r="DL52" t="e">
        <f>AND(Bills!T101,"AAAAAH/7XHM=")</f>
        <v>#VALUE!</v>
      </c>
      <c r="DM52" t="e">
        <f>AND(Bills!#REF!,"AAAAAH/7XHQ=")</f>
        <v>#REF!</v>
      </c>
      <c r="DN52" t="e">
        <f>AND(Bills!U101,"AAAAAH/7XHU=")</f>
        <v>#VALUE!</v>
      </c>
      <c r="DO52" t="e">
        <f>AND(Bills!V101,"AAAAAH/7XHY=")</f>
        <v>#VALUE!</v>
      </c>
      <c r="DP52" t="e">
        <f>AND(Bills!W101,"AAAAAH/7XHc=")</f>
        <v>#VALUE!</v>
      </c>
      <c r="DQ52" t="e">
        <f>AND(Bills!#REF!,"AAAAAH/7XHg=")</f>
        <v>#REF!</v>
      </c>
      <c r="DR52" t="e">
        <f>AND(Bills!#REF!,"AAAAAH/7XHk=")</f>
        <v>#REF!</v>
      </c>
      <c r="DS52" t="e">
        <f>AND(Bills!Y101,"AAAAAH/7XHo=")</f>
        <v>#VALUE!</v>
      </c>
      <c r="DT52" t="e">
        <f>AND(Bills!Z101,"AAAAAH/7XHs=")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AND(Bills!AA101,"AAAAAH/7XIU=")</f>
        <v>#VALUE!</v>
      </c>
      <c r="EE52" t="e">
        <f>AND(Bills!AB101,"AAAAAH/7XIY=")</f>
        <v>#VALUE!</v>
      </c>
      <c r="EF52" t="e">
        <f>AND(Bills!#REF!,"AAAAAH/7XIc=")</f>
        <v>#REF!</v>
      </c>
      <c r="EG52" t="e">
        <f>AND(Bills!#REF!,"AAAAAH/7XIg=")</f>
        <v>#REF!</v>
      </c>
      <c r="EH52" t="e">
        <f>AND(Bills!#REF!,"AAAAAH/7XIk=")</f>
        <v>#REF!</v>
      </c>
      <c r="EI52" t="e">
        <f>AND(Bills!AC101,"AAAAAH/7XIo=")</f>
        <v>#VALUE!</v>
      </c>
      <c r="EJ52" t="e">
        <f>AND(Bills!AD101,"AAAAAH/7XIs=")</f>
        <v>#VALUE!</v>
      </c>
      <c r="EK52" t="e">
        <f>AND(Bills!#REF!,"AAAAAH/7XIw=")</f>
        <v>#REF!</v>
      </c>
      <c r="EL52">
        <f>IF(Bills!102:102,"AAAAAH/7XI0=",0)</f>
        <v>0</v>
      </c>
      <c r="EM52" t="e">
        <f>AND(Bills!B102,"AAAAAH/7XI4=")</f>
        <v>#VALUE!</v>
      </c>
      <c r="EN52" t="e">
        <f>AND(Bills!#REF!,"AAAAAH/7XI8=")</f>
        <v>#REF!</v>
      </c>
      <c r="EO52" t="e">
        <f>AND(Bills!C102,"AAAAAH/7XJA=")</f>
        <v>#VALUE!</v>
      </c>
      <c r="EP52" t="e">
        <f>AND(Bills!D102,"AAAAAH/7XJE=")</f>
        <v>#VALUE!</v>
      </c>
      <c r="EQ52" t="e">
        <f>AND(Bills!E102,"AAAAAH/7XJI=")</f>
        <v>#VALUE!</v>
      </c>
      <c r="ER52" t="e">
        <f>AND(Bills!#REF!,"AAAAAH/7XJM=")</f>
        <v>#REF!</v>
      </c>
      <c r="ES52" t="e">
        <f>AND(Bills!#REF!,"AAAAAH/7XJQ=")</f>
        <v>#REF!</v>
      </c>
      <c r="ET52" t="e">
        <f>AND(Bills!#REF!,"AAAAAH/7XJU=")</f>
        <v>#REF!</v>
      </c>
      <c r="EU52" t="e">
        <f>AND(Bills!F102,"AAAAAH/7XJY=")</f>
        <v>#VALUE!</v>
      </c>
      <c r="EV52" t="e">
        <f>AND(Bills!#REF!,"AAAAAH/7XJc=")</f>
        <v>#REF!</v>
      </c>
      <c r="EW52" t="e">
        <f>AND(Bills!G102,"AAAAAH/7XJg=")</f>
        <v>#VALUE!</v>
      </c>
      <c r="EX52" t="e">
        <f>AND(Bills!H102,"AAAAAH/7XJk=")</f>
        <v>#VALUE!</v>
      </c>
      <c r="EY52" t="e">
        <f>AND(Bills!I102,"AAAAAH/7XJo=")</f>
        <v>#VALUE!</v>
      </c>
      <c r="EZ52" t="e">
        <f>AND(Bills!J102,"AAAAAH/7XJs=")</f>
        <v>#VALUE!</v>
      </c>
      <c r="FA52" t="e">
        <f>AND(Bills!K102,"AAAAAH/7XJw=")</f>
        <v>#VALUE!</v>
      </c>
      <c r="FB52" t="e">
        <f>AND(Bills!L102,"AAAAAH/7XJ0=")</f>
        <v>#VALUE!</v>
      </c>
      <c r="FC52" t="e">
        <f>AND(Bills!#REF!,"AAAAAH/7XJ4=")</f>
        <v>#REF!</v>
      </c>
      <c r="FD52" t="e">
        <f>AND(Bills!M102,"AAAAAH/7XJ8=")</f>
        <v>#VALUE!</v>
      </c>
      <c r="FE52" t="e">
        <f>AND(Bills!N102,"AAAAAH/7XKA=")</f>
        <v>#VALUE!</v>
      </c>
      <c r="FF52" t="e">
        <f>AND(Bills!O102,"AAAAAH/7XKE=")</f>
        <v>#VALUE!</v>
      </c>
      <c r="FG52" t="e">
        <f>AND(Bills!P102,"AAAAAH/7XKI=")</f>
        <v>#VALUE!</v>
      </c>
      <c r="FH52" t="e">
        <f>AND(Bills!Q102,"AAAAAH/7XKM=")</f>
        <v>#VALUE!</v>
      </c>
      <c r="FI52" t="e">
        <f>AND(Bills!R102,"AAAAAH/7XKQ=")</f>
        <v>#VALUE!</v>
      </c>
      <c r="FJ52" t="e">
        <f>AND(Bills!S102,"AAAAAH/7XKU=")</f>
        <v>#VALUE!</v>
      </c>
      <c r="FK52" t="e">
        <f>AND(Bills!T102,"AAAAAH/7XKY=")</f>
        <v>#VALUE!</v>
      </c>
      <c r="FL52" t="e">
        <f>AND(Bills!#REF!,"AAAAAH/7XKc=")</f>
        <v>#REF!</v>
      </c>
      <c r="FM52" t="e">
        <f>AND(Bills!U102,"AAAAAH/7XKg=")</f>
        <v>#VALUE!</v>
      </c>
      <c r="FN52" t="e">
        <f>AND(Bills!V102,"AAAAAH/7XKk=")</f>
        <v>#VALUE!</v>
      </c>
      <c r="FO52" t="e">
        <f>AND(Bills!W102,"AAAAAH/7XKo=")</f>
        <v>#VALUE!</v>
      </c>
      <c r="FP52" t="e">
        <f>AND(Bills!#REF!,"AAAAAH/7XKs=")</f>
        <v>#REF!</v>
      </c>
      <c r="FQ52" t="e">
        <f>AND(Bills!#REF!,"AAAAAH/7XKw=")</f>
        <v>#REF!</v>
      </c>
      <c r="FR52" t="e">
        <f>AND(Bills!Y102,"AAAAAH/7XK0=")</f>
        <v>#VALUE!</v>
      </c>
      <c r="FS52" t="e">
        <f>AND(Bills!Z102,"AAAAAH/7XK4=")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AND(Bills!AA102,"AAAAAH/7XLg=")</f>
        <v>#VALUE!</v>
      </c>
      <c r="GD52" t="e">
        <f>AND(Bills!AB102,"AAAAAH/7XLk=")</f>
        <v>#VALUE!</v>
      </c>
      <c r="GE52" t="e">
        <f>AND(Bills!#REF!,"AAAAAH/7XLo=")</f>
        <v>#REF!</v>
      </c>
      <c r="GF52" t="e">
        <f>AND(Bills!#REF!,"AAAAAH/7XLs=")</f>
        <v>#REF!</v>
      </c>
      <c r="GG52" t="e">
        <f>AND(Bills!#REF!,"AAAAAH/7XLw=")</f>
        <v>#REF!</v>
      </c>
      <c r="GH52" t="e">
        <f>AND(Bills!AC102,"AAAAAH/7XL0=")</f>
        <v>#VALUE!</v>
      </c>
      <c r="GI52" t="e">
        <f>AND(Bills!AD102,"AAAAAH/7XL4=")</f>
        <v>#VALUE!</v>
      </c>
      <c r="GJ52" t="e">
        <f>AND(Bills!#REF!,"AAAAAH/7XL8=")</f>
        <v>#REF!</v>
      </c>
      <c r="GK52">
        <f>IF(Bills!103:103,"AAAAAH/7XMA=",0)</f>
        <v>0</v>
      </c>
      <c r="GL52" t="e">
        <f>AND(Bills!B103,"AAAAAH/7XME=")</f>
        <v>#VALUE!</v>
      </c>
      <c r="GM52" t="e">
        <f>AND(Bills!#REF!,"AAAAAH/7XMI=")</f>
        <v>#REF!</v>
      </c>
      <c r="GN52" t="e">
        <f>AND(Bills!C103,"AAAAAH/7XMM=")</f>
        <v>#VALUE!</v>
      </c>
      <c r="GO52" t="e">
        <f>AND(Bills!D103,"AAAAAH/7XMQ=")</f>
        <v>#VALUE!</v>
      </c>
      <c r="GP52" t="e">
        <f>AND(Bills!E103,"AAAAAH/7XMU=")</f>
        <v>#VALUE!</v>
      </c>
      <c r="GQ52" t="e">
        <f>AND(Bills!#REF!,"AAAAAH/7XMY=")</f>
        <v>#REF!</v>
      </c>
      <c r="GR52" t="e">
        <f>AND(Bills!#REF!,"AAAAAH/7XMc=")</f>
        <v>#REF!</v>
      </c>
      <c r="GS52" t="e">
        <f>AND(Bills!#REF!,"AAAAAH/7XMg=")</f>
        <v>#REF!</v>
      </c>
      <c r="GT52" t="e">
        <f>AND(Bills!F103,"AAAAAH/7XMk=")</f>
        <v>#VALUE!</v>
      </c>
      <c r="GU52" t="e">
        <f>AND(Bills!#REF!,"AAAAAH/7XMo=")</f>
        <v>#REF!</v>
      </c>
      <c r="GV52" t="e">
        <f>AND(Bills!G103,"AAAAAH/7XMs=")</f>
        <v>#VALUE!</v>
      </c>
      <c r="GW52" t="e">
        <f>AND(Bills!H103,"AAAAAH/7XMw=")</f>
        <v>#VALUE!</v>
      </c>
      <c r="GX52" t="e">
        <f>AND(Bills!I103,"AAAAAH/7XM0=")</f>
        <v>#VALUE!</v>
      </c>
      <c r="GY52" t="e">
        <f>AND(Bills!J103,"AAAAAH/7XM4=")</f>
        <v>#VALUE!</v>
      </c>
      <c r="GZ52" t="e">
        <f>AND(Bills!K103,"AAAAAH/7XM8=")</f>
        <v>#VALUE!</v>
      </c>
      <c r="HA52" t="e">
        <f>AND(Bills!L103,"AAAAAH/7XNA=")</f>
        <v>#VALUE!</v>
      </c>
      <c r="HB52" t="e">
        <f>AND(Bills!#REF!,"AAAAAH/7XNE=")</f>
        <v>#REF!</v>
      </c>
      <c r="HC52" t="e">
        <f>AND(Bills!M103,"AAAAAH/7XNI=")</f>
        <v>#VALUE!</v>
      </c>
      <c r="HD52" t="e">
        <f>AND(Bills!N103,"AAAAAH/7XNM=")</f>
        <v>#VALUE!</v>
      </c>
      <c r="HE52" t="e">
        <f>AND(Bills!O103,"AAAAAH/7XNQ=")</f>
        <v>#VALUE!</v>
      </c>
      <c r="HF52" t="e">
        <f>AND(Bills!P103,"AAAAAH/7XNU=")</f>
        <v>#VALUE!</v>
      </c>
      <c r="HG52" t="e">
        <f>AND(Bills!Q103,"AAAAAH/7XNY=")</f>
        <v>#VALUE!</v>
      </c>
      <c r="HH52" t="e">
        <f>AND(Bills!R103,"AAAAAH/7XNc=")</f>
        <v>#VALUE!</v>
      </c>
      <c r="HI52" t="e">
        <f>AND(Bills!S103,"AAAAAH/7XNg=")</f>
        <v>#VALUE!</v>
      </c>
      <c r="HJ52" t="e">
        <f>AND(Bills!T103,"AAAAAH/7XNk=")</f>
        <v>#VALUE!</v>
      </c>
      <c r="HK52" t="e">
        <f>AND(Bills!#REF!,"AAAAAH/7XNo=")</f>
        <v>#REF!</v>
      </c>
      <c r="HL52" t="e">
        <f>AND(Bills!U103,"AAAAAH/7XNs=")</f>
        <v>#VALUE!</v>
      </c>
      <c r="HM52" t="e">
        <f>AND(Bills!V103,"AAAAAH/7XNw=")</f>
        <v>#VALUE!</v>
      </c>
      <c r="HN52" t="e">
        <f>AND(Bills!W103,"AAAAAH/7XN0=")</f>
        <v>#VALUE!</v>
      </c>
      <c r="HO52" t="e">
        <f>AND(Bills!#REF!,"AAAAAH/7XN4=")</f>
        <v>#REF!</v>
      </c>
      <c r="HP52" t="e">
        <f>AND(Bills!#REF!,"AAAAAH/7XN8=")</f>
        <v>#REF!</v>
      </c>
      <c r="HQ52" t="e">
        <f>AND(Bills!Y103,"AAAAAH/7XOA=")</f>
        <v>#VALUE!</v>
      </c>
      <c r="HR52" t="e">
        <f>AND(Bills!Z103,"AAAAAH/7XOE=")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AND(Bills!AA103,"AAAAAH/7XOs=")</f>
        <v>#VALUE!</v>
      </c>
      <c r="IC52" t="e">
        <f>AND(Bills!AB103,"AAAAAH/7XOw=")</f>
        <v>#VALUE!</v>
      </c>
      <c r="ID52" t="e">
        <f>AND(Bills!#REF!,"AAAAAH/7XO0=")</f>
        <v>#REF!</v>
      </c>
      <c r="IE52" t="e">
        <f>AND(Bills!#REF!,"AAAAAH/7XO4=")</f>
        <v>#REF!</v>
      </c>
      <c r="IF52" t="e">
        <f>AND(Bills!#REF!,"AAAAAH/7XO8=")</f>
        <v>#REF!</v>
      </c>
      <c r="IG52" t="e">
        <f>AND(Bills!AC103,"AAAAAH/7XPA=")</f>
        <v>#VALUE!</v>
      </c>
      <c r="IH52" t="e">
        <f>AND(Bills!AD103,"AAAAAH/7XPE=")</f>
        <v>#VALUE!</v>
      </c>
      <c r="II52" t="e">
        <f>AND(Bills!#REF!,"AAAAAH/7XPI=")</f>
        <v>#REF!</v>
      </c>
      <c r="IJ52">
        <f>IF(Bills!104:104,"AAAAAH/7XPM=",0)</f>
        <v>0</v>
      </c>
      <c r="IK52" t="e">
        <f>AND(Bills!B104,"AAAAAH/7XPQ=")</f>
        <v>#VALUE!</v>
      </c>
      <c r="IL52" t="e">
        <f>AND(Bills!#REF!,"AAAAAH/7XPU=")</f>
        <v>#REF!</v>
      </c>
      <c r="IM52" t="e">
        <f>AND(Bills!C104,"AAAAAH/7XPY=")</f>
        <v>#VALUE!</v>
      </c>
      <c r="IN52" t="e">
        <f>AND(Bills!D104,"AAAAAH/7XPc=")</f>
        <v>#VALUE!</v>
      </c>
      <c r="IO52" t="e">
        <f>AND(Bills!E104,"AAAAAH/7XPg=")</f>
        <v>#VALUE!</v>
      </c>
      <c r="IP52" t="e">
        <f>AND(Bills!#REF!,"AAAAAH/7XPk=")</f>
        <v>#REF!</v>
      </c>
      <c r="IQ52" t="e">
        <f>AND(Bills!#REF!,"AAAAAH/7XPo=")</f>
        <v>#REF!</v>
      </c>
      <c r="IR52" t="e">
        <f>AND(Bills!#REF!,"AAAAAH/7XPs=")</f>
        <v>#REF!</v>
      </c>
      <c r="IS52" t="e">
        <f>AND(Bills!F104,"AAAAAH/7XPw=")</f>
        <v>#VALUE!</v>
      </c>
      <c r="IT52" t="e">
        <f>AND(Bills!#REF!,"AAAAAH/7XP0=")</f>
        <v>#REF!</v>
      </c>
      <c r="IU52" t="e">
        <f>AND(Bills!G104,"AAAAAH/7XP4=")</f>
        <v>#VALUE!</v>
      </c>
      <c r="IV52" t="e">
        <f>AND(Bills!H104,"AAAAAH/7XP8=")</f>
        <v>#VALUE!</v>
      </c>
    </row>
    <row r="53" spans="1:256">
      <c r="A53" t="e">
        <f>AND(Bills!I104,"AAAAAG/eiwA=")</f>
        <v>#VALUE!</v>
      </c>
      <c r="B53" t="e">
        <f>AND(Bills!J104,"AAAAAG/eiwE=")</f>
        <v>#VALUE!</v>
      </c>
      <c r="C53" t="e">
        <f>AND(Bills!K104,"AAAAAG/eiwI=")</f>
        <v>#VALUE!</v>
      </c>
      <c r="D53" t="e">
        <f>AND(Bills!L104,"AAAAAG/eiwM=")</f>
        <v>#VALUE!</v>
      </c>
      <c r="E53" t="e">
        <f>AND(Bills!#REF!,"AAAAAG/eiwQ=")</f>
        <v>#REF!</v>
      </c>
      <c r="F53" t="e">
        <f>AND(Bills!M104,"AAAAAG/eiwU=")</f>
        <v>#VALUE!</v>
      </c>
      <c r="G53" t="e">
        <f>AND(Bills!N104,"AAAAAG/eiwY=")</f>
        <v>#VALUE!</v>
      </c>
      <c r="H53" t="e">
        <f>AND(Bills!O104,"AAAAAG/eiwc=")</f>
        <v>#VALUE!</v>
      </c>
      <c r="I53" t="e">
        <f>AND(Bills!P104,"AAAAAG/eiwg=")</f>
        <v>#VALUE!</v>
      </c>
      <c r="J53" t="e">
        <f>AND(Bills!Q104,"AAAAAG/eiwk=")</f>
        <v>#VALUE!</v>
      </c>
      <c r="K53" t="e">
        <f>AND(Bills!R104,"AAAAAG/eiwo=")</f>
        <v>#VALUE!</v>
      </c>
      <c r="L53" t="e">
        <f>AND(Bills!S104,"AAAAAG/eiws=")</f>
        <v>#VALUE!</v>
      </c>
      <c r="M53" t="e">
        <f>AND(Bills!T104,"AAAAAG/eiww=")</f>
        <v>#VALUE!</v>
      </c>
      <c r="N53" t="e">
        <f>AND(Bills!#REF!,"AAAAAG/eiw0=")</f>
        <v>#REF!</v>
      </c>
      <c r="O53" t="e">
        <f>AND(Bills!U104,"AAAAAG/eiw4=")</f>
        <v>#VALUE!</v>
      </c>
      <c r="P53" t="e">
        <f>AND(Bills!V104,"AAAAAG/eiw8=")</f>
        <v>#VALUE!</v>
      </c>
      <c r="Q53" t="e">
        <f>AND(Bills!W104,"AAAAAG/eixA=")</f>
        <v>#VALUE!</v>
      </c>
      <c r="R53" t="e">
        <f>AND(Bills!#REF!,"AAAAAG/eixE=")</f>
        <v>#REF!</v>
      </c>
      <c r="S53" t="e">
        <f>AND(Bills!#REF!,"AAAAAG/eixI=")</f>
        <v>#REF!</v>
      </c>
      <c r="T53" t="e">
        <f>AND(Bills!Y104,"AAAAAG/eixM=")</f>
        <v>#VALUE!</v>
      </c>
      <c r="U53" t="e">
        <f>AND(Bills!Z104,"AAAAAG/eixQ=")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AND(Bills!AA104,"AAAAAG/eix4=")</f>
        <v>#VALUE!</v>
      </c>
      <c r="AF53" t="e">
        <f>AND(Bills!AB104,"AAAAAG/eix8=")</f>
        <v>#VALUE!</v>
      </c>
      <c r="AG53" t="e">
        <f>AND(Bills!#REF!,"AAAAAG/eiyA=")</f>
        <v>#REF!</v>
      </c>
      <c r="AH53" t="e">
        <f>AND(Bills!#REF!,"AAAAAG/eiyE=")</f>
        <v>#REF!</v>
      </c>
      <c r="AI53" t="e">
        <f>AND(Bills!#REF!,"AAAAAG/eiyI=")</f>
        <v>#REF!</v>
      </c>
      <c r="AJ53" t="e">
        <f>AND(Bills!AC104,"AAAAAG/eiyM=")</f>
        <v>#VALUE!</v>
      </c>
      <c r="AK53" t="e">
        <f>AND(Bills!AD104,"AAAAAG/eiyQ=")</f>
        <v>#VALUE!</v>
      </c>
      <c r="AL53" t="e">
        <f>AND(Bills!#REF!,"AAAAAG/eiyU=")</f>
        <v>#REF!</v>
      </c>
      <c r="AM53">
        <f>IF(Bills!105:105,"AAAAAG/eiyY=",0)</f>
        <v>0</v>
      </c>
      <c r="AN53" t="e">
        <f>AND(Bills!B105,"AAAAAG/eiyc=")</f>
        <v>#VALUE!</v>
      </c>
      <c r="AO53" t="e">
        <f>AND(Bills!#REF!,"AAAAAG/eiyg=")</f>
        <v>#REF!</v>
      </c>
      <c r="AP53" t="e">
        <f>AND(Bills!C105,"AAAAAG/eiyk=")</f>
        <v>#VALUE!</v>
      </c>
      <c r="AQ53" t="e">
        <f>AND(Bills!D105,"AAAAAG/eiyo=")</f>
        <v>#VALUE!</v>
      </c>
      <c r="AR53" t="e">
        <f>AND(Bills!E105,"AAAAAG/eiys=")</f>
        <v>#VALUE!</v>
      </c>
      <c r="AS53" t="e">
        <f>AND(Bills!#REF!,"AAAAAG/eiyw=")</f>
        <v>#REF!</v>
      </c>
      <c r="AT53" t="e">
        <f>AND(Bills!#REF!,"AAAAAG/eiy0=")</f>
        <v>#REF!</v>
      </c>
      <c r="AU53" t="e">
        <f>AND(Bills!#REF!,"AAAAAG/eiy4=")</f>
        <v>#REF!</v>
      </c>
      <c r="AV53" t="e">
        <f>AND(Bills!F105,"AAAAAG/eiy8=")</f>
        <v>#VALUE!</v>
      </c>
      <c r="AW53" t="e">
        <f>AND(Bills!#REF!,"AAAAAG/eizA=")</f>
        <v>#REF!</v>
      </c>
      <c r="AX53" t="e">
        <f>AND(Bills!G105,"AAAAAG/eizE=")</f>
        <v>#VALUE!</v>
      </c>
      <c r="AY53" t="e">
        <f>AND(Bills!H105,"AAAAAG/eizI=")</f>
        <v>#VALUE!</v>
      </c>
      <c r="AZ53" t="e">
        <f>AND(Bills!I105,"AAAAAG/eizM=")</f>
        <v>#VALUE!</v>
      </c>
      <c r="BA53" t="e">
        <f>AND(Bills!J105,"AAAAAG/eizQ=")</f>
        <v>#VALUE!</v>
      </c>
      <c r="BB53" t="e">
        <f>AND(Bills!K105,"AAAAAG/eizU=")</f>
        <v>#VALUE!</v>
      </c>
      <c r="BC53" t="e">
        <f>AND(Bills!L105,"AAAAAG/eizY=")</f>
        <v>#VALUE!</v>
      </c>
      <c r="BD53" t="e">
        <f>AND(Bills!#REF!,"AAAAAG/eizc=")</f>
        <v>#REF!</v>
      </c>
      <c r="BE53" t="e">
        <f>AND(Bills!M105,"AAAAAG/eizg=")</f>
        <v>#VALUE!</v>
      </c>
      <c r="BF53" t="e">
        <f>AND(Bills!N105,"AAAAAG/eizk=")</f>
        <v>#VALUE!</v>
      </c>
      <c r="BG53" t="e">
        <f>AND(Bills!O105,"AAAAAG/eizo=")</f>
        <v>#VALUE!</v>
      </c>
      <c r="BH53" t="e">
        <f>AND(Bills!P105,"AAAAAG/eizs=")</f>
        <v>#VALUE!</v>
      </c>
      <c r="BI53" t="e">
        <f>AND(Bills!Q105,"AAAAAG/eizw=")</f>
        <v>#VALUE!</v>
      </c>
      <c r="BJ53" t="e">
        <f>AND(Bills!R105,"AAAAAG/eiz0=")</f>
        <v>#VALUE!</v>
      </c>
      <c r="BK53" t="e">
        <f>AND(Bills!S105,"AAAAAG/eiz4=")</f>
        <v>#VALUE!</v>
      </c>
      <c r="BL53" t="e">
        <f>AND(Bills!T105,"AAAAAG/eiz8=")</f>
        <v>#VALUE!</v>
      </c>
      <c r="BM53" t="e">
        <f>AND(Bills!#REF!,"AAAAAG/ei0A=")</f>
        <v>#REF!</v>
      </c>
      <c r="BN53" t="e">
        <f>AND(Bills!U105,"AAAAAG/ei0E=")</f>
        <v>#VALUE!</v>
      </c>
      <c r="BO53" t="e">
        <f>AND(Bills!V105,"AAAAAG/ei0I=")</f>
        <v>#VALUE!</v>
      </c>
      <c r="BP53" t="e">
        <f>AND(Bills!W105,"AAAAAG/ei0M=")</f>
        <v>#VALUE!</v>
      </c>
      <c r="BQ53" t="e">
        <f>AND(Bills!#REF!,"AAAAAG/ei0Q=")</f>
        <v>#REF!</v>
      </c>
      <c r="BR53" t="e">
        <f>AND(Bills!#REF!,"AAAAAG/ei0U=")</f>
        <v>#REF!</v>
      </c>
      <c r="BS53" t="e">
        <f>AND(Bills!Y105,"AAAAAG/ei0Y=")</f>
        <v>#VALUE!</v>
      </c>
      <c r="BT53" t="e">
        <f>AND(Bills!Z105,"AAAAAG/ei0c=")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AND(Bills!AA105,"AAAAAG/ei1E=")</f>
        <v>#VALUE!</v>
      </c>
      <c r="CE53" t="e">
        <f>AND(Bills!AB105,"AAAAAG/ei1I=")</f>
        <v>#VALUE!</v>
      </c>
      <c r="CF53" t="e">
        <f>AND(Bills!#REF!,"AAAAAG/ei1M=")</f>
        <v>#REF!</v>
      </c>
      <c r="CG53" t="e">
        <f>AND(Bills!#REF!,"AAAAAG/ei1Q=")</f>
        <v>#REF!</v>
      </c>
      <c r="CH53" t="e">
        <f>AND(Bills!#REF!,"AAAAAG/ei1U=")</f>
        <v>#REF!</v>
      </c>
      <c r="CI53" t="e">
        <f>AND(Bills!AC105,"AAAAAG/ei1Y=")</f>
        <v>#VALUE!</v>
      </c>
      <c r="CJ53" t="e">
        <f>AND(Bills!AD105,"AAAAAG/ei1c=")</f>
        <v>#VALUE!</v>
      </c>
      <c r="CK53" t="e">
        <f>AND(Bills!#REF!,"AAAAAG/ei1g=")</f>
        <v>#REF!</v>
      </c>
      <c r="CL53">
        <f>IF(Bills!106:106,"AAAAAG/ei1k=",0)</f>
        <v>0</v>
      </c>
      <c r="CM53" t="e">
        <f>AND(Bills!B106,"AAAAAG/ei1o=")</f>
        <v>#VALUE!</v>
      </c>
      <c r="CN53" t="e">
        <f>AND(Bills!#REF!,"AAAAAG/ei1s=")</f>
        <v>#REF!</v>
      </c>
      <c r="CO53" t="e">
        <f>AND(Bills!C106,"AAAAAG/ei1w=")</f>
        <v>#VALUE!</v>
      </c>
      <c r="CP53" t="e">
        <f>AND(Bills!D106,"AAAAAG/ei10=")</f>
        <v>#VALUE!</v>
      </c>
      <c r="CQ53" t="e">
        <f>AND(Bills!E106,"AAAAAG/ei14=")</f>
        <v>#VALUE!</v>
      </c>
      <c r="CR53" t="e">
        <f>AND(Bills!#REF!,"AAAAAG/ei18=")</f>
        <v>#REF!</v>
      </c>
      <c r="CS53" t="e">
        <f>AND(Bills!#REF!,"AAAAAG/ei2A=")</f>
        <v>#REF!</v>
      </c>
      <c r="CT53" t="e">
        <f>AND(Bills!#REF!,"AAAAAG/ei2E=")</f>
        <v>#REF!</v>
      </c>
      <c r="CU53" t="e">
        <f>AND(Bills!F106,"AAAAAG/ei2I=")</f>
        <v>#VALUE!</v>
      </c>
      <c r="CV53" t="e">
        <f>AND(Bills!#REF!,"AAAAAG/ei2M=")</f>
        <v>#REF!</v>
      </c>
      <c r="CW53" t="e">
        <f>AND(Bills!G106,"AAAAAG/ei2Q=")</f>
        <v>#VALUE!</v>
      </c>
      <c r="CX53" t="e">
        <f>AND(Bills!H106,"AAAAAG/ei2U=")</f>
        <v>#VALUE!</v>
      </c>
      <c r="CY53" t="e">
        <f>AND(Bills!I106,"AAAAAG/ei2Y=")</f>
        <v>#VALUE!</v>
      </c>
      <c r="CZ53" t="e">
        <f>AND(Bills!J106,"AAAAAG/ei2c=")</f>
        <v>#VALUE!</v>
      </c>
      <c r="DA53" t="e">
        <f>AND(Bills!K106,"AAAAAG/ei2g=")</f>
        <v>#VALUE!</v>
      </c>
      <c r="DB53" t="e">
        <f>AND(Bills!L106,"AAAAAG/ei2k=")</f>
        <v>#VALUE!</v>
      </c>
      <c r="DC53" t="e">
        <f>AND(Bills!#REF!,"AAAAAG/ei2o=")</f>
        <v>#REF!</v>
      </c>
      <c r="DD53" t="e">
        <f>AND(Bills!M106,"AAAAAG/ei2s=")</f>
        <v>#VALUE!</v>
      </c>
      <c r="DE53" t="e">
        <f>AND(Bills!N106,"AAAAAG/ei2w=")</f>
        <v>#VALUE!</v>
      </c>
      <c r="DF53" t="e">
        <f>AND(Bills!O106,"AAAAAG/ei20=")</f>
        <v>#VALUE!</v>
      </c>
      <c r="DG53" t="e">
        <f>AND(Bills!P106,"AAAAAG/ei24=")</f>
        <v>#VALUE!</v>
      </c>
      <c r="DH53" t="e">
        <f>AND(Bills!Q106,"AAAAAG/ei28=")</f>
        <v>#VALUE!</v>
      </c>
      <c r="DI53" t="e">
        <f>AND(Bills!R106,"AAAAAG/ei3A=")</f>
        <v>#VALUE!</v>
      </c>
      <c r="DJ53" t="e">
        <f>AND(Bills!S106,"AAAAAG/ei3E=")</f>
        <v>#VALUE!</v>
      </c>
      <c r="DK53" t="e">
        <f>AND(Bills!T106,"AAAAAG/ei3I=")</f>
        <v>#VALUE!</v>
      </c>
      <c r="DL53" t="e">
        <f>AND(Bills!#REF!,"AAAAAG/ei3M=")</f>
        <v>#REF!</v>
      </c>
      <c r="DM53" t="e">
        <f>AND(Bills!U106,"AAAAAG/ei3Q=")</f>
        <v>#VALUE!</v>
      </c>
      <c r="DN53" t="e">
        <f>AND(Bills!V106,"AAAAAG/ei3U=")</f>
        <v>#VALUE!</v>
      </c>
      <c r="DO53" t="e">
        <f>AND(Bills!W106,"AAAAAG/ei3Y=")</f>
        <v>#VALUE!</v>
      </c>
      <c r="DP53" t="e">
        <f>AND(Bills!#REF!,"AAAAAG/ei3c=")</f>
        <v>#REF!</v>
      </c>
      <c r="DQ53" t="e">
        <f>AND(Bills!#REF!,"AAAAAG/ei3g=")</f>
        <v>#REF!</v>
      </c>
      <c r="DR53" t="e">
        <f>AND(Bills!Y106,"AAAAAG/ei3k=")</f>
        <v>#VALUE!</v>
      </c>
      <c r="DS53" t="e">
        <f>AND(Bills!Z106,"AAAAAG/ei3o=")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AND(Bills!AA106,"AAAAAG/ei4Q=")</f>
        <v>#VALUE!</v>
      </c>
      <c r="ED53" t="e">
        <f>AND(Bills!AB106,"AAAAAG/ei4U=")</f>
        <v>#VALUE!</v>
      </c>
      <c r="EE53" t="e">
        <f>AND(Bills!#REF!,"AAAAAG/ei4Y=")</f>
        <v>#REF!</v>
      </c>
      <c r="EF53" t="e">
        <f>AND(Bills!#REF!,"AAAAAG/ei4c=")</f>
        <v>#REF!</v>
      </c>
      <c r="EG53" t="e">
        <f>AND(Bills!#REF!,"AAAAAG/ei4g=")</f>
        <v>#REF!</v>
      </c>
      <c r="EH53" t="e">
        <f>AND(Bills!AC106,"AAAAAG/ei4k=")</f>
        <v>#VALUE!</v>
      </c>
      <c r="EI53" t="e">
        <f>AND(Bills!AD106,"AAAAAG/ei4o=")</f>
        <v>#VALUE!</v>
      </c>
      <c r="EJ53" t="e">
        <f>AND(Bills!#REF!,"AAAAAG/ei4s=")</f>
        <v>#REF!</v>
      </c>
      <c r="EK53">
        <f>IF(Bills!107:107,"AAAAAG/ei4w=",0)</f>
        <v>0</v>
      </c>
      <c r="EL53" t="e">
        <f>AND(Bills!B107,"AAAAAG/ei40=")</f>
        <v>#VALUE!</v>
      </c>
      <c r="EM53" t="e">
        <f>AND(Bills!#REF!,"AAAAAG/ei44=")</f>
        <v>#REF!</v>
      </c>
      <c r="EN53" t="e">
        <f>AND(Bills!C107,"AAAAAG/ei48=")</f>
        <v>#VALUE!</v>
      </c>
      <c r="EO53" t="e">
        <f>AND(Bills!D107,"AAAAAG/ei5A=")</f>
        <v>#VALUE!</v>
      </c>
      <c r="EP53" t="e">
        <f>AND(Bills!E107,"AAAAAG/ei5E=")</f>
        <v>#VALUE!</v>
      </c>
      <c r="EQ53" t="e">
        <f>AND(Bills!#REF!,"AAAAAG/ei5I=")</f>
        <v>#REF!</v>
      </c>
      <c r="ER53" t="e">
        <f>AND(Bills!#REF!,"AAAAAG/ei5M=")</f>
        <v>#REF!</v>
      </c>
      <c r="ES53" t="e">
        <f>AND(Bills!#REF!,"AAAAAG/ei5Q=")</f>
        <v>#REF!</v>
      </c>
      <c r="ET53" t="e">
        <f>AND(Bills!F107,"AAAAAG/ei5U=")</f>
        <v>#VALUE!</v>
      </c>
      <c r="EU53" t="e">
        <f>AND(Bills!#REF!,"AAAAAG/ei5Y=")</f>
        <v>#REF!</v>
      </c>
      <c r="EV53" t="e">
        <f>AND(Bills!G107,"AAAAAG/ei5c=")</f>
        <v>#VALUE!</v>
      </c>
      <c r="EW53" t="e">
        <f>AND(Bills!H107,"AAAAAG/ei5g=")</f>
        <v>#VALUE!</v>
      </c>
      <c r="EX53" t="e">
        <f>AND(Bills!I107,"AAAAAG/ei5k=")</f>
        <v>#VALUE!</v>
      </c>
      <c r="EY53" t="e">
        <f>AND(Bills!J107,"AAAAAG/ei5o=")</f>
        <v>#VALUE!</v>
      </c>
      <c r="EZ53" t="e">
        <f>AND(Bills!K107,"AAAAAG/ei5s=")</f>
        <v>#VALUE!</v>
      </c>
      <c r="FA53" t="e">
        <f>AND(Bills!L107,"AAAAAG/ei5w=")</f>
        <v>#VALUE!</v>
      </c>
      <c r="FB53" t="e">
        <f>AND(Bills!#REF!,"AAAAAG/ei50=")</f>
        <v>#REF!</v>
      </c>
      <c r="FC53" t="e">
        <f>AND(Bills!M107,"AAAAAG/ei54=")</f>
        <v>#VALUE!</v>
      </c>
      <c r="FD53" t="e">
        <f>AND(Bills!N107,"AAAAAG/ei58=")</f>
        <v>#VALUE!</v>
      </c>
      <c r="FE53" t="e">
        <f>AND(Bills!O107,"AAAAAG/ei6A=")</f>
        <v>#VALUE!</v>
      </c>
      <c r="FF53" t="e">
        <f>AND(Bills!P107,"AAAAAG/ei6E=")</f>
        <v>#VALUE!</v>
      </c>
      <c r="FG53" t="e">
        <f>AND(Bills!Q107,"AAAAAG/ei6I=")</f>
        <v>#VALUE!</v>
      </c>
      <c r="FH53" t="e">
        <f>AND(Bills!R107,"AAAAAG/ei6M=")</f>
        <v>#VALUE!</v>
      </c>
      <c r="FI53" t="e">
        <f>AND(Bills!S107,"AAAAAG/ei6Q=")</f>
        <v>#VALUE!</v>
      </c>
      <c r="FJ53" t="e">
        <f>AND(Bills!T107,"AAAAAG/ei6U=")</f>
        <v>#VALUE!</v>
      </c>
      <c r="FK53" t="e">
        <f>AND(Bills!#REF!,"AAAAAG/ei6Y=")</f>
        <v>#REF!</v>
      </c>
      <c r="FL53" t="e">
        <f>AND(Bills!U107,"AAAAAG/ei6c=")</f>
        <v>#VALUE!</v>
      </c>
      <c r="FM53" t="e">
        <f>AND(Bills!V107,"AAAAAG/ei6g=")</f>
        <v>#VALUE!</v>
      </c>
      <c r="FN53" t="e">
        <f>AND(Bills!W107,"AAAAAG/ei6k=")</f>
        <v>#VALUE!</v>
      </c>
      <c r="FO53" t="e">
        <f>AND(Bills!#REF!,"AAAAAG/ei6o=")</f>
        <v>#REF!</v>
      </c>
      <c r="FP53" t="e">
        <f>AND(Bills!#REF!,"AAAAAG/ei6s=")</f>
        <v>#REF!</v>
      </c>
      <c r="FQ53" t="e">
        <f>AND(Bills!Y107,"AAAAAG/ei6w=")</f>
        <v>#VALUE!</v>
      </c>
      <c r="FR53" t="e">
        <f>AND(Bills!Z107,"AAAAAG/ei60=")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AND(Bills!AA107,"AAAAAG/ei7c=")</f>
        <v>#VALUE!</v>
      </c>
      <c r="GC53" t="e">
        <f>AND(Bills!AB107,"AAAAAG/ei7g=")</f>
        <v>#VALUE!</v>
      </c>
      <c r="GD53" t="e">
        <f>AND(Bills!#REF!,"AAAAAG/ei7k=")</f>
        <v>#REF!</v>
      </c>
      <c r="GE53" t="e">
        <f>AND(Bills!#REF!,"AAAAAG/ei7o=")</f>
        <v>#REF!</v>
      </c>
      <c r="GF53" t="e">
        <f>AND(Bills!#REF!,"AAAAAG/ei7s=")</f>
        <v>#REF!</v>
      </c>
      <c r="GG53" t="e">
        <f>AND(Bills!AC107,"AAAAAG/ei7w=")</f>
        <v>#VALUE!</v>
      </c>
      <c r="GH53" t="e">
        <f>AND(Bills!AD107,"AAAAAG/ei70=")</f>
        <v>#VALUE!</v>
      </c>
      <c r="GI53" t="e">
        <f>AND(Bills!#REF!,"AAAAAG/ei74=")</f>
        <v>#REF!</v>
      </c>
      <c r="GJ53">
        <f>IF(Bills!108:108,"AAAAAG/ei78=",0)</f>
        <v>0</v>
      </c>
      <c r="GK53" t="e">
        <f>AND(Bills!B108,"AAAAAG/ei8A=")</f>
        <v>#VALUE!</v>
      </c>
      <c r="GL53" t="e">
        <f>AND(Bills!#REF!,"AAAAAG/ei8E=")</f>
        <v>#REF!</v>
      </c>
      <c r="GM53" t="e">
        <f>AND(Bills!C108,"AAAAAG/ei8I=")</f>
        <v>#VALUE!</v>
      </c>
      <c r="GN53" t="e">
        <f>AND(Bills!D108,"AAAAAG/ei8M=")</f>
        <v>#VALUE!</v>
      </c>
      <c r="GO53" t="e">
        <f>AND(Bills!E108,"AAAAAG/ei8Q=")</f>
        <v>#VALUE!</v>
      </c>
      <c r="GP53" t="e">
        <f>AND(Bills!#REF!,"AAAAAG/ei8U=")</f>
        <v>#REF!</v>
      </c>
      <c r="GQ53" t="e">
        <f>AND(Bills!#REF!,"AAAAAG/ei8Y=")</f>
        <v>#REF!</v>
      </c>
      <c r="GR53" t="e">
        <f>AND(Bills!#REF!,"AAAAAG/ei8c=")</f>
        <v>#REF!</v>
      </c>
      <c r="GS53" t="e">
        <f>AND(Bills!F108,"AAAAAG/ei8g=")</f>
        <v>#VALUE!</v>
      </c>
      <c r="GT53" t="e">
        <f>AND(Bills!#REF!,"AAAAAG/ei8k=")</f>
        <v>#REF!</v>
      </c>
      <c r="GU53" t="e">
        <f>AND(Bills!G108,"AAAAAG/ei8o=")</f>
        <v>#VALUE!</v>
      </c>
      <c r="GV53" t="e">
        <f>AND(Bills!H108,"AAAAAG/ei8s=")</f>
        <v>#VALUE!</v>
      </c>
      <c r="GW53" t="e">
        <f>AND(Bills!I108,"AAAAAG/ei8w=")</f>
        <v>#VALUE!</v>
      </c>
      <c r="GX53" t="e">
        <f>AND(Bills!J108,"AAAAAG/ei80=")</f>
        <v>#VALUE!</v>
      </c>
      <c r="GY53" t="e">
        <f>AND(Bills!K108,"AAAAAG/ei84=")</f>
        <v>#VALUE!</v>
      </c>
      <c r="GZ53" t="e">
        <f>AND(Bills!L108,"AAAAAG/ei88=")</f>
        <v>#VALUE!</v>
      </c>
      <c r="HA53" t="e">
        <f>AND(Bills!#REF!,"AAAAAG/ei9A=")</f>
        <v>#REF!</v>
      </c>
      <c r="HB53" t="e">
        <f>AND(Bills!M108,"AAAAAG/ei9E=")</f>
        <v>#VALUE!</v>
      </c>
      <c r="HC53" t="e">
        <f>AND(Bills!N108,"AAAAAG/ei9I=")</f>
        <v>#VALUE!</v>
      </c>
      <c r="HD53" t="e">
        <f>AND(Bills!O108,"AAAAAG/ei9M=")</f>
        <v>#VALUE!</v>
      </c>
      <c r="HE53" t="e">
        <f>AND(Bills!P108,"AAAAAG/ei9Q=")</f>
        <v>#VALUE!</v>
      </c>
      <c r="HF53" t="e">
        <f>AND(Bills!Q108,"AAAAAG/ei9U=")</f>
        <v>#VALUE!</v>
      </c>
      <c r="HG53" t="e">
        <f>AND(Bills!R108,"AAAAAG/ei9Y=")</f>
        <v>#VALUE!</v>
      </c>
      <c r="HH53" t="e">
        <f>AND(Bills!S108,"AAAAAG/ei9c=")</f>
        <v>#VALUE!</v>
      </c>
      <c r="HI53" t="e">
        <f>AND(Bills!T108,"AAAAAG/ei9g=")</f>
        <v>#VALUE!</v>
      </c>
      <c r="HJ53" t="e">
        <f>AND(Bills!#REF!,"AAAAAG/ei9k=")</f>
        <v>#REF!</v>
      </c>
      <c r="HK53" t="e">
        <f>AND(Bills!U108,"AAAAAG/ei9o=")</f>
        <v>#VALUE!</v>
      </c>
      <c r="HL53" t="e">
        <f>AND(Bills!V108,"AAAAAG/ei9s=")</f>
        <v>#VALUE!</v>
      </c>
      <c r="HM53" t="e">
        <f>AND(Bills!W108,"AAAAAG/ei9w=")</f>
        <v>#VALUE!</v>
      </c>
      <c r="HN53" t="e">
        <f>AND(Bills!#REF!,"AAAAAG/ei90=")</f>
        <v>#REF!</v>
      </c>
      <c r="HO53" t="e">
        <f>AND(Bills!#REF!,"AAAAAG/ei94=")</f>
        <v>#REF!</v>
      </c>
      <c r="HP53" t="e">
        <f>AND(Bills!Y108,"AAAAAG/ei98=")</f>
        <v>#VALUE!</v>
      </c>
      <c r="HQ53" t="e">
        <f>AND(Bills!Z108,"AAAAAG/ei+A=")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AND(Bills!AA108,"AAAAAG/ei+o=")</f>
        <v>#VALUE!</v>
      </c>
      <c r="IB53" t="e">
        <f>AND(Bills!AB108,"AAAAAG/ei+s=")</f>
        <v>#VALUE!</v>
      </c>
      <c r="IC53" t="e">
        <f>AND(Bills!#REF!,"AAAAAG/ei+w=")</f>
        <v>#REF!</v>
      </c>
      <c r="ID53" t="e">
        <f>AND(Bills!#REF!,"AAAAAG/ei+0=")</f>
        <v>#REF!</v>
      </c>
      <c r="IE53" t="e">
        <f>AND(Bills!#REF!,"AAAAAG/ei+4=")</f>
        <v>#REF!</v>
      </c>
      <c r="IF53" t="e">
        <f>AND(Bills!AC108,"AAAAAG/ei+8=")</f>
        <v>#VALUE!</v>
      </c>
      <c r="IG53" t="e">
        <f>AND(Bills!AD108,"AAAAAG/ei/A=")</f>
        <v>#VALUE!</v>
      </c>
      <c r="IH53" t="e">
        <f>AND(Bills!#REF!,"AAAAAG/ei/E=")</f>
        <v>#REF!</v>
      </c>
      <c r="II53">
        <f>IF(Bills!109:109,"AAAAAG/ei/I=",0)</f>
        <v>0</v>
      </c>
      <c r="IJ53" t="e">
        <f>AND(Bills!B109,"AAAAAG/ei/M=")</f>
        <v>#VALUE!</v>
      </c>
      <c r="IK53" t="e">
        <f>AND(Bills!#REF!,"AAAAAG/ei/Q=")</f>
        <v>#REF!</v>
      </c>
      <c r="IL53" t="e">
        <f>AND(Bills!C109,"AAAAAG/ei/U=")</f>
        <v>#VALUE!</v>
      </c>
      <c r="IM53" t="e">
        <f>AND(Bills!D109,"AAAAAG/ei/Y=")</f>
        <v>#VALUE!</v>
      </c>
      <c r="IN53" t="e">
        <f>AND(Bills!E109,"AAAAAG/ei/c=")</f>
        <v>#VALUE!</v>
      </c>
      <c r="IO53" t="e">
        <f>AND(Bills!#REF!,"AAAAAG/ei/g=")</f>
        <v>#REF!</v>
      </c>
      <c r="IP53" t="e">
        <f>AND(Bills!#REF!,"AAAAAG/ei/k=")</f>
        <v>#REF!</v>
      </c>
      <c r="IQ53" t="e">
        <f>AND(Bills!#REF!,"AAAAAG/ei/o=")</f>
        <v>#REF!</v>
      </c>
      <c r="IR53" t="e">
        <f>AND(Bills!F109,"AAAAAG/ei/s=")</f>
        <v>#VALUE!</v>
      </c>
      <c r="IS53" t="e">
        <f>AND(Bills!#REF!,"AAAAAG/ei/w=")</f>
        <v>#REF!</v>
      </c>
      <c r="IT53" t="e">
        <f>AND(Bills!G109,"AAAAAG/ei/0=")</f>
        <v>#VALUE!</v>
      </c>
      <c r="IU53" t="e">
        <f>AND(Bills!H109,"AAAAAG/ei/4=")</f>
        <v>#VALUE!</v>
      </c>
      <c r="IV53" t="e">
        <f>AND(Bills!I109,"AAAAAG/ei/8=")</f>
        <v>#VALUE!</v>
      </c>
    </row>
    <row r="54" spans="1:256">
      <c r="A54" t="e">
        <f>AND(Bills!J109,"AAAAAH8v2gA=")</f>
        <v>#VALUE!</v>
      </c>
      <c r="B54" t="e">
        <f>AND(Bills!K109,"AAAAAH8v2gE=")</f>
        <v>#VALUE!</v>
      </c>
      <c r="C54" t="e">
        <f>AND(Bills!L109,"AAAAAH8v2gI=")</f>
        <v>#VALUE!</v>
      </c>
      <c r="D54" t="e">
        <f>AND(Bills!#REF!,"AAAAAH8v2gM=")</f>
        <v>#REF!</v>
      </c>
      <c r="E54" t="e">
        <f>AND(Bills!M109,"AAAAAH8v2gQ=")</f>
        <v>#VALUE!</v>
      </c>
      <c r="F54" t="e">
        <f>AND(Bills!N109,"AAAAAH8v2gU=")</f>
        <v>#VALUE!</v>
      </c>
      <c r="G54" t="e">
        <f>AND(Bills!O109,"AAAAAH8v2gY=")</f>
        <v>#VALUE!</v>
      </c>
      <c r="H54" t="e">
        <f>AND(Bills!P109,"AAAAAH8v2gc=")</f>
        <v>#VALUE!</v>
      </c>
      <c r="I54" t="e">
        <f>AND(Bills!Q109,"AAAAAH8v2gg=")</f>
        <v>#VALUE!</v>
      </c>
      <c r="J54" t="e">
        <f>AND(Bills!R109,"AAAAAH8v2gk=")</f>
        <v>#VALUE!</v>
      </c>
      <c r="K54" t="e">
        <f>AND(Bills!S109,"AAAAAH8v2go=")</f>
        <v>#VALUE!</v>
      </c>
      <c r="L54" t="e">
        <f>AND(Bills!T109,"AAAAAH8v2gs=")</f>
        <v>#VALUE!</v>
      </c>
      <c r="M54" t="e">
        <f>AND(Bills!#REF!,"AAAAAH8v2gw=")</f>
        <v>#REF!</v>
      </c>
      <c r="N54" t="e">
        <f>AND(Bills!U109,"AAAAAH8v2g0=")</f>
        <v>#VALUE!</v>
      </c>
      <c r="O54" t="e">
        <f>AND(Bills!V109,"AAAAAH8v2g4=")</f>
        <v>#VALUE!</v>
      </c>
      <c r="P54" t="e">
        <f>AND(Bills!W109,"AAAAAH8v2g8=")</f>
        <v>#VALUE!</v>
      </c>
      <c r="Q54" t="e">
        <f>AND(Bills!#REF!,"AAAAAH8v2hA=")</f>
        <v>#REF!</v>
      </c>
      <c r="R54" t="e">
        <f>AND(Bills!#REF!,"AAAAAH8v2hE=")</f>
        <v>#REF!</v>
      </c>
      <c r="S54" t="e">
        <f>AND(Bills!Y109,"AAAAAH8v2hI=")</f>
        <v>#VALUE!</v>
      </c>
      <c r="T54" t="e">
        <f>AND(Bills!Z109,"AAAAAH8v2hM=")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AND(Bills!AA109,"AAAAAH8v2h0=")</f>
        <v>#VALUE!</v>
      </c>
      <c r="AE54" t="e">
        <f>AND(Bills!AB109,"AAAAAH8v2h4=")</f>
        <v>#VALUE!</v>
      </c>
      <c r="AF54" t="e">
        <f>AND(Bills!#REF!,"AAAAAH8v2h8=")</f>
        <v>#REF!</v>
      </c>
      <c r="AG54" t="e">
        <f>AND(Bills!#REF!,"AAAAAH8v2iA=")</f>
        <v>#REF!</v>
      </c>
      <c r="AH54" t="e">
        <f>AND(Bills!#REF!,"AAAAAH8v2iE=")</f>
        <v>#REF!</v>
      </c>
      <c r="AI54" t="e">
        <f>AND(Bills!AC109,"AAAAAH8v2iI=")</f>
        <v>#VALUE!</v>
      </c>
      <c r="AJ54" t="e">
        <f>AND(Bills!AD109,"AAAAAH8v2iM=")</f>
        <v>#VALUE!</v>
      </c>
      <c r="AK54" t="e">
        <f>AND(Bills!#REF!,"AAAAAH8v2iQ=")</f>
        <v>#REF!</v>
      </c>
      <c r="AL54">
        <f>IF(Bills!110:110,"AAAAAH8v2iU=",0)</f>
        <v>0</v>
      </c>
      <c r="AM54" t="e">
        <f>AND(Bills!B110,"AAAAAH8v2iY=")</f>
        <v>#VALUE!</v>
      </c>
      <c r="AN54" t="e">
        <f>AND(Bills!#REF!,"AAAAAH8v2ic=")</f>
        <v>#REF!</v>
      </c>
      <c r="AO54" t="e">
        <f>AND(Bills!C110,"AAAAAH8v2ig=")</f>
        <v>#VALUE!</v>
      </c>
      <c r="AP54" t="e">
        <f>AND(Bills!D110,"AAAAAH8v2ik=")</f>
        <v>#VALUE!</v>
      </c>
      <c r="AQ54" t="e">
        <f>AND(Bills!E110,"AAAAAH8v2io=")</f>
        <v>#VALUE!</v>
      </c>
      <c r="AR54" t="e">
        <f>AND(Bills!#REF!,"AAAAAH8v2is=")</f>
        <v>#REF!</v>
      </c>
      <c r="AS54" t="e">
        <f>AND(Bills!#REF!,"AAAAAH8v2iw=")</f>
        <v>#REF!</v>
      </c>
      <c r="AT54" t="e">
        <f>AND(Bills!#REF!,"AAAAAH8v2i0=")</f>
        <v>#REF!</v>
      </c>
      <c r="AU54" t="e">
        <f>AND(Bills!F110,"AAAAAH8v2i4=")</f>
        <v>#VALUE!</v>
      </c>
      <c r="AV54" t="e">
        <f>AND(Bills!#REF!,"AAAAAH8v2i8=")</f>
        <v>#REF!</v>
      </c>
      <c r="AW54" t="e">
        <f>AND(Bills!G110,"AAAAAH8v2jA=")</f>
        <v>#VALUE!</v>
      </c>
      <c r="AX54" t="e">
        <f>AND(Bills!H110,"AAAAAH8v2jE=")</f>
        <v>#VALUE!</v>
      </c>
      <c r="AY54" t="e">
        <f>AND(Bills!I110,"AAAAAH8v2jI=")</f>
        <v>#VALUE!</v>
      </c>
      <c r="AZ54" t="e">
        <f>AND(Bills!J110,"AAAAAH8v2jM=")</f>
        <v>#VALUE!</v>
      </c>
      <c r="BA54" t="e">
        <f>AND(Bills!K110,"AAAAAH8v2jQ=")</f>
        <v>#VALUE!</v>
      </c>
      <c r="BB54" t="e">
        <f>AND(Bills!L110,"AAAAAH8v2jU=")</f>
        <v>#VALUE!</v>
      </c>
      <c r="BC54" t="e">
        <f>AND(Bills!#REF!,"AAAAAH8v2jY=")</f>
        <v>#REF!</v>
      </c>
      <c r="BD54" t="e">
        <f>AND(Bills!M110,"AAAAAH8v2jc=")</f>
        <v>#VALUE!</v>
      </c>
      <c r="BE54" t="e">
        <f>AND(Bills!N110,"AAAAAH8v2jg=")</f>
        <v>#VALUE!</v>
      </c>
      <c r="BF54" t="e">
        <f>AND(Bills!O110,"AAAAAH8v2jk=")</f>
        <v>#VALUE!</v>
      </c>
      <c r="BG54" t="e">
        <f>AND(Bills!P110,"AAAAAH8v2jo=")</f>
        <v>#VALUE!</v>
      </c>
      <c r="BH54" t="e">
        <f>AND(Bills!Q110,"AAAAAH8v2js=")</f>
        <v>#VALUE!</v>
      </c>
      <c r="BI54" t="e">
        <f>AND(Bills!R110,"AAAAAH8v2jw=")</f>
        <v>#VALUE!</v>
      </c>
      <c r="BJ54" t="e">
        <f>AND(Bills!S110,"AAAAAH8v2j0=")</f>
        <v>#VALUE!</v>
      </c>
      <c r="BK54" t="e">
        <f>AND(Bills!T110,"AAAAAH8v2j4=")</f>
        <v>#VALUE!</v>
      </c>
      <c r="BL54" t="e">
        <f>AND(Bills!#REF!,"AAAAAH8v2j8=")</f>
        <v>#REF!</v>
      </c>
      <c r="BM54" t="e">
        <f>AND(Bills!U110,"AAAAAH8v2kA=")</f>
        <v>#VALUE!</v>
      </c>
      <c r="BN54" t="e">
        <f>AND(Bills!V110,"AAAAAH8v2kE=")</f>
        <v>#VALUE!</v>
      </c>
      <c r="BO54" t="e">
        <f>AND(Bills!W110,"AAAAAH8v2kI=")</f>
        <v>#VALUE!</v>
      </c>
      <c r="BP54" t="e">
        <f>AND(Bills!#REF!,"AAAAAH8v2kM=")</f>
        <v>#REF!</v>
      </c>
      <c r="BQ54" t="e">
        <f>AND(Bills!#REF!,"AAAAAH8v2kQ=")</f>
        <v>#REF!</v>
      </c>
      <c r="BR54" t="e">
        <f>AND(Bills!Y110,"AAAAAH8v2kU=")</f>
        <v>#VALUE!</v>
      </c>
      <c r="BS54" t="e">
        <f>AND(Bills!Z110,"AAAAAH8v2kY=")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AND(Bills!AA110,"AAAAAH8v2lA=")</f>
        <v>#VALUE!</v>
      </c>
      <c r="CD54" t="e">
        <f>AND(Bills!AB110,"AAAAAH8v2lE=")</f>
        <v>#VALUE!</v>
      </c>
      <c r="CE54" t="e">
        <f>AND(Bills!#REF!,"AAAAAH8v2lI=")</f>
        <v>#REF!</v>
      </c>
      <c r="CF54" t="e">
        <f>AND(Bills!#REF!,"AAAAAH8v2lM=")</f>
        <v>#REF!</v>
      </c>
      <c r="CG54" t="e">
        <f>AND(Bills!#REF!,"AAAAAH8v2lQ=")</f>
        <v>#REF!</v>
      </c>
      <c r="CH54" t="e">
        <f>AND(Bills!AC110,"AAAAAH8v2lU=")</f>
        <v>#VALUE!</v>
      </c>
      <c r="CI54" t="e">
        <f>AND(Bills!AD110,"AAAAAH8v2lY=")</f>
        <v>#VALUE!</v>
      </c>
      <c r="CJ54" t="e">
        <f>AND(Bills!#REF!,"AAAAAH8v2lc=")</f>
        <v>#REF!</v>
      </c>
      <c r="CK54">
        <f>IF(Bills!111:111,"AAAAAH8v2lg=",0)</f>
        <v>0</v>
      </c>
      <c r="CL54" t="e">
        <f>AND(Bills!B111,"AAAAAH8v2lk=")</f>
        <v>#VALUE!</v>
      </c>
      <c r="CM54" t="e">
        <f>AND(Bills!#REF!,"AAAAAH8v2lo=")</f>
        <v>#REF!</v>
      </c>
      <c r="CN54" t="e">
        <f>AND(Bills!C111,"AAAAAH8v2ls=")</f>
        <v>#VALUE!</v>
      </c>
      <c r="CO54" t="e">
        <f>AND(Bills!D111,"AAAAAH8v2lw=")</f>
        <v>#VALUE!</v>
      </c>
      <c r="CP54" t="e">
        <f>AND(Bills!E111,"AAAAAH8v2l0=")</f>
        <v>#VALUE!</v>
      </c>
      <c r="CQ54" t="e">
        <f>AND(Bills!#REF!,"AAAAAH8v2l4=")</f>
        <v>#REF!</v>
      </c>
      <c r="CR54" t="e">
        <f>AND(Bills!#REF!,"AAAAAH8v2l8=")</f>
        <v>#REF!</v>
      </c>
      <c r="CS54" t="e">
        <f>AND(Bills!#REF!,"AAAAAH8v2mA=")</f>
        <v>#REF!</v>
      </c>
      <c r="CT54" t="e">
        <f>AND(Bills!F111,"AAAAAH8v2mE=")</f>
        <v>#VALUE!</v>
      </c>
      <c r="CU54" t="e">
        <f>AND(Bills!#REF!,"AAAAAH8v2mI=")</f>
        <v>#REF!</v>
      </c>
      <c r="CV54" t="e">
        <f>AND(Bills!G111,"AAAAAH8v2mM=")</f>
        <v>#VALUE!</v>
      </c>
      <c r="CW54" t="e">
        <f>AND(Bills!H111,"AAAAAH8v2mQ=")</f>
        <v>#VALUE!</v>
      </c>
      <c r="CX54" t="e">
        <f>AND(Bills!I111,"AAAAAH8v2mU=")</f>
        <v>#VALUE!</v>
      </c>
      <c r="CY54" t="e">
        <f>AND(Bills!J111,"AAAAAH8v2mY=")</f>
        <v>#VALUE!</v>
      </c>
      <c r="CZ54" t="e">
        <f>AND(Bills!K111,"AAAAAH8v2mc=")</f>
        <v>#VALUE!</v>
      </c>
      <c r="DA54" t="e">
        <f>AND(Bills!L111,"AAAAAH8v2mg=")</f>
        <v>#VALUE!</v>
      </c>
      <c r="DB54" t="e">
        <f>AND(Bills!#REF!,"AAAAAH8v2mk=")</f>
        <v>#REF!</v>
      </c>
      <c r="DC54" t="e">
        <f>AND(Bills!M111,"AAAAAH8v2mo=")</f>
        <v>#VALUE!</v>
      </c>
      <c r="DD54" t="e">
        <f>AND(Bills!N111,"AAAAAH8v2ms=")</f>
        <v>#VALUE!</v>
      </c>
      <c r="DE54" t="e">
        <f>AND(Bills!O111,"AAAAAH8v2mw=")</f>
        <v>#VALUE!</v>
      </c>
      <c r="DF54" t="e">
        <f>AND(Bills!P111,"AAAAAH8v2m0=")</f>
        <v>#VALUE!</v>
      </c>
      <c r="DG54" t="e">
        <f>AND(Bills!Q111,"AAAAAH8v2m4=")</f>
        <v>#VALUE!</v>
      </c>
      <c r="DH54" t="e">
        <f>AND(Bills!R111,"AAAAAH8v2m8=")</f>
        <v>#VALUE!</v>
      </c>
      <c r="DI54" t="e">
        <f>AND(Bills!S111,"AAAAAH8v2nA=")</f>
        <v>#VALUE!</v>
      </c>
      <c r="DJ54" t="e">
        <f>AND(Bills!T111,"AAAAAH8v2nE=")</f>
        <v>#VALUE!</v>
      </c>
      <c r="DK54" t="e">
        <f>AND(Bills!#REF!,"AAAAAH8v2nI=")</f>
        <v>#REF!</v>
      </c>
      <c r="DL54" t="e">
        <f>AND(Bills!U111,"AAAAAH8v2nM=")</f>
        <v>#VALUE!</v>
      </c>
      <c r="DM54" t="e">
        <f>AND(Bills!V111,"AAAAAH8v2nQ=")</f>
        <v>#VALUE!</v>
      </c>
      <c r="DN54" t="e">
        <f>AND(Bills!W111,"AAAAAH8v2nU=")</f>
        <v>#VALUE!</v>
      </c>
      <c r="DO54" t="e">
        <f>AND(Bills!#REF!,"AAAAAH8v2nY=")</f>
        <v>#REF!</v>
      </c>
      <c r="DP54" t="e">
        <f>AND(Bills!#REF!,"AAAAAH8v2nc=")</f>
        <v>#REF!</v>
      </c>
      <c r="DQ54" t="e">
        <f>AND(Bills!Y111,"AAAAAH8v2ng=")</f>
        <v>#VALUE!</v>
      </c>
      <c r="DR54" t="e">
        <f>AND(Bills!Z111,"AAAAAH8v2nk=")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AND(Bills!AA111,"AAAAAH8v2oM=")</f>
        <v>#VALUE!</v>
      </c>
      <c r="EC54" t="e">
        <f>AND(Bills!AB111,"AAAAAH8v2oQ=")</f>
        <v>#VALUE!</v>
      </c>
      <c r="ED54" t="e">
        <f>AND(Bills!#REF!,"AAAAAH8v2oU=")</f>
        <v>#REF!</v>
      </c>
      <c r="EE54" t="e">
        <f>AND(Bills!#REF!,"AAAAAH8v2oY=")</f>
        <v>#REF!</v>
      </c>
      <c r="EF54" t="e">
        <f>AND(Bills!#REF!,"AAAAAH8v2oc=")</f>
        <v>#REF!</v>
      </c>
      <c r="EG54" t="e">
        <f>AND(Bills!AC111,"AAAAAH8v2og=")</f>
        <v>#VALUE!</v>
      </c>
      <c r="EH54" t="e">
        <f>AND(Bills!AD111,"AAAAAH8v2ok=")</f>
        <v>#VALUE!</v>
      </c>
      <c r="EI54" t="e">
        <f>AND(Bills!#REF!,"AAAAAH8v2oo=")</f>
        <v>#REF!</v>
      </c>
      <c r="EJ54">
        <f>IF(Bills!112:112,"AAAAAH8v2os=",0)</f>
        <v>0</v>
      </c>
      <c r="EK54" t="e">
        <f>AND(Bills!B112,"AAAAAH8v2ow=")</f>
        <v>#VALUE!</v>
      </c>
      <c r="EL54" t="e">
        <f>AND(Bills!#REF!,"AAAAAH8v2o0=")</f>
        <v>#REF!</v>
      </c>
      <c r="EM54" t="e">
        <f>AND(Bills!C112,"AAAAAH8v2o4=")</f>
        <v>#VALUE!</v>
      </c>
      <c r="EN54" t="e">
        <f>AND(Bills!D112,"AAAAAH8v2o8=")</f>
        <v>#VALUE!</v>
      </c>
      <c r="EO54" t="e">
        <f>AND(Bills!E112,"AAAAAH8v2pA=")</f>
        <v>#VALUE!</v>
      </c>
      <c r="EP54" t="e">
        <f>AND(Bills!#REF!,"AAAAAH8v2pE=")</f>
        <v>#REF!</v>
      </c>
      <c r="EQ54" t="e">
        <f>AND(Bills!#REF!,"AAAAAH8v2pI=")</f>
        <v>#REF!</v>
      </c>
      <c r="ER54" t="e">
        <f>AND(Bills!#REF!,"AAAAAH8v2pM=")</f>
        <v>#REF!</v>
      </c>
      <c r="ES54" t="e">
        <f>AND(Bills!F112,"AAAAAH8v2pQ=")</f>
        <v>#VALUE!</v>
      </c>
      <c r="ET54" t="e">
        <f>AND(Bills!#REF!,"AAAAAH8v2pU=")</f>
        <v>#REF!</v>
      </c>
      <c r="EU54" t="e">
        <f>AND(Bills!G112,"AAAAAH8v2pY=")</f>
        <v>#VALUE!</v>
      </c>
      <c r="EV54" t="e">
        <f>AND(Bills!H112,"AAAAAH8v2pc=")</f>
        <v>#VALUE!</v>
      </c>
      <c r="EW54" t="e">
        <f>AND(Bills!I112,"AAAAAH8v2pg=")</f>
        <v>#VALUE!</v>
      </c>
      <c r="EX54" t="e">
        <f>AND(Bills!J112,"AAAAAH8v2pk=")</f>
        <v>#VALUE!</v>
      </c>
      <c r="EY54" t="e">
        <f>AND(Bills!K112,"AAAAAH8v2po=")</f>
        <v>#VALUE!</v>
      </c>
      <c r="EZ54" t="e">
        <f>AND(Bills!L112,"AAAAAH8v2ps=")</f>
        <v>#VALUE!</v>
      </c>
      <c r="FA54" t="e">
        <f>AND(Bills!#REF!,"AAAAAH8v2pw=")</f>
        <v>#REF!</v>
      </c>
      <c r="FB54" t="e">
        <f>AND(Bills!M112,"AAAAAH8v2p0=")</f>
        <v>#VALUE!</v>
      </c>
      <c r="FC54" t="e">
        <f>AND(Bills!N112,"AAAAAH8v2p4=")</f>
        <v>#VALUE!</v>
      </c>
      <c r="FD54" t="e">
        <f>AND(Bills!O112,"AAAAAH8v2p8=")</f>
        <v>#VALUE!</v>
      </c>
      <c r="FE54" t="e">
        <f>AND(Bills!P112,"AAAAAH8v2qA=")</f>
        <v>#VALUE!</v>
      </c>
      <c r="FF54" t="e">
        <f>AND(Bills!Q112,"AAAAAH8v2qE=")</f>
        <v>#VALUE!</v>
      </c>
      <c r="FG54" t="e">
        <f>AND(Bills!R112,"AAAAAH8v2qI=")</f>
        <v>#VALUE!</v>
      </c>
      <c r="FH54" t="e">
        <f>AND(Bills!S112,"AAAAAH8v2qM=")</f>
        <v>#VALUE!</v>
      </c>
      <c r="FI54" t="e">
        <f>AND(Bills!T112,"AAAAAH8v2qQ=")</f>
        <v>#VALUE!</v>
      </c>
      <c r="FJ54" t="e">
        <f>AND(Bills!#REF!,"AAAAAH8v2qU=")</f>
        <v>#REF!</v>
      </c>
      <c r="FK54" t="e">
        <f>AND(Bills!U112,"AAAAAH8v2qY=")</f>
        <v>#VALUE!</v>
      </c>
      <c r="FL54" t="e">
        <f>AND(Bills!V112,"AAAAAH8v2qc=")</f>
        <v>#VALUE!</v>
      </c>
      <c r="FM54" t="e">
        <f>AND(Bills!W112,"AAAAAH8v2qg=")</f>
        <v>#VALUE!</v>
      </c>
      <c r="FN54" t="e">
        <f>AND(Bills!#REF!,"AAAAAH8v2qk=")</f>
        <v>#REF!</v>
      </c>
      <c r="FO54" t="e">
        <f>AND(Bills!#REF!,"AAAAAH8v2qo=")</f>
        <v>#REF!</v>
      </c>
      <c r="FP54" t="e">
        <f>AND(Bills!Y112,"AAAAAH8v2qs=")</f>
        <v>#VALUE!</v>
      </c>
      <c r="FQ54" t="e">
        <f>AND(Bills!Z112,"AAAAAH8v2qw=")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AND(Bills!AA112,"AAAAAH8v2rY=")</f>
        <v>#VALUE!</v>
      </c>
      <c r="GB54" t="e">
        <f>AND(Bills!AB112,"AAAAAH8v2rc=")</f>
        <v>#VALUE!</v>
      </c>
      <c r="GC54" t="e">
        <f>AND(Bills!#REF!,"AAAAAH8v2rg=")</f>
        <v>#REF!</v>
      </c>
      <c r="GD54" t="e">
        <f>AND(Bills!#REF!,"AAAAAH8v2rk=")</f>
        <v>#REF!</v>
      </c>
      <c r="GE54" t="e">
        <f>AND(Bills!#REF!,"AAAAAH8v2ro=")</f>
        <v>#REF!</v>
      </c>
      <c r="GF54" t="e">
        <f>AND(Bills!AC112,"AAAAAH8v2rs=")</f>
        <v>#VALUE!</v>
      </c>
      <c r="GG54" t="e">
        <f>AND(Bills!AD112,"AAAAAH8v2rw=")</f>
        <v>#VALUE!</v>
      </c>
      <c r="GH54" t="e">
        <f>AND(Bills!#REF!,"AAAAAH8v2r0=")</f>
        <v>#REF!</v>
      </c>
      <c r="GI54">
        <f>IF(Bills!113:113,"AAAAAH8v2r4=",0)</f>
        <v>0</v>
      </c>
      <c r="GJ54" t="e">
        <f>AND(Bills!B113,"AAAAAH8v2r8=")</f>
        <v>#VALUE!</v>
      </c>
      <c r="GK54" t="e">
        <f>AND(Bills!#REF!,"AAAAAH8v2sA=")</f>
        <v>#REF!</v>
      </c>
      <c r="GL54" t="e">
        <f>AND(Bills!C113,"AAAAAH8v2sE=")</f>
        <v>#VALUE!</v>
      </c>
      <c r="GM54" t="e">
        <f>AND(Bills!D113,"AAAAAH8v2sI=")</f>
        <v>#VALUE!</v>
      </c>
      <c r="GN54" t="e">
        <f>AND(Bills!E113,"AAAAAH8v2sM=")</f>
        <v>#VALUE!</v>
      </c>
      <c r="GO54" t="e">
        <f>AND(Bills!#REF!,"AAAAAH8v2sQ=")</f>
        <v>#REF!</v>
      </c>
      <c r="GP54" t="e">
        <f>AND(Bills!#REF!,"AAAAAH8v2sU=")</f>
        <v>#REF!</v>
      </c>
      <c r="GQ54" t="e">
        <f>AND(Bills!#REF!,"AAAAAH8v2sY=")</f>
        <v>#REF!</v>
      </c>
      <c r="GR54" t="e">
        <f>AND(Bills!F113,"AAAAAH8v2sc=")</f>
        <v>#VALUE!</v>
      </c>
      <c r="GS54" t="e">
        <f>AND(Bills!#REF!,"AAAAAH8v2sg=")</f>
        <v>#REF!</v>
      </c>
      <c r="GT54" t="e">
        <f>AND(Bills!G113,"AAAAAH8v2sk=")</f>
        <v>#VALUE!</v>
      </c>
      <c r="GU54" t="e">
        <f>AND(Bills!H113,"AAAAAH8v2so=")</f>
        <v>#VALUE!</v>
      </c>
      <c r="GV54" t="e">
        <f>AND(Bills!I113,"AAAAAH8v2ss=")</f>
        <v>#VALUE!</v>
      </c>
      <c r="GW54" t="e">
        <f>AND(Bills!J113,"AAAAAH8v2sw=")</f>
        <v>#VALUE!</v>
      </c>
      <c r="GX54" t="e">
        <f>AND(Bills!K113,"AAAAAH8v2s0=")</f>
        <v>#VALUE!</v>
      </c>
      <c r="GY54" t="e">
        <f>AND(Bills!L113,"AAAAAH8v2s4=")</f>
        <v>#VALUE!</v>
      </c>
      <c r="GZ54" t="e">
        <f>AND(Bills!#REF!,"AAAAAH8v2s8=")</f>
        <v>#REF!</v>
      </c>
      <c r="HA54" t="e">
        <f>AND(Bills!M113,"AAAAAH8v2tA=")</f>
        <v>#VALUE!</v>
      </c>
      <c r="HB54" t="e">
        <f>AND(Bills!N113,"AAAAAH8v2tE=")</f>
        <v>#VALUE!</v>
      </c>
      <c r="HC54" t="e">
        <f>AND(Bills!O113,"AAAAAH8v2tI=")</f>
        <v>#VALUE!</v>
      </c>
      <c r="HD54" t="e">
        <f>AND(Bills!P113,"AAAAAH8v2tM=")</f>
        <v>#VALUE!</v>
      </c>
      <c r="HE54" t="e">
        <f>AND(Bills!Q113,"AAAAAH8v2tQ=")</f>
        <v>#VALUE!</v>
      </c>
      <c r="HF54" t="e">
        <f>AND(Bills!R113,"AAAAAH8v2tU=")</f>
        <v>#VALUE!</v>
      </c>
      <c r="HG54" t="e">
        <f>AND(Bills!S113,"AAAAAH8v2tY=")</f>
        <v>#VALUE!</v>
      </c>
      <c r="HH54" t="e">
        <f>AND(Bills!T113,"AAAAAH8v2tc=")</f>
        <v>#VALUE!</v>
      </c>
      <c r="HI54" t="e">
        <f>AND(Bills!#REF!,"AAAAAH8v2tg=")</f>
        <v>#REF!</v>
      </c>
      <c r="HJ54" t="e">
        <f>AND(Bills!U113,"AAAAAH8v2tk=")</f>
        <v>#VALUE!</v>
      </c>
      <c r="HK54" t="e">
        <f>AND(Bills!V113,"AAAAAH8v2to=")</f>
        <v>#VALUE!</v>
      </c>
      <c r="HL54" t="e">
        <f>AND(Bills!W113,"AAAAAH8v2ts=")</f>
        <v>#VALUE!</v>
      </c>
      <c r="HM54" t="e">
        <f>AND(Bills!#REF!,"AAAAAH8v2tw=")</f>
        <v>#REF!</v>
      </c>
      <c r="HN54" t="e">
        <f>AND(Bills!#REF!,"AAAAAH8v2t0=")</f>
        <v>#REF!</v>
      </c>
      <c r="HO54" t="e">
        <f>AND(Bills!Y113,"AAAAAH8v2t4=")</f>
        <v>#VALUE!</v>
      </c>
      <c r="HP54" t="e">
        <f>AND(Bills!Z113,"AAAAAH8v2t8=")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AND(Bills!AA113,"AAAAAH8v2uk=")</f>
        <v>#VALUE!</v>
      </c>
      <c r="IA54" t="e">
        <f>AND(Bills!AB113,"AAAAAH8v2uo=")</f>
        <v>#VALUE!</v>
      </c>
      <c r="IB54" t="e">
        <f>AND(Bills!#REF!,"AAAAAH8v2us=")</f>
        <v>#REF!</v>
      </c>
      <c r="IC54" t="e">
        <f>AND(Bills!#REF!,"AAAAAH8v2uw=")</f>
        <v>#REF!</v>
      </c>
      <c r="ID54" t="e">
        <f>AND(Bills!#REF!,"AAAAAH8v2u0=")</f>
        <v>#REF!</v>
      </c>
      <c r="IE54" t="e">
        <f>AND(Bills!AC113,"AAAAAH8v2u4=")</f>
        <v>#VALUE!</v>
      </c>
      <c r="IF54" t="e">
        <f>AND(Bills!AD113,"AAAAAH8v2u8=")</f>
        <v>#VALUE!</v>
      </c>
      <c r="IG54" t="e">
        <f>AND(Bills!#REF!,"AAAAAH8v2vA=")</f>
        <v>#REF!</v>
      </c>
      <c r="IH54">
        <f>IF(Bills!114:114,"AAAAAH8v2vE=",0)</f>
        <v>0</v>
      </c>
      <c r="II54" t="e">
        <f>AND(Bills!B114,"AAAAAH8v2vI=")</f>
        <v>#VALUE!</v>
      </c>
      <c r="IJ54" t="e">
        <f>AND(Bills!#REF!,"AAAAAH8v2vM=")</f>
        <v>#REF!</v>
      </c>
      <c r="IK54" t="e">
        <f>AND(Bills!C114,"AAAAAH8v2vQ=")</f>
        <v>#VALUE!</v>
      </c>
      <c r="IL54" t="e">
        <f>AND(Bills!D114,"AAAAAH8v2vU=")</f>
        <v>#VALUE!</v>
      </c>
      <c r="IM54" t="e">
        <f>AND(Bills!E114,"AAAAAH8v2vY=")</f>
        <v>#VALUE!</v>
      </c>
      <c r="IN54" t="e">
        <f>AND(Bills!#REF!,"AAAAAH8v2vc=")</f>
        <v>#REF!</v>
      </c>
      <c r="IO54" t="e">
        <f>AND(Bills!#REF!,"AAAAAH8v2vg=")</f>
        <v>#REF!</v>
      </c>
      <c r="IP54" t="e">
        <f>AND(Bills!#REF!,"AAAAAH8v2vk=")</f>
        <v>#REF!</v>
      </c>
      <c r="IQ54" t="e">
        <f>AND(Bills!F114,"AAAAAH8v2vo=")</f>
        <v>#VALUE!</v>
      </c>
      <c r="IR54" t="e">
        <f>AND(Bills!#REF!,"AAAAAH8v2vs=")</f>
        <v>#REF!</v>
      </c>
      <c r="IS54" t="e">
        <f>AND(Bills!G114,"AAAAAH8v2vw=")</f>
        <v>#VALUE!</v>
      </c>
      <c r="IT54" t="e">
        <f>AND(Bills!H114,"AAAAAH8v2v0=")</f>
        <v>#VALUE!</v>
      </c>
      <c r="IU54" t="e">
        <f>AND(Bills!I114,"AAAAAH8v2v4=")</f>
        <v>#VALUE!</v>
      </c>
      <c r="IV54" t="e">
        <f>AND(Bills!J114,"AAAAAH8v2v8=")</f>
        <v>#VALUE!</v>
      </c>
    </row>
    <row r="55" spans="1:256">
      <c r="A55" t="e">
        <f>AND(Bills!K114,"AAAAAF/d8wA=")</f>
        <v>#VALUE!</v>
      </c>
      <c r="B55" t="e">
        <f>AND(Bills!L114,"AAAAAF/d8wE=")</f>
        <v>#VALUE!</v>
      </c>
      <c r="C55" t="e">
        <f>AND(Bills!#REF!,"AAAAAF/d8wI=")</f>
        <v>#REF!</v>
      </c>
      <c r="D55" t="e">
        <f>AND(Bills!M114,"AAAAAF/d8wM=")</f>
        <v>#VALUE!</v>
      </c>
      <c r="E55" t="e">
        <f>AND(Bills!N114,"AAAAAF/d8wQ=")</f>
        <v>#VALUE!</v>
      </c>
      <c r="F55" t="e">
        <f>AND(Bills!O114,"AAAAAF/d8wU=")</f>
        <v>#VALUE!</v>
      </c>
      <c r="G55" t="e">
        <f>AND(Bills!P114,"AAAAAF/d8wY=")</f>
        <v>#VALUE!</v>
      </c>
      <c r="H55" t="e">
        <f>AND(Bills!Q114,"AAAAAF/d8wc=")</f>
        <v>#VALUE!</v>
      </c>
      <c r="I55" t="e">
        <f>AND(Bills!R114,"AAAAAF/d8wg=")</f>
        <v>#VALUE!</v>
      </c>
      <c r="J55" t="e">
        <f>AND(Bills!S114,"AAAAAF/d8wk=")</f>
        <v>#VALUE!</v>
      </c>
      <c r="K55" t="e">
        <f>AND(Bills!T114,"AAAAAF/d8wo=")</f>
        <v>#VALUE!</v>
      </c>
      <c r="L55" t="e">
        <f>AND(Bills!#REF!,"AAAAAF/d8ws=")</f>
        <v>#REF!</v>
      </c>
      <c r="M55" t="e">
        <f>AND(Bills!U114,"AAAAAF/d8ww=")</f>
        <v>#VALUE!</v>
      </c>
      <c r="N55" t="e">
        <f>AND(Bills!V114,"AAAAAF/d8w0=")</f>
        <v>#VALUE!</v>
      </c>
      <c r="O55" t="e">
        <f>AND(Bills!W114,"AAAAAF/d8w4=")</f>
        <v>#VALUE!</v>
      </c>
      <c r="P55" t="e">
        <f>AND(Bills!#REF!,"AAAAAF/d8w8=")</f>
        <v>#REF!</v>
      </c>
      <c r="Q55" t="e">
        <f>AND(Bills!#REF!,"AAAAAF/d8xA=")</f>
        <v>#REF!</v>
      </c>
      <c r="R55" t="e">
        <f>AND(Bills!Y114,"AAAAAF/d8xE=")</f>
        <v>#VALUE!</v>
      </c>
      <c r="S55" t="e">
        <f>AND(Bills!Z114,"AAAAAF/d8xI=")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AND(Bills!AA114,"AAAAAF/d8xw=")</f>
        <v>#VALUE!</v>
      </c>
      <c r="AD55" t="e">
        <f>AND(Bills!AB114,"AAAAAF/d8x0=")</f>
        <v>#VALUE!</v>
      </c>
      <c r="AE55" t="e">
        <f>AND(Bills!#REF!,"AAAAAF/d8x4=")</f>
        <v>#REF!</v>
      </c>
      <c r="AF55" t="e">
        <f>AND(Bills!#REF!,"AAAAAF/d8x8=")</f>
        <v>#REF!</v>
      </c>
      <c r="AG55" t="e">
        <f>AND(Bills!#REF!,"AAAAAF/d8yA=")</f>
        <v>#REF!</v>
      </c>
      <c r="AH55" t="e">
        <f>AND(Bills!AC114,"AAAAAF/d8yE=")</f>
        <v>#VALUE!</v>
      </c>
      <c r="AI55" t="e">
        <f>AND(Bills!AD114,"AAAAAF/d8yI=")</f>
        <v>#VALUE!</v>
      </c>
      <c r="AJ55" t="e">
        <f>AND(Bills!#REF!,"AAAAAF/d8yM=")</f>
        <v>#REF!</v>
      </c>
      <c r="AK55">
        <f>IF(Bills!115:115,"AAAAAF/d8yQ=",0)</f>
        <v>0</v>
      </c>
      <c r="AL55" t="e">
        <f>AND(Bills!B115,"AAAAAF/d8yU=")</f>
        <v>#VALUE!</v>
      </c>
      <c r="AM55" t="e">
        <f>AND(Bills!#REF!,"AAAAAF/d8yY=")</f>
        <v>#REF!</v>
      </c>
      <c r="AN55" t="e">
        <f>AND(Bills!C115,"AAAAAF/d8yc=")</f>
        <v>#VALUE!</v>
      </c>
      <c r="AO55" t="e">
        <f>AND(Bills!D115,"AAAAAF/d8yg=")</f>
        <v>#VALUE!</v>
      </c>
      <c r="AP55" t="e">
        <f>AND(Bills!E115,"AAAAAF/d8yk=")</f>
        <v>#VALUE!</v>
      </c>
      <c r="AQ55" t="e">
        <f>AND(Bills!#REF!,"AAAAAF/d8yo=")</f>
        <v>#REF!</v>
      </c>
      <c r="AR55" t="e">
        <f>AND(Bills!#REF!,"AAAAAF/d8ys=")</f>
        <v>#REF!</v>
      </c>
      <c r="AS55" t="e">
        <f>AND(Bills!#REF!,"AAAAAF/d8yw=")</f>
        <v>#REF!</v>
      </c>
      <c r="AT55" t="e">
        <f>AND(Bills!F115,"AAAAAF/d8y0=")</f>
        <v>#VALUE!</v>
      </c>
      <c r="AU55" t="e">
        <f>AND(Bills!#REF!,"AAAAAF/d8y4=")</f>
        <v>#REF!</v>
      </c>
      <c r="AV55" t="e">
        <f>AND(Bills!G115,"AAAAAF/d8y8=")</f>
        <v>#VALUE!</v>
      </c>
      <c r="AW55" t="e">
        <f>AND(Bills!H115,"AAAAAF/d8zA=")</f>
        <v>#VALUE!</v>
      </c>
      <c r="AX55" t="e">
        <f>AND(Bills!I115,"AAAAAF/d8zE=")</f>
        <v>#VALUE!</v>
      </c>
      <c r="AY55" t="e">
        <f>AND(Bills!J115,"AAAAAF/d8zI=")</f>
        <v>#VALUE!</v>
      </c>
      <c r="AZ55" t="e">
        <f>AND(Bills!K115,"AAAAAF/d8zM=")</f>
        <v>#VALUE!</v>
      </c>
      <c r="BA55" t="e">
        <f>AND(Bills!L115,"AAAAAF/d8zQ=")</f>
        <v>#VALUE!</v>
      </c>
      <c r="BB55" t="e">
        <f>AND(Bills!#REF!,"AAAAAF/d8zU=")</f>
        <v>#REF!</v>
      </c>
      <c r="BC55" t="e">
        <f>AND(Bills!M115,"AAAAAF/d8zY=")</f>
        <v>#VALUE!</v>
      </c>
      <c r="BD55" t="e">
        <f>AND(Bills!N115,"AAAAAF/d8zc=")</f>
        <v>#VALUE!</v>
      </c>
      <c r="BE55" t="e">
        <f>AND(Bills!O115,"AAAAAF/d8zg=")</f>
        <v>#VALUE!</v>
      </c>
      <c r="BF55" t="e">
        <f>AND(Bills!P115,"AAAAAF/d8zk=")</f>
        <v>#VALUE!</v>
      </c>
      <c r="BG55" t="e">
        <f>AND(Bills!Q115,"AAAAAF/d8zo=")</f>
        <v>#VALUE!</v>
      </c>
      <c r="BH55" t="e">
        <f>AND(Bills!R115,"AAAAAF/d8zs=")</f>
        <v>#VALUE!</v>
      </c>
      <c r="BI55" t="e">
        <f>AND(Bills!S115,"AAAAAF/d8zw=")</f>
        <v>#VALUE!</v>
      </c>
      <c r="BJ55" t="e">
        <f>AND(Bills!T115,"AAAAAF/d8z0=")</f>
        <v>#VALUE!</v>
      </c>
      <c r="BK55" t="e">
        <f>AND(Bills!#REF!,"AAAAAF/d8z4=")</f>
        <v>#REF!</v>
      </c>
      <c r="BL55" t="e">
        <f>AND(Bills!U115,"AAAAAF/d8z8=")</f>
        <v>#VALUE!</v>
      </c>
      <c r="BM55" t="e">
        <f>AND(Bills!V115,"AAAAAF/d80A=")</f>
        <v>#VALUE!</v>
      </c>
      <c r="BN55" t="e">
        <f>AND(Bills!W115,"AAAAAF/d80E=")</f>
        <v>#VALUE!</v>
      </c>
      <c r="BO55" t="e">
        <f>AND(Bills!#REF!,"AAAAAF/d80I=")</f>
        <v>#REF!</v>
      </c>
      <c r="BP55" t="e">
        <f>AND(Bills!#REF!,"AAAAAF/d80M=")</f>
        <v>#REF!</v>
      </c>
      <c r="BQ55" t="e">
        <f>AND(Bills!Y115,"AAAAAF/d80Q=")</f>
        <v>#VALUE!</v>
      </c>
      <c r="BR55" t="e">
        <f>AND(Bills!Z115,"AAAAAF/d80U=")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AND(Bills!AA115,"AAAAAF/d808=")</f>
        <v>#VALUE!</v>
      </c>
      <c r="CC55" t="e">
        <f>AND(Bills!AB115,"AAAAAF/d81A=")</f>
        <v>#VALUE!</v>
      </c>
      <c r="CD55" t="e">
        <f>AND(Bills!#REF!,"AAAAAF/d81E=")</f>
        <v>#REF!</v>
      </c>
      <c r="CE55" t="e">
        <f>AND(Bills!#REF!,"AAAAAF/d81I=")</f>
        <v>#REF!</v>
      </c>
      <c r="CF55" t="e">
        <f>AND(Bills!#REF!,"AAAAAF/d81M=")</f>
        <v>#REF!</v>
      </c>
      <c r="CG55" t="e">
        <f>AND(Bills!AC115,"AAAAAF/d81Q=")</f>
        <v>#VALUE!</v>
      </c>
      <c r="CH55" t="e">
        <f>AND(Bills!AD115,"AAAAAF/d81U=")</f>
        <v>#VALUE!</v>
      </c>
      <c r="CI55" t="e">
        <f>AND(Bills!#REF!,"AAAAAF/d81Y=")</f>
        <v>#REF!</v>
      </c>
      <c r="CJ55">
        <f>IF(Bills!116:116,"AAAAAF/d81c=",0)</f>
        <v>0</v>
      </c>
      <c r="CK55" t="e">
        <f>AND(Bills!B116,"AAAAAF/d81g=")</f>
        <v>#VALUE!</v>
      </c>
      <c r="CL55" t="e">
        <f>AND(Bills!#REF!,"AAAAAF/d81k=")</f>
        <v>#REF!</v>
      </c>
      <c r="CM55" t="e">
        <f>AND(Bills!C116,"AAAAAF/d81o=")</f>
        <v>#VALUE!</v>
      </c>
      <c r="CN55" t="e">
        <f>AND(Bills!D116,"AAAAAF/d81s=")</f>
        <v>#VALUE!</v>
      </c>
      <c r="CO55" t="e">
        <f>AND(Bills!E116,"AAAAAF/d81w=")</f>
        <v>#VALUE!</v>
      </c>
      <c r="CP55" t="e">
        <f>AND(Bills!#REF!,"AAAAAF/d810=")</f>
        <v>#REF!</v>
      </c>
      <c r="CQ55" t="e">
        <f>AND(Bills!#REF!,"AAAAAF/d814=")</f>
        <v>#REF!</v>
      </c>
      <c r="CR55" t="e">
        <f>AND(Bills!#REF!,"AAAAAF/d818=")</f>
        <v>#REF!</v>
      </c>
      <c r="CS55" t="e">
        <f>AND(Bills!F116,"AAAAAF/d82A=")</f>
        <v>#VALUE!</v>
      </c>
      <c r="CT55" t="e">
        <f>AND(Bills!#REF!,"AAAAAF/d82E=")</f>
        <v>#REF!</v>
      </c>
      <c r="CU55" t="e">
        <f>AND(Bills!G116,"AAAAAF/d82I=")</f>
        <v>#VALUE!</v>
      </c>
      <c r="CV55" t="e">
        <f>AND(Bills!H116,"AAAAAF/d82M=")</f>
        <v>#VALUE!</v>
      </c>
      <c r="CW55" t="e">
        <f>AND(Bills!I116,"AAAAAF/d82Q=")</f>
        <v>#VALUE!</v>
      </c>
      <c r="CX55" t="e">
        <f>AND(Bills!J116,"AAAAAF/d82U=")</f>
        <v>#VALUE!</v>
      </c>
      <c r="CY55" t="e">
        <f>AND(Bills!K116,"AAAAAF/d82Y=")</f>
        <v>#VALUE!</v>
      </c>
      <c r="CZ55" t="e">
        <f>AND(Bills!L116,"AAAAAF/d82c=")</f>
        <v>#VALUE!</v>
      </c>
      <c r="DA55" t="e">
        <f>AND(Bills!#REF!,"AAAAAF/d82g=")</f>
        <v>#REF!</v>
      </c>
      <c r="DB55" t="e">
        <f>AND(Bills!M116,"AAAAAF/d82k=")</f>
        <v>#VALUE!</v>
      </c>
      <c r="DC55" t="e">
        <f>AND(Bills!N116,"AAAAAF/d82o=")</f>
        <v>#VALUE!</v>
      </c>
      <c r="DD55" t="e">
        <f>AND(Bills!O116,"AAAAAF/d82s=")</f>
        <v>#VALUE!</v>
      </c>
      <c r="DE55" t="e">
        <f>AND(Bills!P116,"AAAAAF/d82w=")</f>
        <v>#VALUE!</v>
      </c>
      <c r="DF55" t="e">
        <f>AND(Bills!Q116,"AAAAAF/d820=")</f>
        <v>#VALUE!</v>
      </c>
      <c r="DG55" t="e">
        <f>AND(Bills!R116,"AAAAAF/d824=")</f>
        <v>#VALUE!</v>
      </c>
      <c r="DH55" t="e">
        <f>AND(Bills!S116,"AAAAAF/d828=")</f>
        <v>#VALUE!</v>
      </c>
      <c r="DI55" t="e">
        <f>AND(Bills!T116,"AAAAAF/d83A=")</f>
        <v>#VALUE!</v>
      </c>
      <c r="DJ55" t="e">
        <f>AND(Bills!#REF!,"AAAAAF/d83E=")</f>
        <v>#REF!</v>
      </c>
      <c r="DK55" t="e">
        <f>AND(Bills!U116,"AAAAAF/d83I=")</f>
        <v>#VALUE!</v>
      </c>
      <c r="DL55" t="e">
        <f>AND(Bills!V116,"AAAAAF/d83M=")</f>
        <v>#VALUE!</v>
      </c>
      <c r="DM55" t="e">
        <f>AND(Bills!W116,"AAAAAF/d83Q=")</f>
        <v>#VALUE!</v>
      </c>
      <c r="DN55" t="e">
        <f>AND(Bills!#REF!,"AAAAAF/d83U=")</f>
        <v>#REF!</v>
      </c>
      <c r="DO55" t="e">
        <f>AND(Bills!#REF!,"AAAAAF/d83Y=")</f>
        <v>#REF!</v>
      </c>
      <c r="DP55" t="e">
        <f>AND(Bills!Y116,"AAAAAF/d83c=")</f>
        <v>#VALUE!</v>
      </c>
      <c r="DQ55" t="e">
        <f>AND(Bills!Z116,"AAAAAF/d83g=")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AND(Bills!AA116,"AAAAAF/d84I=")</f>
        <v>#VALUE!</v>
      </c>
      <c r="EB55" t="e">
        <f>AND(Bills!AB116,"AAAAAF/d84M=")</f>
        <v>#VALUE!</v>
      </c>
      <c r="EC55" t="e">
        <f>AND(Bills!#REF!,"AAAAAF/d84Q=")</f>
        <v>#REF!</v>
      </c>
      <c r="ED55" t="e">
        <f>AND(Bills!#REF!,"AAAAAF/d84U=")</f>
        <v>#REF!</v>
      </c>
      <c r="EE55" t="e">
        <f>AND(Bills!#REF!,"AAAAAF/d84Y=")</f>
        <v>#REF!</v>
      </c>
      <c r="EF55" t="e">
        <f>AND(Bills!AC116,"AAAAAF/d84c=")</f>
        <v>#VALUE!</v>
      </c>
      <c r="EG55" t="e">
        <f>AND(Bills!AD116,"AAAAAF/d84g=")</f>
        <v>#VALUE!</v>
      </c>
      <c r="EH55" t="e">
        <f>AND(Bills!#REF!,"AAAAAF/d84k=")</f>
        <v>#REF!</v>
      </c>
      <c r="EI55">
        <f>IF(Bills!117:117,"AAAAAF/d84o=",0)</f>
        <v>0</v>
      </c>
      <c r="EJ55" t="e">
        <f>AND(Bills!B117,"AAAAAF/d84s=")</f>
        <v>#VALUE!</v>
      </c>
      <c r="EK55" t="e">
        <f>AND(Bills!#REF!,"AAAAAF/d84w=")</f>
        <v>#REF!</v>
      </c>
      <c r="EL55" t="e">
        <f>AND(Bills!C117,"AAAAAF/d840=")</f>
        <v>#VALUE!</v>
      </c>
      <c r="EM55" t="e">
        <f>AND(Bills!D117,"AAAAAF/d844=")</f>
        <v>#VALUE!</v>
      </c>
      <c r="EN55" t="e">
        <f>AND(Bills!E117,"AAAAAF/d848=")</f>
        <v>#VALUE!</v>
      </c>
      <c r="EO55" t="e">
        <f>AND(Bills!#REF!,"AAAAAF/d85A=")</f>
        <v>#REF!</v>
      </c>
      <c r="EP55" t="e">
        <f>AND(Bills!#REF!,"AAAAAF/d85E=")</f>
        <v>#REF!</v>
      </c>
      <c r="EQ55" t="e">
        <f>AND(Bills!#REF!,"AAAAAF/d85I=")</f>
        <v>#REF!</v>
      </c>
      <c r="ER55" t="e">
        <f>AND(Bills!F117,"AAAAAF/d85M=")</f>
        <v>#VALUE!</v>
      </c>
      <c r="ES55" t="e">
        <f>AND(Bills!#REF!,"AAAAAF/d85Q=")</f>
        <v>#REF!</v>
      </c>
      <c r="ET55" t="e">
        <f>AND(Bills!G117,"AAAAAF/d85U=")</f>
        <v>#VALUE!</v>
      </c>
      <c r="EU55" t="e">
        <f>AND(Bills!H117,"AAAAAF/d85Y=")</f>
        <v>#VALUE!</v>
      </c>
      <c r="EV55" t="e">
        <f>AND(Bills!I117,"AAAAAF/d85c=")</f>
        <v>#VALUE!</v>
      </c>
      <c r="EW55" t="e">
        <f>AND(Bills!J117,"AAAAAF/d85g=")</f>
        <v>#VALUE!</v>
      </c>
      <c r="EX55" t="e">
        <f>AND(Bills!K117,"AAAAAF/d85k=")</f>
        <v>#VALUE!</v>
      </c>
      <c r="EY55" t="e">
        <f>AND(Bills!L117,"AAAAAF/d85o=")</f>
        <v>#VALUE!</v>
      </c>
      <c r="EZ55" t="e">
        <f>AND(Bills!#REF!,"AAAAAF/d85s=")</f>
        <v>#REF!</v>
      </c>
      <c r="FA55" t="e">
        <f>AND(Bills!M117,"AAAAAF/d85w=")</f>
        <v>#VALUE!</v>
      </c>
      <c r="FB55" t="e">
        <f>AND(Bills!N117,"AAAAAF/d850=")</f>
        <v>#VALUE!</v>
      </c>
      <c r="FC55" t="e">
        <f>AND(Bills!O117,"AAAAAF/d854=")</f>
        <v>#VALUE!</v>
      </c>
      <c r="FD55" t="e">
        <f>AND(Bills!P117,"AAAAAF/d858=")</f>
        <v>#VALUE!</v>
      </c>
      <c r="FE55" t="e">
        <f>AND(Bills!Q117,"AAAAAF/d86A=")</f>
        <v>#VALUE!</v>
      </c>
      <c r="FF55" t="e">
        <f>AND(Bills!R117,"AAAAAF/d86E=")</f>
        <v>#VALUE!</v>
      </c>
      <c r="FG55" t="e">
        <f>AND(Bills!S117,"AAAAAF/d86I=")</f>
        <v>#VALUE!</v>
      </c>
      <c r="FH55" t="e">
        <f>AND(Bills!T117,"AAAAAF/d86M=")</f>
        <v>#VALUE!</v>
      </c>
      <c r="FI55" t="e">
        <f>AND(Bills!#REF!,"AAAAAF/d86Q=")</f>
        <v>#REF!</v>
      </c>
      <c r="FJ55" t="e">
        <f>AND(Bills!U117,"AAAAAF/d86U=")</f>
        <v>#VALUE!</v>
      </c>
      <c r="FK55" t="e">
        <f>AND(Bills!V117,"AAAAAF/d86Y=")</f>
        <v>#VALUE!</v>
      </c>
      <c r="FL55" t="e">
        <f>AND(Bills!W117,"AAAAAF/d86c=")</f>
        <v>#VALUE!</v>
      </c>
      <c r="FM55" t="e">
        <f>AND(Bills!#REF!,"AAAAAF/d86g=")</f>
        <v>#REF!</v>
      </c>
      <c r="FN55" t="e">
        <f>AND(Bills!#REF!,"AAAAAF/d86k=")</f>
        <v>#REF!</v>
      </c>
      <c r="FO55" t="e">
        <f>AND(Bills!Y117,"AAAAAF/d86o=")</f>
        <v>#VALUE!</v>
      </c>
      <c r="FP55" t="e">
        <f>AND(Bills!Z117,"AAAAAF/d86s=")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AND(Bills!AA117,"AAAAAF/d87U=")</f>
        <v>#VALUE!</v>
      </c>
      <c r="GA55" t="e">
        <f>AND(Bills!AB117,"AAAAAF/d87Y=")</f>
        <v>#VALUE!</v>
      </c>
      <c r="GB55" t="e">
        <f>AND(Bills!#REF!,"AAAAAF/d87c=")</f>
        <v>#REF!</v>
      </c>
      <c r="GC55" t="e">
        <f>AND(Bills!#REF!,"AAAAAF/d87g=")</f>
        <v>#REF!</v>
      </c>
      <c r="GD55" t="e">
        <f>AND(Bills!#REF!,"AAAAAF/d87k=")</f>
        <v>#REF!</v>
      </c>
      <c r="GE55" t="e">
        <f>AND(Bills!AC117,"AAAAAF/d87o=")</f>
        <v>#VALUE!</v>
      </c>
      <c r="GF55" t="e">
        <f>AND(Bills!AD117,"AAAAAF/d87s=")</f>
        <v>#VALUE!</v>
      </c>
      <c r="GG55" t="e">
        <f>AND(Bills!#REF!,"AAAAAF/d87w=")</f>
        <v>#REF!</v>
      </c>
      <c r="GH55">
        <f>IF(Bills!118:118,"AAAAAF/d870=",0)</f>
        <v>0</v>
      </c>
      <c r="GI55" t="e">
        <f>AND(Bills!B118,"AAAAAF/d874=")</f>
        <v>#VALUE!</v>
      </c>
      <c r="GJ55" t="e">
        <f>AND(Bills!#REF!,"AAAAAF/d878=")</f>
        <v>#REF!</v>
      </c>
      <c r="GK55" t="e">
        <f>AND(Bills!C118,"AAAAAF/d88A=")</f>
        <v>#VALUE!</v>
      </c>
      <c r="GL55" t="e">
        <f>AND(Bills!D118,"AAAAAF/d88E=")</f>
        <v>#VALUE!</v>
      </c>
      <c r="GM55" t="e">
        <f>AND(Bills!E118,"AAAAAF/d88I=")</f>
        <v>#VALUE!</v>
      </c>
      <c r="GN55" t="e">
        <f>AND(Bills!#REF!,"AAAAAF/d88M=")</f>
        <v>#REF!</v>
      </c>
      <c r="GO55" t="e">
        <f>AND(Bills!#REF!,"AAAAAF/d88Q=")</f>
        <v>#REF!</v>
      </c>
      <c r="GP55" t="e">
        <f>AND(Bills!#REF!,"AAAAAF/d88U=")</f>
        <v>#REF!</v>
      </c>
      <c r="GQ55" t="e">
        <f>AND(Bills!F118,"AAAAAF/d88Y=")</f>
        <v>#VALUE!</v>
      </c>
      <c r="GR55" t="e">
        <f>AND(Bills!#REF!,"AAAAAF/d88c=")</f>
        <v>#REF!</v>
      </c>
      <c r="GS55" t="e">
        <f>AND(Bills!G118,"AAAAAF/d88g=")</f>
        <v>#VALUE!</v>
      </c>
      <c r="GT55" t="e">
        <f>AND(Bills!H118,"AAAAAF/d88k=")</f>
        <v>#VALUE!</v>
      </c>
      <c r="GU55" t="e">
        <f>AND(Bills!I118,"AAAAAF/d88o=")</f>
        <v>#VALUE!</v>
      </c>
      <c r="GV55" t="e">
        <f>AND(Bills!J118,"AAAAAF/d88s=")</f>
        <v>#VALUE!</v>
      </c>
      <c r="GW55" t="e">
        <f>AND(Bills!K118,"AAAAAF/d88w=")</f>
        <v>#VALUE!</v>
      </c>
      <c r="GX55" t="e">
        <f>AND(Bills!L118,"AAAAAF/d880=")</f>
        <v>#VALUE!</v>
      </c>
      <c r="GY55" t="e">
        <f>AND(Bills!#REF!,"AAAAAF/d884=")</f>
        <v>#REF!</v>
      </c>
      <c r="GZ55" t="e">
        <f>AND(Bills!M118,"AAAAAF/d888=")</f>
        <v>#VALUE!</v>
      </c>
      <c r="HA55" t="e">
        <f>AND(Bills!N118,"AAAAAF/d89A=")</f>
        <v>#VALUE!</v>
      </c>
      <c r="HB55" t="e">
        <f>AND(Bills!O118,"AAAAAF/d89E=")</f>
        <v>#VALUE!</v>
      </c>
      <c r="HC55" t="e">
        <f>AND(Bills!P118,"AAAAAF/d89I=")</f>
        <v>#VALUE!</v>
      </c>
      <c r="HD55" t="e">
        <f>AND(Bills!Q118,"AAAAAF/d89M=")</f>
        <v>#VALUE!</v>
      </c>
      <c r="HE55" t="e">
        <f>AND(Bills!R118,"AAAAAF/d89Q=")</f>
        <v>#VALUE!</v>
      </c>
      <c r="HF55" t="e">
        <f>AND(Bills!S118,"AAAAAF/d89U=")</f>
        <v>#VALUE!</v>
      </c>
      <c r="HG55" t="e">
        <f>AND(Bills!T118,"AAAAAF/d89Y=")</f>
        <v>#VALUE!</v>
      </c>
      <c r="HH55" t="e">
        <f>AND(Bills!#REF!,"AAAAAF/d89c=")</f>
        <v>#REF!</v>
      </c>
      <c r="HI55" t="e">
        <f>AND(Bills!U118,"AAAAAF/d89g=")</f>
        <v>#VALUE!</v>
      </c>
      <c r="HJ55" t="e">
        <f>AND(Bills!V118,"AAAAAF/d89k=")</f>
        <v>#VALUE!</v>
      </c>
      <c r="HK55" t="e">
        <f>AND(Bills!W118,"AAAAAF/d89o=")</f>
        <v>#VALUE!</v>
      </c>
      <c r="HL55" t="e">
        <f>AND(Bills!#REF!,"AAAAAF/d89s=")</f>
        <v>#REF!</v>
      </c>
      <c r="HM55" t="e">
        <f>AND(Bills!#REF!,"AAAAAF/d89w=")</f>
        <v>#REF!</v>
      </c>
      <c r="HN55" t="e">
        <f>AND(Bills!Y118,"AAAAAF/d890=")</f>
        <v>#VALUE!</v>
      </c>
      <c r="HO55" t="e">
        <f>AND(Bills!Z118,"AAAAAF/d894=")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AND(Bills!AA118,"AAAAAF/d8+g=")</f>
        <v>#VALUE!</v>
      </c>
      <c r="HZ55" t="e">
        <f>AND(Bills!AB118,"AAAAAF/d8+k=")</f>
        <v>#VALUE!</v>
      </c>
      <c r="IA55" t="e">
        <f>AND(Bills!#REF!,"AAAAAF/d8+o=")</f>
        <v>#REF!</v>
      </c>
      <c r="IB55" t="e">
        <f>AND(Bills!#REF!,"AAAAAF/d8+s=")</f>
        <v>#REF!</v>
      </c>
      <c r="IC55" t="e">
        <f>AND(Bills!#REF!,"AAAAAF/d8+w=")</f>
        <v>#REF!</v>
      </c>
      <c r="ID55" t="e">
        <f>AND(Bills!AC118,"AAAAAF/d8+0=")</f>
        <v>#VALUE!</v>
      </c>
      <c r="IE55" t="e">
        <f>AND(Bills!AD118,"AAAAAF/d8+4=")</f>
        <v>#VALUE!</v>
      </c>
      <c r="IF55" t="e">
        <f>AND(Bills!#REF!,"AAAAAF/d8+8=")</f>
        <v>#REF!</v>
      </c>
      <c r="IG55">
        <f>IF(Bills!119:119,"AAAAAF/d8/A=",0)</f>
        <v>0</v>
      </c>
      <c r="IH55" t="e">
        <f>AND(Bills!B119,"AAAAAF/d8/E=")</f>
        <v>#VALUE!</v>
      </c>
      <c r="II55" t="e">
        <f>AND(Bills!#REF!,"AAAAAF/d8/I=")</f>
        <v>#REF!</v>
      </c>
      <c r="IJ55" t="e">
        <f>AND(Bills!C119,"AAAAAF/d8/M=")</f>
        <v>#VALUE!</v>
      </c>
      <c r="IK55" t="e">
        <f>AND(Bills!D119,"AAAAAF/d8/Q=")</f>
        <v>#VALUE!</v>
      </c>
      <c r="IL55" t="e">
        <f>AND(Bills!E119,"AAAAAF/d8/U=")</f>
        <v>#VALUE!</v>
      </c>
      <c r="IM55" t="e">
        <f>AND(Bills!#REF!,"AAAAAF/d8/Y=")</f>
        <v>#REF!</v>
      </c>
      <c r="IN55" t="e">
        <f>AND(Bills!#REF!,"AAAAAF/d8/c=")</f>
        <v>#REF!</v>
      </c>
      <c r="IO55" t="e">
        <f>AND(Bills!#REF!,"AAAAAF/d8/g=")</f>
        <v>#REF!</v>
      </c>
      <c r="IP55" t="e">
        <f>AND(Bills!F119,"AAAAAF/d8/k=")</f>
        <v>#VALUE!</v>
      </c>
      <c r="IQ55" t="e">
        <f>AND(Bills!#REF!,"AAAAAF/d8/o=")</f>
        <v>#REF!</v>
      </c>
      <c r="IR55" t="e">
        <f>AND(Bills!G119,"AAAAAF/d8/s=")</f>
        <v>#VALUE!</v>
      </c>
      <c r="IS55" t="e">
        <f>AND(Bills!H119,"AAAAAF/d8/w=")</f>
        <v>#VALUE!</v>
      </c>
      <c r="IT55" t="e">
        <f>AND(Bills!I119,"AAAAAF/d8/0=")</f>
        <v>#VALUE!</v>
      </c>
      <c r="IU55" t="e">
        <f>AND(Bills!J119,"AAAAAF/d8/4=")</f>
        <v>#VALUE!</v>
      </c>
      <c r="IV55" t="e">
        <f>AND(Bills!K119,"AAAAAF/d8/8=")</f>
        <v>#VALUE!</v>
      </c>
    </row>
    <row r="56" spans="1:256">
      <c r="A56" t="e">
        <f>AND(Bills!L119,"AAAAAFfvNQA=")</f>
        <v>#VALUE!</v>
      </c>
      <c r="B56" t="e">
        <f>AND(Bills!#REF!,"AAAAAFfvNQE=")</f>
        <v>#REF!</v>
      </c>
      <c r="C56" t="e">
        <f>AND(Bills!M119,"AAAAAFfvNQI=")</f>
        <v>#VALUE!</v>
      </c>
      <c r="D56" t="e">
        <f>AND(Bills!N119,"AAAAAFfvNQM=")</f>
        <v>#VALUE!</v>
      </c>
      <c r="E56" t="e">
        <f>AND(Bills!O119,"AAAAAFfvNQQ=")</f>
        <v>#VALUE!</v>
      </c>
      <c r="F56" t="e">
        <f>AND(Bills!P119,"AAAAAFfvNQU=")</f>
        <v>#VALUE!</v>
      </c>
      <c r="G56" t="e">
        <f>AND(Bills!Q119,"AAAAAFfvNQY=")</f>
        <v>#VALUE!</v>
      </c>
      <c r="H56" t="e">
        <f>AND(Bills!R119,"AAAAAFfvNQc=")</f>
        <v>#VALUE!</v>
      </c>
      <c r="I56" t="e">
        <f>AND(Bills!S119,"AAAAAFfvNQg=")</f>
        <v>#VALUE!</v>
      </c>
      <c r="J56" t="e">
        <f>AND(Bills!T119,"AAAAAFfvNQk=")</f>
        <v>#VALUE!</v>
      </c>
      <c r="K56" t="e">
        <f>AND(Bills!#REF!,"AAAAAFfvNQo=")</f>
        <v>#REF!</v>
      </c>
      <c r="L56" t="e">
        <f>AND(Bills!U119,"AAAAAFfvNQs=")</f>
        <v>#VALUE!</v>
      </c>
      <c r="M56" t="e">
        <f>AND(Bills!V119,"AAAAAFfvNQw=")</f>
        <v>#VALUE!</v>
      </c>
      <c r="N56" t="e">
        <f>AND(Bills!W119,"AAAAAFfvNQ0=")</f>
        <v>#VALUE!</v>
      </c>
      <c r="O56" t="e">
        <f>AND(Bills!#REF!,"AAAAAFfvNQ4=")</f>
        <v>#REF!</v>
      </c>
      <c r="P56" t="e">
        <f>AND(Bills!#REF!,"AAAAAFfvNQ8=")</f>
        <v>#REF!</v>
      </c>
      <c r="Q56" t="e">
        <f>AND(Bills!Y119,"AAAAAFfvNRA=")</f>
        <v>#VALUE!</v>
      </c>
      <c r="R56" t="e">
        <f>AND(Bills!Z119,"AAAAAFfvNRE=")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AND(Bills!AA119,"AAAAAFfvNRs=")</f>
        <v>#VALUE!</v>
      </c>
      <c r="AC56" t="e">
        <f>AND(Bills!AB119,"AAAAAFfvNRw=")</f>
        <v>#VALUE!</v>
      </c>
      <c r="AD56" t="e">
        <f>AND(Bills!#REF!,"AAAAAFfvNR0=")</f>
        <v>#REF!</v>
      </c>
      <c r="AE56" t="e">
        <f>AND(Bills!#REF!,"AAAAAFfvNR4=")</f>
        <v>#REF!</v>
      </c>
      <c r="AF56" t="e">
        <f>AND(Bills!#REF!,"AAAAAFfvNR8=")</f>
        <v>#REF!</v>
      </c>
      <c r="AG56" t="e">
        <f>AND(Bills!AC119,"AAAAAFfvNSA=")</f>
        <v>#VALUE!</v>
      </c>
      <c r="AH56" t="e">
        <f>AND(Bills!AD119,"AAAAAFfvNSE=")</f>
        <v>#VALUE!</v>
      </c>
      <c r="AI56" t="e">
        <f>AND(Bills!#REF!,"AAAAAFfvNSI=")</f>
        <v>#REF!</v>
      </c>
      <c r="AJ56">
        <f>IF(Bills!120:120,"AAAAAFfvNSM=",0)</f>
        <v>0</v>
      </c>
      <c r="AK56" t="e">
        <f>AND(Bills!B120,"AAAAAFfvNSQ=")</f>
        <v>#VALUE!</v>
      </c>
      <c r="AL56" t="e">
        <f>AND(Bills!#REF!,"AAAAAFfvNSU=")</f>
        <v>#REF!</v>
      </c>
      <c r="AM56" t="e">
        <f>AND(Bills!C120,"AAAAAFfvNSY=")</f>
        <v>#VALUE!</v>
      </c>
      <c r="AN56" t="e">
        <f>AND(Bills!D120,"AAAAAFfvNSc=")</f>
        <v>#VALUE!</v>
      </c>
      <c r="AO56" t="e">
        <f>AND(Bills!E120,"AAAAAFfvNSg=")</f>
        <v>#VALUE!</v>
      </c>
      <c r="AP56" t="e">
        <f>AND(Bills!#REF!,"AAAAAFfvNSk=")</f>
        <v>#REF!</v>
      </c>
      <c r="AQ56" t="e">
        <f>AND(Bills!#REF!,"AAAAAFfvNSo=")</f>
        <v>#REF!</v>
      </c>
      <c r="AR56" t="e">
        <f>AND(Bills!#REF!,"AAAAAFfvNSs=")</f>
        <v>#REF!</v>
      </c>
      <c r="AS56" t="e">
        <f>AND(Bills!F120,"AAAAAFfvNSw=")</f>
        <v>#VALUE!</v>
      </c>
      <c r="AT56" t="e">
        <f>AND(Bills!#REF!,"AAAAAFfvNS0=")</f>
        <v>#REF!</v>
      </c>
      <c r="AU56" t="e">
        <f>AND(Bills!G120,"AAAAAFfvNS4=")</f>
        <v>#VALUE!</v>
      </c>
      <c r="AV56" t="e">
        <f>AND(Bills!H120,"AAAAAFfvNS8=")</f>
        <v>#VALUE!</v>
      </c>
      <c r="AW56" t="e">
        <f>AND(Bills!I120,"AAAAAFfvNTA=")</f>
        <v>#VALUE!</v>
      </c>
      <c r="AX56" t="e">
        <f>AND(Bills!J120,"AAAAAFfvNTE=")</f>
        <v>#VALUE!</v>
      </c>
      <c r="AY56" t="e">
        <f>AND(Bills!K120,"AAAAAFfvNTI=")</f>
        <v>#VALUE!</v>
      </c>
      <c r="AZ56" t="e">
        <f>AND(Bills!L120,"AAAAAFfvNTM=")</f>
        <v>#VALUE!</v>
      </c>
      <c r="BA56" t="e">
        <f>AND(Bills!#REF!,"AAAAAFfvNTQ=")</f>
        <v>#REF!</v>
      </c>
      <c r="BB56" t="e">
        <f>AND(Bills!M120,"AAAAAFfvNTU=")</f>
        <v>#VALUE!</v>
      </c>
      <c r="BC56" t="e">
        <f>AND(Bills!N120,"AAAAAFfvNTY=")</f>
        <v>#VALUE!</v>
      </c>
      <c r="BD56" t="e">
        <f>AND(Bills!O120,"AAAAAFfvNTc=")</f>
        <v>#VALUE!</v>
      </c>
      <c r="BE56" t="e">
        <f>AND(Bills!P120,"AAAAAFfvNTg=")</f>
        <v>#VALUE!</v>
      </c>
      <c r="BF56" t="e">
        <f>AND(Bills!Q120,"AAAAAFfvNTk=")</f>
        <v>#VALUE!</v>
      </c>
      <c r="BG56" t="e">
        <f>AND(Bills!R120,"AAAAAFfvNTo=")</f>
        <v>#VALUE!</v>
      </c>
      <c r="BH56" t="e">
        <f>AND(Bills!S120,"AAAAAFfvNTs=")</f>
        <v>#VALUE!</v>
      </c>
      <c r="BI56" t="e">
        <f>AND(Bills!T120,"AAAAAFfvNTw=")</f>
        <v>#VALUE!</v>
      </c>
      <c r="BJ56" t="e">
        <f>AND(Bills!#REF!,"AAAAAFfvNT0=")</f>
        <v>#REF!</v>
      </c>
      <c r="BK56" t="e">
        <f>AND(Bills!U120,"AAAAAFfvNT4=")</f>
        <v>#VALUE!</v>
      </c>
      <c r="BL56" t="e">
        <f>AND(Bills!V120,"AAAAAFfvNT8=")</f>
        <v>#VALUE!</v>
      </c>
      <c r="BM56" t="e">
        <f>AND(Bills!W120,"AAAAAFfvNUA=")</f>
        <v>#VALUE!</v>
      </c>
      <c r="BN56" t="e">
        <f>AND(Bills!#REF!,"AAAAAFfvNUE=")</f>
        <v>#REF!</v>
      </c>
      <c r="BO56" t="e">
        <f>AND(Bills!#REF!,"AAAAAFfvNUI=")</f>
        <v>#REF!</v>
      </c>
      <c r="BP56" t="e">
        <f>AND(Bills!Y120,"AAAAAFfvNUM=")</f>
        <v>#VALUE!</v>
      </c>
      <c r="BQ56" t="e">
        <f>AND(Bills!Z120,"AAAAAFfvNUQ=")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AND(Bills!AA120,"AAAAAFfvNU4=")</f>
        <v>#VALUE!</v>
      </c>
      <c r="CB56" t="e">
        <f>AND(Bills!AB120,"AAAAAFfvNU8=")</f>
        <v>#VALUE!</v>
      </c>
      <c r="CC56" t="e">
        <f>AND(Bills!#REF!,"AAAAAFfvNVA=")</f>
        <v>#REF!</v>
      </c>
      <c r="CD56" t="e">
        <f>AND(Bills!#REF!,"AAAAAFfvNVE=")</f>
        <v>#REF!</v>
      </c>
      <c r="CE56" t="e">
        <f>AND(Bills!#REF!,"AAAAAFfvNVI=")</f>
        <v>#REF!</v>
      </c>
      <c r="CF56" t="e">
        <f>AND(Bills!AC120,"AAAAAFfvNVM=")</f>
        <v>#VALUE!</v>
      </c>
      <c r="CG56" t="e">
        <f>AND(Bills!AD120,"AAAAAFfvNVQ=")</f>
        <v>#VALUE!</v>
      </c>
      <c r="CH56" t="e">
        <f>AND(Bills!#REF!,"AAAAAFfvNVU=")</f>
        <v>#REF!</v>
      </c>
      <c r="CI56">
        <f>IF(Bills!121:121,"AAAAAFfvNVY=",0)</f>
        <v>0</v>
      </c>
      <c r="CJ56" t="e">
        <f>AND(Bills!B121,"AAAAAFfvNVc=")</f>
        <v>#VALUE!</v>
      </c>
      <c r="CK56" t="e">
        <f>AND(Bills!#REF!,"AAAAAFfvNVg=")</f>
        <v>#REF!</v>
      </c>
      <c r="CL56" t="e">
        <f>AND(Bills!C121,"AAAAAFfvNVk=")</f>
        <v>#VALUE!</v>
      </c>
      <c r="CM56" t="e">
        <f>AND(Bills!D121,"AAAAAFfvNVo=")</f>
        <v>#VALUE!</v>
      </c>
      <c r="CN56" t="e">
        <f>AND(Bills!E121,"AAAAAFfvNVs=")</f>
        <v>#VALUE!</v>
      </c>
      <c r="CO56" t="e">
        <f>AND(Bills!#REF!,"AAAAAFfvNVw=")</f>
        <v>#REF!</v>
      </c>
      <c r="CP56" t="e">
        <f>AND(Bills!#REF!,"AAAAAFfvNV0=")</f>
        <v>#REF!</v>
      </c>
      <c r="CQ56" t="e">
        <f>AND(Bills!#REF!,"AAAAAFfvNV4=")</f>
        <v>#REF!</v>
      </c>
      <c r="CR56" t="e">
        <f>AND(Bills!F121,"AAAAAFfvNV8=")</f>
        <v>#VALUE!</v>
      </c>
      <c r="CS56" t="e">
        <f>AND(Bills!#REF!,"AAAAAFfvNWA=")</f>
        <v>#REF!</v>
      </c>
      <c r="CT56" t="e">
        <f>AND(Bills!G121,"AAAAAFfvNWE=")</f>
        <v>#VALUE!</v>
      </c>
      <c r="CU56" t="e">
        <f>AND(Bills!H121,"AAAAAFfvNWI=")</f>
        <v>#VALUE!</v>
      </c>
      <c r="CV56" t="e">
        <f>AND(Bills!I121,"AAAAAFfvNWM=")</f>
        <v>#VALUE!</v>
      </c>
      <c r="CW56" t="e">
        <f>AND(Bills!J121,"AAAAAFfvNWQ=")</f>
        <v>#VALUE!</v>
      </c>
      <c r="CX56" t="e">
        <f>AND(Bills!K121,"AAAAAFfvNWU=")</f>
        <v>#VALUE!</v>
      </c>
      <c r="CY56" t="e">
        <f>AND(Bills!L121,"AAAAAFfvNWY=")</f>
        <v>#VALUE!</v>
      </c>
      <c r="CZ56" t="e">
        <f>AND(Bills!#REF!,"AAAAAFfvNWc=")</f>
        <v>#REF!</v>
      </c>
      <c r="DA56" t="e">
        <f>AND(Bills!M121,"AAAAAFfvNWg=")</f>
        <v>#VALUE!</v>
      </c>
      <c r="DB56" t="e">
        <f>AND(Bills!N121,"AAAAAFfvNWk=")</f>
        <v>#VALUE!</v>
      </c>
      <c r="DC56" t="e">
        <f>AND(Bills!O121,"AAAAAFfvNWo=")</f>
        <v>#VALUE!</v>
      </c>
      <c r="DD56" t="e">
        <f>AND(Bills!P121,"AAAAAFfvNWs=")</f>
        <v>#VALUE!</v>
      </c>
      <c r="DE56" t="e">
        <f>AND(Bills!Q121,"AAAAAFfvNWw=")</f>
        <v>#VALUE!</v>
      </c>
      <c r="DF56" t="e">
        <f>AND(Bills!R121,"AAAAAFfvNW0=")</f>
        <v>#VALUE!</v>
      </c>
      <c r="DG56" t="e">
        <f>AND(Bills!S121,"AAAAAFfvNW4=")</f>
        <v>#VALUE!</v>
      </c>
      <c r="DH56" t="e">
        <f>AND(Bills!T121,"AAAAAFfvNW8=")</f>
        <v>#VALUE!</v>
      </c>
      <c r="DI56" t="e">
        <f>AND(Bills!#REF!,"AAAAAFfvNXA=")</f>
        <v>#REF!</v>
      </c>
      <c r="DJ56" t="e">
        <f>AND(Bills!U121,"AAAAAFfvNXE=")</f>
        <v>#VALUE!</v>
      </c>
      <c r="DK56" t="e">
        <f>AND(Bills!V121,"AAAAAFfvNXI=")</f>
        <v>#VALUE!</v>
      </c>
      <c r="DL56" t="e">
        <f>AND(Bills!W121,"AAAAAFfvNXM=")</f>
        <v>#VALUE!</v>
      </c>
      <c r="DM56" t="e">
        <f>AND(Bills!#REF!,"AAAAAFfvNXQ=")</f>
        <v>#REF!</v>
      </c>
      <c r="DN56" t="e">
        <f>AND(Bills!#REF!,"AAAAAFfvNXU=")</f>
        <v>#REF!</v>
      </c>
      <c r="DO56" t="e">
        <f>AND(Bills!Y121,"AAAAAFfvNXY=")</f>
        <v>#VALUE!</v>
      </c>
      <c r="DP56" t="e">
        <f>AND(Bills!Z121,"AAAAAFfvNXc=")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AND(Bills!AA121,"AAAAAFfvNYE=")</f>
        <v>#VALUE!</v>
      </c>
      <c r="EA56" t="e">
        <f>AND(Bills!AB121,"AAAAAFfvNYI=")</f>
        <v>#VALUE!</v>
      </c>
      <c r="EB56" t="e">
        <f>AND(Bills!#REF!,"AAAAAFfvNYM=")</f>
        <v>#REF!</v>
      </c>
      <c r="EC56" t="e">
        <f>AND(Bills!#REF!,"AAAAAFfvNYQ=")</f>
        <v>#REF!</v>
      </c>
      <c r="ED56" t="e">
        <f>AND(Bills!#REF!,"AAAAAFfvNYU=")</f>
        <v>#REF!</v>
      </c>
      <c r="EE56" t="e">
        <f>AND(Bills!AC121,"AAAAAFfvNYY=")</f>
        <v>#VALUE!</v>
      </c>
      <c r="EF56" t="e">
        <f>AND(Bills!AD121,"AAAAAFfvNYc=")</f>
        <v>#VALUE!</v>
      </c>
      <c r="EG56" t="e">
        <f>AND(Bills!#REF!,"AAAAAFfvNYg=")</f>
        <v>#REF!</v>
      </c>
      <c r="EH56">
        <f>IF(Bills!122:122,"AAAAAFfvNYk=",0)</f>
        <v>0</v>
      </c>
      <c r="EI56" t="e">
        <f>AND(Bills!B122,"AAAAAFfvNYo=")</f>
        <v>#VALUE!</v>
      </c>
      <c r="EJ56" t="e">
        <f>AND(Bills!#REF!,"AAAAAFfvNYs=")</f>
        <v>#REF!</v>
      </c>
      <c r="EK56" t="e">
        <f>AND(Bills!C122,"AAAAAFfvNYw=")</f>
        <v>#VALUE!</v>
      </c>
      <c r="EL56" t="e">
        <f>AND(Bills!D122,"AAAAAFfvNY0=")</f>
        <v>#VALUE!</v>
      </c>
      <c r="EM56" t="e">
        <f>AND(Bills!E122,"AAAAAFfvNY4=")</f>
        <v>#VALUE!</v>
      </c>
      <c r="EN56" t="e">
        <f>AND(Bills!#REF!,"AAAAAFfvNY8=")</f>
        <v>#REF!</v>
      </c>
      <c r="EO56" t="e">
        <f>AND(Bills!#REF!,"AAAAAFfvNZA=")</f>
        <v>#REF!</v>
      </c>
      <c r="EP56" t="e">
        <f>AND(Bills!#REF!,"AAAAAFfvNZE=")</f>
        <v>#REF!</v>
      </c>
      <c r="EQ56" t="e">
        <f>AND(Bills!F122,"AAAAAFfvNZI=")</f>
        <v>#VALUE!</v>
      </c>
      <c r="ER56" t="e">
        <f>AND(Bills!#REF!,"AAAAAFfvNZM=")</f>
        <v>#REF!</v>
      </c>
      <c r="ES56" t="e">
        <f>AND(Bills!G122,"AAAAAFfvNZQ=")</f>
        <v>#VALUE!</v>
      </c>
      <c r="ET56" t="e">
        <f>AND(Bills!H122,"AAAAAFfvNZU=")</f>
        <v>#VALUE!</v>
      </c>
      <c r="EU56" t="e">
        <f>AND(Bills!I122,"AAAAAFfvNZY=")</f>
        <v>#VALUE!</v>
      </c>
      <c r="EV56" t="e">
        <f>AND(Bills!J122,"AAAAAFfvNZc=")</f>
        <v>#VALUE!</v>
      </c>
      <c r="EW56" t="e">
        <f>AND(Bills!K122,"AAAAAFfvNZg=")</f>
        <v>#VALUE!</v>
      </c>
      <c r="EX56" t="e">
        <f>AND(Bills!L122,"AAAAAFfvNZk=")</f>
        <v>#VALUE!</v>
      </c>
      <c r="EY56" t="e">
        <f>AND(Bills!#REF!,"AAAAAFfvNZo=")</f>
        <v>#REF!</v>
      </c>
      <c r="EZ56" t="e">
        <f>AND(Bills!M122,"AAAAAFfvNZs=")</f>
        <v>#VALUE!</v>
      </c>
      <c r="FA56" t="e">
        <f>AND(Bills!N122,"AAAAAFfvNZw=")</f>
        <v>#VALUE!</v>
      </c>
      <c r="FB56" t="e">
        <f>AND(Bills!O122,"AAAAAFfvNZ0=")</f>
        <v>#VALUE!</v>
      </c>
      <c r="FC56" t="e">
        <f>AND(Bills!P122,"AAAAAFfvNZ4=")</f>
        <v>#VALUE!</v>
      </c>
      <c r="FD56" t="e">
        <f>AND(Bills!Q122,"AAAAAFfvNZ8=")</f>
        <v>#VALUE!</v>
      </c>
      <c r="FE56" t="e">
        <f>AND(Bills!R122,"AAAAAFfvNaA=")</f>
        <v>#VALUE!</v>
      </c>
      <c r="FF56" t="e">
        <f>AND(Bills!S122,"AAAAAFfvNaE=")</f>
        <v>#VALUE!</v>
      </c>
      <c r="FG56" t="e">
        <f>AND(Bills!T122,"AAAAAFfvNaI=")</f>
        <v>#VALUE!</v>
      </c>
      <c r="FH56" t="e">
        <f>AND(Bills!#REF!,"AAAAAFfvNaM=")</f>
        <v>#REF!</v>
      </c>
      <c r="FI56" t="e">
        <f>AND(Bills!U122,"AAAAAFfvNaQ=")</f>
        <v>#VALUE!</v>
      </c>
      <c r="FJ56" t="e">
        <f>AND(Bills!V122,"AAAAAFfvNaU=")</f>
        <v>#VALUE!</v>
      </c>
      <c r="FK56" t="e">
        <f>AND(Bills!W122,"AAAAAFfvNaY=")</f>
        <v>#VALUE!</v>
      </c>
      <c r="FL56" t="e">
        <f>AND(Bills!#REF!,"AAAAAFfvNac=")</f>
        <v>#REF!</v>
      </c>
      <c r="FM56" t="e">
        <f>AND(Bills!#REF!,"AAAAAFfvNag=")</f>
        <v>#REF!</v>
      </c>
      <c r="FN56" t="e">
        <f>AND(Bills!Y122,"AAAAAFfvNak=")</f>
        <v>#VALUE!</v>
      </c>
      <c r="FO56" t="e">
        <f>AND(Bills!Z122,"AAAAAFfvNao=")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AND(Bills!AA122,"AAAAAFfvNbQ=")</f>
        <v>#VALUE!</v>
      </c>
      <c r="FZ56" t="e">
        <f>AND(Bills!AB122,"AAAAAFfvNbU=")</f>
        <v>#VALUE!</v>
      </c>
      <c r="GA56" t="e">
        <f>AND(Bills!#REF!,"AAAAAFfvNbY=")</f>
        <v>#REF!</v>
      </c>
      <c r="GB56" t="e">
        <f>AND(Bills!#REF!,"AAAAAFfvNbc=")</f>
        <v>#REF!</v>
      </c>
      <c r="GC56" t="e">
        <f>AND(Bills!#REF!,"AAAAAFfvNbg=")</f>
        <v>#REF!</v>
      </c>
      <c r="GD56" t="e">
        <f>AND(Bills!AC122,"AAAAAFfvNbk=")</f>
        <v>#VALUE!</v>
      </c>
      <c r="GE56" t="e">
        <f>AND(Bills!AD122,"AAAAAFfvNbo=")</f>
        <v>#VALUE!</v>
      </c>
      <c r="GF56" t="e">
        <f>AND(Bills!#REF!,"AAAAAFfvNbs=")</f>
        <v>#REF!</v>
      </c>
      <c r="GG56">
        <f>IF(Bills!123:123,"AAAAAFfvNbw=",0)</f>
        <v>0</v>
      </c>
      <c r="GH56" t="e">
        <f>AND(Bills!B123,"AAAAAFfvNb0=")</f>
        <v>#VALUE!</v>
      </c>
      <c r="GI56" t="e">
        <f>AND(Bills!#REF!,"AAAAAFfvNb4=")</f>
        <v>#REF!</v>
      </c>
      <c r="GJ56" t="e">
        <f>AND(Bills!C123,"AAAAAFfvNb8=")</f>
        <v>#VALUE!</v>
      </c>
      <c r="GK56" t="e">
        <f>AND(Bills!D123,"AAAAAFfvNcA=")</f>
        <v>#VALUE!</v>
      </c>
      <c r="GL56" t="e">
        <f>AND(Bills!E123,"AAAAAFfvNcE=")</f>
        <v>#VALUE!</v>
      </c>
      <c r="GM56" t="e">
        <f>AND(Bills!#REF!,"AAAAAFfvNcI=")</f>
        <v>#REF!</v>
      </c>
      <c r="GN56" t="e">
        <f>AND(Bills!#REF!,"AAAAAFfvNcM=")</f>
        <v>#REF!</v>
      </c>
      <c r="GO56" t="e">
        <f>AND(Bills!#REF!,"AAAAAFfvNcQ=")</f>
        <v>#REF!</v>
      </c>
      <c r="GP56" t="e">
        <f>AND(Bills!F123,"AAAAAFfvNcU=")</f>
        <v>#VALUE!</v>
      </c>
      <c r="GQ56" t="e">
        <f>AND(Bills!#REF!,"AAAAAFfvNcY=")</f>
        <v>#REF!</v>
      </c>
      <c r="GR56" t="e">
        <f>AND(Bills!G123,"AAAAAFfvNcc=")</f>
        <v>#VALUE!</v>
      </c>
      <c r="GS56" t="e">
        <f>AND(Bills!H123,"AAAAAFfvNcg=")</f>
        <v>#VALUE!</v>
      </c>
      <c r="GT56" t="e">
        <f>AND(Bills!I123,"AAAAAFfvNck=")</f>
        <v>#VALUE!</v>
      </c>
      <c r="GU56" t="e">
        <f>AND(Bills!J123,"AAAAAFfvNco=")</f>
        <v>#VALUE!</v>
      </c>
      <c r="GV56" t="e">
        <f>AND(Bills!K123,"AAAAAFfvNcs=")</f>
        <v>#VALUE!</v>
      </c>
      <c r="GW56" t="e">
        <f>AND(Bills!L123,"AAAAAFfvNcw=")</f>
        <v>#VALUE!</v>
      </c>
      <c r="GX56" t="e">
        <f>AND(Bills!#REF!,"AAAAAFfvNc0=")</f>
        <v>#REF!</v>
      </c>
      <c r="GY56" t="e">
        <f>AND(Bills!M123,"AAAAAFfvNc4=")</f>
        <v>#VALUE!</v>
      </c>
      <c r="GZ56" t="e">
        <f>AND(Bills!N123,"AAAAAFfvNc8=")</f>
        <v>#VALUE!</v>
      </c>
      <c r="HA56" t="e">
        <f>AND(Bills!O123,"AAAAAFfvNdA=")</f>
        <v>#VALUE!</v>
      </c>
      <c r="HB56" t="e">
        <f>AND(Bills!P123,"AAAAAFfvNdE=")</f>
        <v>#VALUE!</v>
      </c>
      <c r="HC56" t="e">
        <f>AND(Bills!Q123,"AAAAAFfvNdI=")</f>
        <v>#VALUE!</v>
      </c>
      <c r="HD56" t="e">
        <f>AND(Bills!R123,"AAAAAFfvNdM=")</f>
        <v>#VALUE!</v>
      </c>
      <c r="HE56" t="e">
        <f>AND(Bills!S123,"AAAAAFfvNdQ=")</f>
        <v>#VALUE!</v>
      </c>
      <c r="HF56" t="e">
        <f>AND(Bills!T123,"AAAAAFfvNdU=")</f>
        <v>#VALUE!</v>
      </c>
      <c r="HG56" t="e">
        <f>AND(Bills!#REF!,"AAAAAFfvNdY=")</f>
        <v>#REF!</v>
      </c>
      <c r="HH56" t="e">
        <f>AND(Bills!U123,"AAAAAFfvNdc=")</f>
        <v>#VALUE!</v>
      </c>
      <c r="HI56" t="e">
        <f>AND(Bills!V123,"AAAAAFfvNdg=")</f>
        <v>#VALUE!</v>
      </c>
      <c r="HJ56" t="e">
        <f>AND(Bills!W123,"AAAAAFfvNdk=")</f>
        <v>#VALUE!</v>
      </c>
      <c r="HK56" t="e">
        <f>AND(Bills!#REF!,"AAAAAFfvNdo=")</f>
        <v>#REF!</v>
      </c>
      <c r="HL56" t="e">
        <f>AND(Bills!#REF!,"AAAAAFfvNds=")</f>
        <v>#REF!</v>
      </c>
      <c r="HM56" t="e">
        <f>AND(Bills!Y123,"AAAAAFfvNdw=")</f>
        <v>#VALUE!</v>
      </c>
      <c r="HN56" t="e">
        <f>AND(Bills!Z123,"AAAAAFfvNd0=")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AND(Bills!AA123,"AAAAAFfvNec=")</f>
        <v>#VALUE!</v>
      </c>
      <c r="HY56" t="e">
        <f>AND(Bills!AB123,"AAAAAFfvNeg=")</f>
        <v>#VALUE!</v>
      </c>
      <c r="HZ56" t="e">
        <f>AND(Bills!#REF!,"AAAAAFfvNek=")</f>
        <v>#REF!</v>
      </c>
      <c r="IA56" t="e">
        <f>AND(Bills!#REF!,"AAAAAFfvNeo=")</f>
        <v>#REF!</v>
      </c>
      <c r="IB56" t="e">
        <f>AND(Bills!#REF!,"AAAAAFfvNes=")</f>
        <v>#REF!</v>
      </c>
      <c r="IC56" t="e">
        <f>AND(Bills!AC123,"AAAAAFfvNew=")</f>
        <v>#VALUE!</v>
      </c>
      <c r="ID56" t="e">
        <f>AND(Bills!AD123,"AAAAAFfvNe0=")</f>
        <v>#VALUE!</v>
      </c>
      <c r="IE56" t="e">
        <f>AND(Bills!#REF!,"AAAAAFfvNe4=")</f>
        <v>#REF!</v>
      </c>
      <c r="IF56">
        <f>IF(Bills!124:124,"AAAAAFfvNe8=",0)</f>
        <v>0</v>
      </c>
      <c r="IG56" t="e">
        <f>AND(Bills!B124,"AAAAAFfvNfA=")</f>
        <v>#VALUE!</v>
      </c>
      <c r="IH56" t="e">
        <f>AND(Bills!#REF!,"AAAAAFfvNfE=")</f>
        <v>#REF!</v>
      </c>
      <c r="II56" t="e">
        <f>AND(Bills!C124,"AAAAAFfvNfI=")</f>
        <v>#VALUE!</v>
      </c>
      <c r="IJ56" t="e">
        <f>AND(Bills!D124,"AAAAAFfvNfM=")</f>
        <v>#VALUE!</v>
      </c>
      <c r="IK56" t="e">
        <f>AND(Bills!E124,"AAAAAFfvNfQ=")</f>
        <v>#VALUE!</v>
      </c>
      <c r="IL56" t="e">
        <f>AND(Bills!#REF!,"AAAAAFfvNfU=")</f>
        <v>#REF!</v>
      </c>
      <c r="IM56" t="e">
        <f>AND(Bills!#REF!,"AAAAAFfvNfY=")</f>
        <v>#REF!</v>
      </c>
      <c r="IN56" t="e">
        <f>AND(Bills!#REF!,"AAAAAFfvNfc=")</f>
        <v>#REF!</v>
      </c>
      <c r="IO56" t="e">
        <f>AND(Bills!F124,"AAAAAFfvNfg=")</f>
        <v>#VALUE!</v>
      </c>
      <c r="IP56" t="e">
        <f>AND(Bills!#REF!,"AAAAAFfvNfk=")</f>
        <v>#REF!</v>
      </c>
      <c r="IQ56" t="e">
        <f>AND(Bills!G124,"AAAAAFfvNfo=")</f>
        <v>#VALUE!</v>
      </c>
      <c r="IR56" t="e">
        <f>AND(Bills!H124,"AAAAAFfvNfs=")</f>
        <v>#VALUE!</v>
      </c>
      <c r="IS56" t="e">
        <f>AND(Bills!I124,"AAAAAFfvNfw=")</f>
        <v>#VALUE!</v>
      </c>
      <c r="IT56" t="e">
        <f>AND(Bills!J124,"AAAAAFfvNf0=")</f>
        <v>#VALUE!</v>
      </c>
      <c r="IU56" t="e">
        <f>AND(Bills!K124,"AAAAAFfvNf4=")</f>
        <v>#VALUE!</v>
      </c>
      <c r="IV56" t="e">
        <f>AND(Bills!L124,"AAAAAFfvNf8=")</f>
        <v>#VALUE!</v>
      </c>
    </row>
    <row r="57" spans="1:256">
      <c r="A57" t="e">
        <f>AND(Bills!#REF!,"AAAAAF1/2gA=")</f>
        <v>#REF!</v>
      </c>
      <c r="B57" t="e">
        <f>AND(Bills!M124,"AAAAAF1/2gE=")</f>
        <v>#VALUE!</v>
      </c>
      <c r="C57" t="e">
        <f>AND(Bills!N124,"AAAAAF1/2gI=")</f>
        <v>#VALUE!</v>
      </c>
      <c r="D57" t="e">
        <f>AND(Bills!O124,"AAAAAF1/2gM=")</f>
        <v>#VALUE!</v>
      </c>
      <c r="E57" t="e">
        <f>AND(Bills!P124,"AAAAAF1/2gQ=")</f>
        <v>#VALUE!</v>
      </c>
      <c r="F57" t="e">
        <f>AND(Bills!Q124,"AAAAAF1/2gU=")</f>
        <v>#VALUE!</v>
      </c>
      <c r="G57" t="e">
        <f>AND(Bills!R124,"AAAAAF1/2gY=")</f>
        <v>#VALUE!</v>
      </c>
      <c r="H57" t="e">
        <f>AND(Bills!S124,"AAAAAF1/2gc=")</f>
        <v>#VALUE!</v>
      </c>
      <c r="I57" t="e">
        <f>AND(Bills!T124,"AAAAAF1/2gg=")</f>
        <v>#VALUE!</v>
      </c>
      <c r="J57" t="e">
        <f>AND(Bills!#REF!,"AAAAAF1/2gk=")</f>
        <v>#REF!</v>
      </c>
      <c r="K57" t="e">
        <f>AND(Bills!U124,"AAAAAF1/2go=")</f>
        <v>#VALUE!</v>
      </c>
      <c r="L57" t="e">
        <f>AND(Bills!V124,"AAAAAF1/2gs=")</f>
        <v>#VALUE!</v>
      </c>
      <c r="M57" t="e">
        <f>AND(Bills!W124,"AAAAAF1/2gw=")</f>
        <v>#VALUE!</v>
      </c>
      <c r="N57" t="e">
        <f>AND(Bills!#REF!,"AAAAAF1/2g0=")</f>
        <v>#REF!</v>
      </c>
      <c r="O57" t="e">
        <f>AND(Bills!#REF!,"AAAAAF1/2g4=")</f>
        <v>#REF!</v>
      </c>
      <c r="P57" t="e">
        <f>AND(Bills!Y124,"AAAAAF1/2g8=")</f>
        <v>#VALUE!</v>
      </c>
      <c r="Q57" t="e">
        <f>AND(Bills!Z124,"AAAAAF1/2hA=")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AND(Bills!AA124,"AAAAAF1/2ho=")</f>
        <v>#VALUE!</v>
      </c>
      <c r="AB57" t="e">
        <f>AND(Bills!AB124,"AAAAAF1/2hs=")</f>
        <v>#VALUE!</v>
      </c>
      <c r="AC57" t="e">
        <f>AND(Bills!#REF!,"AAAAAF1/2hw=")</f>
        <v>#REF!</v>
      </c>
      <c r="AD57" t="e">
        <f>AND(Bills!#REF!,"AAAAAF1/2h0=")</f>
        <v>#REF!</v>
      </c>
      <c r="AE57" t="e">
        <f>AND(Bills!#REF!,"AAAAAF1/2h4=")</f>
        <v>#REF!</v>
      </c>
      <c r="AF57" t="e">
        <f>AND(Bills!AC124,"AAAAAF1/2h8=")</f>
        <v>#VALUE!</v>
      </c>
      <c r="AG57" t="e">
        <f>AND(Bills!AD124,"AAAAAF1/2iA=")</f>
        <v>#VALUE!</v>
      </c>
      <c r="AH57" t="e">
        <f>AND(Bills!#REF!,"AAAAAF1/2iE=")</f>
        <v>#REF!</v>
      </c>
      <c r="AI57">
        <f>IF(Bills!125:125,"AAAAAF1/2iI=",0)</f>
        <v>0</v>
      </c>
      <c r="AJ57" t="e">
        <f>AND(Bills!B125,"AAAAAF1/2iM=")</f>
        <v>#VALUE!</v>
      </c>
      <c r="AK57" t="e">
        <f>AND(Bills!#REF!,"AAAAAF1/2iQ=")</f>
        <v>#REF!</v>
      </c>
      <c r="AL57" t="e">
        <f>AND(Bills!C125,"AAAAAF1/2iU=")</f>
        <v>#VALUE!</v>
      </c>
      <c r="AM57" t="e">
        <f>AND(Bills!D125,"AAAAAF1/2iY=")</f>
        <v>#VALUE!</v>
      </c>
      <c r="AN57" t="e">
        <f>AND(Bills!E125,"AAAAAF1/2ic=")</f>
        <v>#VALUE!</v>
      </c>
      <c r="AO57" t="e">
        <f>AND(Bills!#REF!,"AAAAAF1/2ig=")</f>
        <v>#REF!</v>
      </c>
      <c r="AP57" t="e">
        <f>AND(Bills!#REF!,"AAAAAF1/2ik=")</f>
        <v>#REF!</v>
      </c>
      <c r="AQ57" t="e">
        <f>AND(Bills!#REF!,"AAAAAF1/2io=")</f>
        <v>#REF!</v>
      </c>
      <c r="AR57" t="e">
        <f>AND(Bills!F125,"AAAAAF1/2is=")</f>
        <v>#VALUE!</v>
      </c>
      <c r="AS57" t="e">
        <f>AND(Bills!#REF!,"AAAAAF1/2iw=")</f>
        <v>#REF!</v>
      </c>
      <c r="AT57" t="e">
        <f>AND(Bills!G125,"AAAAAF1/2i0=")</f>
        <v>#VALUE!</v>
      </c>
      <c r="AU57" t="e">
        <f>AND(Bills!H125,"AAAAAF1/2i4=")</f>
        <v>#VALUE!</v>
      </c>
      <c r="AV57" t="e">
        <f>AND(Bills!I125,"AAAAAF1/2i8=")</f>
        <v>#VALUE!</v>
      </c>
      <c r="AW57" t="e">
        <f>AND(Bills!J125,"AAAAAF1/2jA=")</f>
        <v>#VALUE!</v>
      </c>
      <c r="AX57" t="e">
        <f>AND(Bills!K125,"AAAAAF1/2jE=")</f>
        <v>#VALUE!</v>
      </c>
      <c r="AY57" t="e">
        <f>AND(Bills!L125,"AAAAAF1/2jI=")</f>
        <v>#VALUE!</v>
      </c>
      <c r="AZ57" t="e">
        <f>AND(Bills!#REF!,"AAAAAF1/2jM=")</f>
        <v>#REF!</v>
      </c>
      <c r="BA57" t="e">
        <f>AND(Bills!M125,"AAAAAF1/2jQ=")</f>
        <v>#VALUE!</v>
      </c>
      <c r="BB57" t="e">
        <f>AND(Bills!N125,"AAAAAF1/2jU=")</f>
        <v>#VALUE!</v>
      </c>
      <c r="BC57" t="e">
        <f>AND(Bills!O125,"AAAAAF1/2jY=")</f>
        <v>#VALUE!</v>
      </c>
      <c r="BD57" t="e">
        <f>AND(Bills!P125,"AAAAAF1/2jc=")</f>
        <v>#VALUE!</v>
      </c>
      <c r="BE57" t="e">
        <f>AND(Bills!Q125,"AAAAAF1/2jg=")</f>
        <v>#VALUE!</v>
      </c>
      <c r="BF57" t="e">
        <f>AND(Bills!R125,"AAAAAF1/2jk=")</f>
        <v>#VALUE!</v>
      </c>
      <c r="BG57" t="e">
        <f>AND(Bills!S125,"AAAAAF1/2jo=")</f>
        <v>#VALUE!</v>
      </c>
      <c r="BH57" t="e">
        <f>AND(Bills!T125,"AAAAAF1/2js=")</f>
        <v>#VALUE!</v>
      </c>
      <c r="BI57" t="e">
        <f>AND(Bills!#REF!,"AAAAAF1/2jw=")</f>
        <v>#REF!</v>
      </c>
      <c r="BJ57" t="e">
        <f>AND(Bills!U125,"AAAAAF1/2j0=")</f>
        <v>#VALUE!</v>
      </c>
      <c r="BK57" t="e">
        <f>AND(Bills!V125,"AAAAAF1/2j4=")</f>
        <v>#VALUE!</v>
      </c>
      <c r="BL57" t="e">
        <f>AND(Bills!W125,"AAAAAF1/2j8=")</f>
        <v>#VALUE!</v>
      </c>
      <c r="BM57" t="e">
        <f>AND(Bills!#REF!,"AAAAAF1/2kA=")</f>
        <v>#REF!</v>
      </c>
      <c r="BN57" t="e">
        <f>AND(Bills!#REF!,"AAAAAF1/2kE=")</f>
        <v>#REF!</v>
      </c>
      <c r="BO57" t="e">
        <f>AND(Bills!Y125,"AAAAAF1/2kI=")</f>
        <v>#VALUE!</v>
      </c>
      <c r="BP57" t="e">
        <f>AND(Bills!Z125,"AAAAAF1/2kM=")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AND(Bills!AA125,"AAAAAF1/2k0=")</f>
        <v>#VALUE!</v>
      </c>
      <c r="CA57" t="e">
        <f>AND(Bills!AB125,"AAAAAF1/2k4=")</f>
        <v>#VALUE!</v>
      </c>
      <c r="CB57" t="e">
        <f>AND(Bills!#REF!,"AAAAAF1/2k8=")</f>
        <v>#REF!</v>
      </c>
      <c r="CC57" t="e">
        <f>AND(Bills!#REF!,"AAAAAF1/2lA=")</f>
        <v>#REF!</v>
      </c>
      <c r="CD57" t="e">
        <f>AND(Bills!#REF!,"AAAAAF1/2lE=")</f>
        <v>#REF!</v>
      </c>
      <c r="CE57" t="e">
        <f>AND(Bills!AC125,"AAAAAF1/2lI=")</f>
        <v>#VALUE!</v>
      </c>
      <c r="CF57" t="e">
        <f>AND(Bills!AD125,"AAAAAF1/2lM=")</f>
        <v>#VALUE!</v>
      </c>
      <c r="CG57" t="e">
        <f>AND(Bills!#REF!,"AAAAAF1/2lQ=")</f>
        <v>#REF!</v>
      </c>
      <c r="CH57">
        <f>IF(Bills!126:126,"AAAAAF1/2lU=",0)</f>
        <v>0</v>
      </c>
      <c r="CI57" t="e">
        <f>AND(Bills!B126,"AAAAAF1/2lY=")</f>
        <v>#VALUE!</v>
      </c>
      <c r="CJ57" t="e">
        <f>AND(Bills!#REF!,"AAAAAF1/2lc=")</f>
        <v>#REF!</v>
      </c>
      <c r="CK57" t="e">
        <f>AND(Bills!C126,"AAAAAF1/2lg=")</f>
        <v>#VALUE!</v>
      </c>
      <c r="CL57" t="e">
        <f>AND(Bills!D126,"AAAAAF1/2lk=")</f>
        <v>#VALUE!</v>
      </c>
      <c r="CM57" t="e">
        <f>AND(Bills!E126,"AAAAAF1/2lo=")</f>
        <v>#VALUE!</v>
      </c>
      <c r="CN57" t="e">
        <f>AND(Bills!#REF!,"AAAAAF1/2ls=")</f>
        <v>#REF!</v>
      </c>
      <c r="CO57" t="e">
        <f>AND(Bills!#REF!,"AAAAAF1/2lw=")</f>
        <v>#REF!</v>
      </c>
      <c r="CP57" t="e">
        <f>AND(Bills!#REF!,"AAAAAF1/2l0=")</f>
        <v>#REF!</v>
      </c>
      <c r="CQ57" t="e">
        <f>AND(Bills!F126,"AAAAAF1/2l4=")</f>
        <v>#VALUE!</v>
      </c>
      <c r="CR57" t="e">
        <f>AND(Bills!#REF!,"AAAAAF1/2l8=")</f>
        <v>#REF!</v>
      </c>
      <c r="CS57" t="e">
        <f>AND(Bills!G126,"AAAAAF1/2mA=")</f>
        <v>#VALUE!</v>
      </c>
      <c r="CT57" t="e">
        <f>AND(Bills!H126,"AAAAAF1/2mE=")</f>
        <v>#VALUE!</v>
      </c>
      <c r="CU57" t="e">
        <f>AND(Bills!I126,"AAAAAF1/2mI=")</f>
        <v>#VALUE!</v>
      </c>
      <c r="CV57" t="e">
        <f>AND(Bills!J126,"AAAAAF1/2mM=")</f>
        <v>#VALUE!</v>
      </c>
      <c r="CW57" t="e">
        <f>AND(Bills!K126,"AAAAAF1/2mQ=")</f>
        <v>#VALUE!</v>
      </c>
      <c r="CX57" t="e">
        <f>AND(Bills!L126,"AAAAAF1/2mU=")</f>
        <v>#VALUE!</v>
      </c>
      <c r="CY57" t="e">
        <f>AND(Bills!#REF!,"AAAAAF1/2mY=")</f>
        <v>#REF!</v>
      </c>
      <c r="CZ57" t="e">
        <f>AND(Bills!M126,"AAAAAF1/2mc=")</f>
        <v>#VALUE!</v>
      </c>
      <c r="DA57" t="e">
        <f>AND(Bills!N126,"AAAAAF1/2mg=")</f>
        <v>#VALUE!</v>
      </c>
      <c r="DB57" t="e">
        <f>AND(Bills!O126,"AAAAAF1/2mk=")</f>
        <v>#VALUE!</v>
      </c>
      <c r="DC57" t="e">
        <f>AND(Bills!P126,"AAAAAF1/2mo=")</f>
        <v>#VALUE!</v>
      </c>
      <c r="DD57" t="e">
        <f>AND(Bills!Q126,"AAAAAF1/2ms=")</f>
        <v>#VALUE!</v>
      </c>
      <c r="DE57" t="e">
        <f>AND(Bills!R126,"AAAAAF1/2mw=")</f>
        <v>#VALUE!</v>
      </c>
      <c r="DF57" t="e">
        <f>AND(Bills!S126,"AAAAAF1/2m0=")</f>
        <v>#VALUE!</v>
      </c>
      <c r="DG57" t="e">
        <f>AND(Bills!T126,"AAAAAF1/2m4=")</f>
        <v>#VALUE!</v>
      </c>
      <c r="DH57" t="e">
        <f>AND(Bills!#REF!,"AAAAAF1/2m8=")</f>
        <v>#REF!</v>
      </c>
      <c r="DI57" t="e">
        <f>AND(Bills!U126,"AAAAAF1/2nA=")</f>
        <v>#VALUE!</v>
      </c>
      <c r="DJ57" t="e">
        <f>AND(Bills!V126,"AAAAAF1/2nE=")</f>
        <v>#VALUE!</v>
      </c>
      <c r="DK57" t="e">
        <f>AND(Bills!W126,"AAAAAF1/2nI=")</f>
        <v>#VALUE!</v>
      </c>
      <c r="DL57" t="e">
        <f>AND(Bills!#REF!,"AAAAAF1/2nM=")</f>
        <v>#REF!</v>
      </c>
      <c r="DM57" t="e">
        <f>AND(Bills!#REF!,"AAAAAF1/2nQ=")</f>
        <v>#REF!</v>
      </c>
      <c r="DN57" t="e">
        <f>AND(Bills!Y126,"AAAAAF1/2nU=")</f>
        <v>#VALUE!</v>
      </c>
      <c r="DO57" t="e">
        <f>AND(Bills!Z126,"AAAAAF1/2nY=")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AND(Bills!AA126,"AAAAAF1/2oA=")</f>
        <v>#VALUE!</v>
      </c>
      <c r="DZ57" t="e">
        <f>AND(Bills!AB126,"AAAAAF1/2oE=")</f>
        <v>#VALUE!</v>
      </c>
      <c r="EA57" t="e">
        <f>AND(Bills!#REF!,"AAAAAF1/2oI=")</f>
        <v>#REF!</v>
      </c>
      <c r="EB57" t="e">
        <f>AND(Bills!#REF!,"AAAAAF1/2oM=")</f>
        <v>#REF!</v>
      </c>
      <c r="EC57" t="e">
        <f>AND(Bills!#REF!,"AAAAAF1/2oQ=")</f>
        <v>#REF!</v>
      </c>
      <c r="ED57" t="e">
        <f>AND(Bills!AC126,"AAAAAF1/2oU=")</f>
        <v>#VALUE!</v>
      </c>
      <c r="EE57" t="e">
        <f>AND(Bills!AD126,"AAAAAF1/2oY=")</f>
        <v>#VALUE!</v>
      </c>
      <c r="EF57" t="e">
        <f>AND(Bills!#REF!,"AAAAAF1/2oc=")</f>
        <v>#REF!</v>
      </c>
      <c r="EG57">
        <f>IF(Bills!127:127,"AAAAAF1/2og=",0)</f>
        <v>0</v>
      </c>
      <c r="EH57" t="e">
        <f>AND(Bills!B127,"AAAAAF1/2ok=")</f>
        <v>#VALUE!</v>
      </c>
      <c r="EI57" t="e">
        <f>AND(Bills!#REF!,"AAAAAF1/2oo=")</f>
        <v>#REF!</v>
      </c>
      <c r="EJ57" t="e">
        <f>AND(Bills!C127,"AAAAAF1/2os=")</f>
        <v>#VALUE!</v>
      </c>
      <c r="EK57" t="e">
        <f>AND(Bills!D127,"AAAAAF1/2ow=")</f>
        <v>#VALUE!</v>
      </c>
      <c r="EL57" t="e">
        <f>AND(Bills!E127,"AAAAAF1/2o0=")</f>
        <v>#VALUE!</v>
      </c>
      <c r="EM57" t="e">
        <f>AND(Bills!#REF!,"AAAAAF1/2o4=")</f>
        <v>#REF!</v>
      </c>
      <c r="EN57" t="e">
        <f>AND(Bills!#REF!,"AAAAAF1/2o8=")</f>
        <v>#REF!</v>
      </c>
      <c r="EO57" t="e">
        <f>AND(Bills!#REF!,"AAAAAF1/2pA=")</f>
        <v>#REF!</v>
      </c>
      <c r="EP57" t="e">
        <f>AND(Bills!F127,"AAAAAF1/2pE=")</f>
        <v>#VALUE!</v>
      </c>
      <c r="EQ57" t="e">
        <f>AND(Bills!#REF!,"AAAAAF1/2pI=")</f>
        <v>#REF!</v>
      </c>
      <c r="ER57" t="e">
        <f>AND(Bills!G127,"AAAAAF1/2pM=")</f>
        <v>#VALUE!</v>
      </c>
      <c r="ES57" t="e">
        <f>AND(Bills!H127,"AAAAAF1/2pQ=")</f>
        <v>#VALUE!</v>
      </c>
      <c r="ET57" t="e">
        <f>AND(Bills!I127,"AAAAAF1/2pU=")</f>
        <v>#VALUE!</v>
      </c>
      <c r="EU57" t="e">
        <f>AND(Bills!J127,"AAAAAF1/2pY=")</f>
        <v>#VALUE!</v>
      </c>
      <c r="EV57" t="e">
        <f>AND(Bills!K127,"AAAAAF1/2pc=")</f>
        <v>#VALUE!</v>
      </c>
      <c r="EW57" t="e">
        <f>AND(Bills!L127,"AAAAAF1/2pg=")</f>
        <v>#VALUE!</v>
      </c>
      <c r="EX57" t="e">
        <f>AND(Bills!#REF!,"AAAAAF1/2pk=")</f>
        <v>#REF!</v>
      </c>
      <c r="EY57" t="e">
        <f>AND(Bills!M127,"AAAAAF1/2po=")</f>
        <v>#VALUE!</v>
      </c>
      <c r="EZ57" t="e">
        <f>AND(Bills!N127,"AAAAAF1/2ps=")</f>
        <v>#VALUE!</v>
      </c>
      <c r="FA57" t="e">
        <f>AND(Bills!O127,"AAAAAF1/2pw=")</f>
        <v>#VALUE!</v>
      </c>
      <c r="FB57" t="e">
        <f>AND(Bills!P127,"AAAAAF1/2p0=")</f>
        <v>#VALUE!</v>
      </c>
      <c r="FC57" t="e">
        <f>AND(Bills!Q127,"AAAAAF1/2p4=")</f>
        <v>#VALUE!</v>
      </c>
      <c r="FD57" t="e">
        <f>AND(Bills!R127,"AAAAAF1/2p8=")</f>
        <v>#VALUE!</v>
      </c>
      <c r="FE57" t="e">
        <f>AND(Bills!S127,"AAAAAF1/2qA=")</f>
        <v>#VALUE!</v>
      </c>
      <c r="FF57" t="e">
        <f>AND(Bills!T127,"AAAAAF1/2qE=")</f>
        <v>#VALUE!</v>
      </c>
      <c r="FG57" t="e">
        <f>AND(Bills!#REF!,"AAAAAF1/2qI=")</f>
        <v>#REF!</v>
      </c>
      <c r="FH57" t="e">
        <f>AND(Bills!U127,"AAAAAF1/2qM=")</f>
        <v>#VALUE!</v>
      </c>
      <c r="FI57" t="e">
        <f>AND(Bills!V127,"AAAAAF1/2qQ=")</f>
        <v>#VALUE!</v>
      </c>
      <c r="FJ57" t="e">
        <f>AND(Bills!W127,"AAAAAF1/2qU=")</f>
        <v>#VALUE!</v>
      </c>
      <c r="FK57" t="e">
        <f>AND(Bills!#REF!,"AAAAAF1/2qY=")</f>
        <v>#REF!</v>
      </c>
      <c r="FL57" t="e">
        <f>AND(Bills!#REF!,"AAAAAF1/2qc=")</f>
        <v>#REF!</v>
      </c>
      <c r="FM57" t="e">
        <f>AND(Bills!Y127,"AAAAAF1/2qg=")</f>
        <v>#VALUE!</v>
      </c>
      <c r="FN57" t="e">
        <f>AND(Bills!Z127,"AAAAAF1/2qk=")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AND(Bills!AA127,"AAAAAF1/2rM=")</f>
        <v>#VALUE!</v>
      </c>
      <c r="FY57" t="e">
        <f>AND(Bills!AB127,"AAAAAF1/2rQ=")</f>
        <v>#VALUE!</v>
      </c>
      <c r="FZ57" t="e">
        <f>AND(Bills!#REF!,"AAAAAF1/2rU=")</f>
        <v>#REF!</v>
      </c>
      <c r="GA57" t="e">
        <f>AND(Bills!#REF!,"AAAAAF1/2rY=")</f>
        <v>#REF!</v>
      </c>
      <c r="GB57" t="e">
        <f>AND(Bills!#REF!,"AAAAAF1/2rc=")</f>
        <v>#REF!</v>
      </c>
      <c r="GC57" t="e">
        <f>AND(Bills!AC127,"AAAAAF1/2rg=")</f>
        <v>#VALUE!</v>
      </c>
      <c r="GD57" t="e">
        <f>AND(Bills!AD127,"AAAAAF1/2rk=")</f>
        <v>#VALUE!</v>
      </c>
      <c r="GE57" t="e">
        <f>AND(Bills!#REF!,"AAAAAF1/2ro=")</f>
        <v>#REF!</v>
      </c>
      <c r="GF57">
        <f>IF(Bills!128:128,"AAAAAF1/2rs=",0)</f>
        <v>0</v>
      </c>
      <c r="GG57" t="e">
        <f>AND(Bills!B128,"AAAAAF1/2rw=")</f>
        <v>#VALUE!</v>
      </c>
      <c r="GH57" t="e">
        <f>AND(Bills!#REF!,"AAAAAF1/2r0=")</f>
        <v>#REF!</v>
      </c>
      <c r="GI57" t="e">
        <f>AND(Bills!C128,"AAAAAF1/2r4=")</f>
        <v>#VALUE!</v>
      </c>
      <c r="GJ57" t="e">
        <f>AND(Bills!D128,"AAAAAF1/2r8=")</f>
        <v>#VALUE!</v>
      </c>
      <c r="GK57" t="e">
        <f>AND(Bills!E128,"AAAAAF1/2sA=")</f>
        <v>#VALUE!</v>
      </c>
      <c r="GL57" t="e">
        <f>AND(Bills!#REF!,"AAAAAF1/2sE=")</f>
        <v>#REF!</v>
      </c>
      <c r="GM57" t="e">
        <f>AND(Bills!#REF!,"AAAAAF1/2sI=")</f>
        <v>#REF!</v>
      </c>
      <c r="GN57" t="e">
        <f>AND(Bills!#REF!,"AAAAAF1/2sM=")</f>
        <v>#REF!</v>
      </c>
      <c r="GO57" t="e">
        <f>AND(Bills!F128,"AAAAAF1/2sQ=")</f>
        <v>#VALUE!</v>
      </c>
      <c r="GP57" t="e">
        <f>AND(Bills!#REF!,"AAAAAF1/2sU=")</f>
        <v>#REF!</v>
      </c>
      <c r="GQ57" t="e">
        <f>AND(Bills!G128,"AAAAAF1/2sY=")</f>
        <v>#VALUE!</v>
      </c>
      <c r="GR57" t="e">
        <f>AND(Bills!H128,"AAAAAF1/2sc=")</f>
        <v>#VALUE!</v>
      </c>
      <c r="GS57" t="e">
        <f>AND(Bills!I128,"AAAAAF1/2sg=")</f>
        <v>#VALUE!</v>
      </c>
      <c r="GT57" t="e">
        <f>AND(Bills!J128,"AAAAAF1/2sk=")</f>
        <v>#VALUE!</v>
      </c>
      <c r="GU57" t="e">
        <f>AND(Bills!K128,"AAAAAF1/2so=")</f>
        <v>#VALUE!</v>
      </c>
      <c r="GV57" t="e">
        <f>AND(Bills!L128,"AAAAAF1/2ss=")</f>
        <v>#VALUE!</v>
      </c>
      <c r="GW57" t="e">
        <f>AND(Bills!#REF!,"AAAAAF1/2sw=")</f>
        <v>#REF!</v>
      </c>
      <c r="GX57" t="e">
        <f>AND(Bills!M128,"AAAAAF1/2s0=")</f>
        <v>#VALUE!</v>
      </c>
      <c r="GY57" t="e">
        <f>AND(Bills!N128,"AAAAAF1/2s4=")</f>
        <v>#VALUE!</v>
      </c>
      <c r="GZ57" t="e">
        <f>AND(Bills!O128,"AAAAAF1/2s8=")</f>
        <v>#VALUE!</v>
      </c>
      <c r="HA57" t="e">
        <f>AND(Bills!P128,"AAAAAF1/2tA=")</f>
        <v>#VALUE!</v>
      </c>
      <c r="HB57" t="e">
        <f>AND(Bills!Q128,"AAAAAF1/2tE=")</f>
        <v>#VALUE!</v>
      </c>
      <c r="HC57" t="e">
        <f>AND(Bills!R128,"AAAAAF1/2tI=")</f>
        <v>#VALUE!</v>
      </c>
      <c r="HD57" t="e">
        <f>AND(Bills!S128,"AAAAAF1/2tM=")</f>
        <v>#VALUE!</v>
      </c>
      <c r="HE57" t="e">
        <f>AND(Bills!T128,"AAAAAF1/2tQ=")</f>
        <v>#VALUE!</v>
      </c>
      <c r="HF57" t="e">
        <f>AND(Bills!#REF!,"AAAAAF1/2tU=")</f>
        <v>#REF!</v>
      </c>
      <c r="HG57" t="e">
        <f>AND(Bills!U128,"AAAAAF1/2tY=")</f>
        <v>#VALUE!</v>
      </c>
      <c r="HH57" t="e">
        <f>AND(Bills!V128,"AAAAAF1/2tc=")</f>
        <v>#VALUE!</v>
      </c>
      <c r="HI57" t="e">
        <f>AND(Bills!W128,"AAAAAF1/2tg=")</f>
        <v>#VALUE!</v>
      </c>
      <c r="HJ57" t="e">
        <f>AND(Bills!#REF!,"AAAAAF1/2tk=")</f>
        <v>#REF!</v>
      </c>
      <c r="HK57" t="e">
        <f>AND(Bills!#REF!,"AAAAAF1/2to=")</f>
        <v>#REF!</v>
      </c>
      <c r="HL57" t="e">
        <f>AND(Bills!Y128,"AAAAAF1/2ts=")</f>
        <v>#VALUE!</v>
      </c>
      <c r="HM57" t="e">
        <f>AND(Bills!Z128,"AAAAAF1/2tw=")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AND(Bills!AA128,"AAAAAF1/2uY=")</f>
        <v>#VALUE!</v>
      </c>
      <c r="HX57" t="e">
        <f>AND(Bills!AB128,"AAAAAF1/2uc=")</f>
        <v>#VALUE!</v>
      </c>
      <c r="HY57" t="e">
        <f>AND(Bills!#REF!,"AAAAAF1/2ug=")</f>
        <v>#REF!</v>
      </c>
      <c r="HZ57" t="e">
        <f>AND(Bills!#REF!,"AAAAAF1/2uk=")</f>
        <v>#REF!</v>
      </c>
      <c r="IA57" t="e">
        <f>AND(Bills!#REF!,"AAAAAF1/2uo=")</f>
        <v>#REF!</v>
      </c>
      <c r="IB57" t="e">
        <f>AND(Bills!AC128,"AAAAAF1/2us=")</f>
        <v>#VALUE!</v>
      </c>
      <c r="IC57" t="e">
        <f>AND(Bills!AD128,"AAAAAF1/2uw=")</f>
        <v>#VALUE!</v>
      </c>
      <c r="ID57" t="e">
        <f>AND(Bills!#REF!,"AAAAAF1/2u0=")</f>
        <v>#REF!</v>
      </c>
      <c r="IE57">
        <f>IF(Bills!129:129,"AAAAAF1/2u4=",0)</f>
        <v>0</v>
      </c>
      <c r="IF57" t="e">
        <f>AND(Bills!B129,"AAAAAF1/2u8=")</f>
        <v>#VALUE!</v>
      </c>
      <c r="IG57" t="e">
        <f>AND(Bills!#REF!,"AAAAAF1/2vA=")</f>
        <v>#REF!</v>
      </c>
      <c r="IH57" t="e">
        <f>AND(Bills!C129,"AAAAAF1/2vE=")</f>
        <v>#VALUE!</v>
      </c>
      <c r="II57" t="e">
        <f>AND(Bills!D129,"AAAAAF1/2vI=")</f>
        <v>#VALUE!</v>
      </c>
      <c r="IJ57" t="e">
        <f>AND(Bills!E129,"AAAAAF1/2vM=")</f>
        <v>#VALUE!</v>
      </c>
      <c r="IK57" t="e">
        <f>AND(Bills!#REF!,"AAAAAF1/2vQ=")</f>
        <v>#REF!</v>
      </c>
      <c r="IL57" t="e">
        <f>AND(Bills!#REF!,"AAAAAF1/2vU=")</f>
        <v>#REF!</v>
      </c>
      <c r="IM57" t="e">
        <f>AND(Bills!#REF!,"AAAAAF1/2vY=")</f>
        <v>#REF!</v>
      </c>
      <c r="IN57" t="e">
        <f>AND(Bills!F129,"AAAAAF1/2vc=")</f>
        <v>#VALUE!</v>
      </c>
      <c r="IO57" t="e">
        <f>AND(Bills!#REF!,"AAAAAF1/2vg=")</f>
        <v>#REF!</v>
      </c>
      <c r="IP57" t="e">
        <f>AND(Bills!G129,"AAAAAF1/2vk=")</f>
        <v>#VALUE!</v>
      </c>
      <c r="IQ57" t="e">
        <f>AND(Bills!H129,"AAAAAF1/2vo=")</f>
        <v>#VALUE!</v>
      </c>
      <c r="IR57" t="e">
        <f>AND(Bills!I129,"AAAAAF1/2vs=")</f>
        <v>#VALUE!</v>
      </c>
      <c r="IS57" t="e">
        <f>AND(Bills!J129,"AAAAAF1/2vw=")</f>
        <v>#VALUE!</v>
      </c>
      <c r="IT57" t="e">
        <f>AND(Bills!K129,"AAAAAF1/2v0=")</f>
        <v>#VALUE!</v>
      </c>
      <c r="IU57" t="e">
        <f>AND(Bills!L129,"AAAAAF1/2v4=")</f>
        <v>#VALUE!</v>
      </c>
      <c r="IV57" t="e">
        <f>AND(Bills!#REF!,"AAAAAF1/2v8=")</f>
        <v>#REF!</v>
      </c>
    </row>
    <row r="58" spans="1:256">
      <c r="A58" t="e">
        <f>AND(Bills!M129,"AAAAAB3n4QA=")</f>
        <v>#VALUE!</v>
      </c>
      <c r="B58" t="e">
        <f>AND(Bills!N129,"AAAAAB3n4QE=")</f>
        <v>#VALUE!</v>
      </c>
      <c r="C58" t="e">
        <f>AND(Bills!O129,"AAAAAB3n4QI=")</f>
        <v>#VALUE!</v>
      </c>
      <c r="D58" t="e">
        <f>AND(Bills!P129,"AAAAAB3n4QM=")</f>
        <v>#VALUE!</v>
      </c>
      <c r="E58" t="e">
        <f>AND(Bills!Q129,"AAAAAB3n4QQ=")</f>
        <v>#VALUE!</v>
      </c>
      <c r="F58" t="e">
        <f>AND(Bills!R129,"AAAAAB3n4QU=")</f>
        <v>#VALUE!</v>
      </c>
      <c r="G58" t="e">
        <f>AND(Bills!S129,"AAAAAB3n4QY=")</f>
        <v>#VALUE!</v>
      </c>
      <c r="H58" t="e">
        <f>AND(Bills!T129,"AAAAAB3n4Qc=")</f>
        <v>#VALUE!</v>
      </c>
      <c r="I58" t="e">
        <f>AND(Bills!#REF!,"AAAAAB3n4Qg=")</f>
        <v>#REF!</v>
      </c>
      <c r="J58" t="e">
        <f>AND(Bills!U129,"AAAAAB3n4Qk=")</f>
        <v>#VALUE!</v>
      </c>
      <c r="K58" t="e">
        <f>AND(Bills!V129,"AAAAAB3n4Qo=")</f>
        <v>#VALUE!</v>
      </c>
      <c r="L58" t="e">
        <f>AND(Bills!W129,"AAAAAB3n4Qs=")</f>
        <v>#VALUE!</v>
      </c>
      <c r="M58" t="e">
        <f>AND(Bills!#REF!,"AAAAAB3n4Qw=")</f>
        <v>#REF!</v>
      </c>
      <c r="N58" t="e">
        <f>AND(Bills!#REF!,"AAAAAB3n4Q0=")</f>
        <v>#REF!</v>
      </c>
      <c r="O58" t="e">
        <f>AND(Bills!Y129,"AAAAAB3n4Q4=")</f>
        <v>#VALUE!</v>
      </c>
      <c r="P58" t="e">
        <f>AND(Bills!Z129,"AAAAAB3n4Q8=")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AND(Bills!AA129,"AAAAAB3n4Rk=")</f>
        <v>#VALUE!</v>
      </c>
      <c r="AA58" t="e">
        <f>AND(Bills!AB129,"AAAAAB3n4Ro=")</f>
        <v>#VALUE!</v>
      </c>
      <c r="AB58" t="e">
        <f>AND(Bills!#REF!,"AAAAAB3n4Rs=")</f>
        <v>#REF!</v>
      </c>
      <c r="AC58" t="e">
        <f>AND(Bills!#REF!,"AAAAAB3n4Rw=")</f>
        <v>#REF!</v>
      </c>
      <c r="AD58" t="e">
        <f>AND(Bills!#REF!,"AAAAAB3n4R0=")</f>
        <v>#REF!</v>
      </c>
      <c r="AE58" t="e">
        <f>AND(Bills!AC129,"AAAAAB3n4R4=")</f>
        <v>#VALUE!</v>
      </c>
      <c r="AF58" t="e">
        <f>AND(Bills!AD129,"AAAAAB3n4R8=")</f>
        <v>#VALUE!</v>
      </c>
      <c r="AG58" t="e">
        <f>AND(Bills!#REF!,"AAAAAB3n4SA=")</f>
        <v>#REF!</v>
      </c>
      <c r="AH58">
        <f>IF(Bills!130:130,"AAAAAB3n4SE=",0)</f>
        <v>0</v>
      </c>
      <c r="AI58" t="e">
        <f>AND(Bills!B130,"AAAAAB3n4SI=")</f>
        <v>#VALUE!</v>
      </c>
      <c r="AJ58" t="e">
        <f>AND(Bills!#REF!,"AAAAAB3n4SM=")</f>
        <v>#REF!</v>
      </c>
      <c r="AK58" t="e">
        <f>AND(Bills!C130,"AAAAAB3n4SQ=")</f>
        <v>#VALUE!</v>
      </c>
      <c r="AL58" t="e">
        <f>AND(Bills!D130,"AAAAAB3n4SU=")</f>
        <v>#VALUE!</v>
      </c>
      <c r="AM58" t="e">
        <f>AND(Bills!E130,"AAAAAB3n4SY=")</f>
        <v>#VALUE!</v>
      </c>
      <c r="AN58" t="e">
        <f>AND(Bills!#REF!,"AAAAAB3n4Sc=")</f>
        <v>#REF!</v>
      </c>
      <c r="AO58" t="e">
        <f>AND(Bills!#REF!,"AAAAAB3n4Sg=")</f>
        <v>#REF!</v>
      </c>
      <c r="AP58" t="e">
        <f>AND(Bills!#REF!,"AAAAAB3n4Sk=")</f>
        <v>#REF!</v>
      </c>
      <c r="AQ58" t="e">
        <f>AND(Bills!F130,"AAAAAB3n4So=")</f>
        <v>#VALUE!</v>
      </c>
      <c r="AR58" t="e">
        <f>AND(Bills!#REF!,"AAAAAB3n4Ss=")</f>
        <v>#REF!</v>
      </c>
      <c r="AS58" t="e">
        <f>AND(Bills!G130,"AAAAAB3n4Sw=")</f>
        <v>#VALUE!</v>
      </c>
      <c r="AT58" t="e">
        <f>AND(Bills!H130,"AAAAAB3n4S0=")</f>
        <v>#VALUE!</v>
      </c>
      <c r="AU58" t="e">
        <f>AND(Bills!I130,"AAAAAB3n4S4=")</f>
        <v>#VALUE!</v>
      </c>
      <c r="AV58" t="e">
        <f>AND(Bills!J130,"AAAAAB3n4S8=")</f>
        <v>#VALUE!</v>
      </c>
      <c r="AW58" t="e">
        <f>AND(Bills!K130,"AAAAAB3n4TA=")</f>
        <v>#VALUE!</v>
      </c>
      <c r="AX58" t="e">
        <f>AND(Bills!L130,"AAAAAB3n4TE=")</f>
        <v>#VALUE!</v>
      </c>
      <c r="AY58" t="e">
        <f>AND(Bills!#REF!,"AAAAAB3n4TI=")</f>
        <v>#REF!</v>
      </c>
      <c r="AZ58" t="e">
        <f>AND(Bills!M130,"AAAAAB3n4TM=")</f>
        <v>#VALUE!</v>
      </c>
      <c r="BA58" t="e">
        <f>AND(Bills!N130,"AAAAAB3n4TQ=")</f>
        <v>#VALUE!</v>
      </c>
      <c r="BB58" t="e">
        <f>AND(Bills!O130,"AAAAAB3n4TU=")</f>
        <v>#VALUE!</v>
      </c>
      <c r="BC58" t="e">
        <f>AND(Bills!P130,"AAAAAB3n4TY=")</f>
        <v>#VALUE!</v>
      </c>
      <c r="BD58" t="e">
        <f>AND(Bills!Q130,"AAAAAB3n4Tc=")</f>
        <v>#VALUE!</v>
      </c>
      <c r="BE58" t="e">
        <f>AND(Bills!R130,"AAAAAB3n4Tg=")</f>
        <v>#VALUE!</v>
      </c>
      <c r="BF58" t="e">
        <f>AND(Bills!S130,"AAAAAB3n4Tk=")</f>
        <v>#VALUE!</v>
      </c>
      <c r="BG58" t="e">
        <f>AND(Bills!T130,"AAAAAB3n4To=")</f>
        <v>#VALUE!</v>
      </c>
      <c r="BH58" t="e">
        <f>AND(Bills!#REF!,"AAAAAB3n4Ts=")</f>
        <v>#REF!</v>
      </c>
      <c r="BI58" t="e">
        <f>AND(Bills!U130,"AAAAAB3n4Tw=")</f>
        <v>#VALUE!</v>
      </c>
      <c r="BJ58" t="e">
        <f>AND(Bills!V130,"AAAAAB3n4T0=")</f>
        <v>#VALUE!</v>
      </c>
      <c r="BK58" t="e">
        <f>AND(Bills!W130,"AAAAAB3n4T4=")</f>
        <v>#VALUE!</v>
      </c>
      <c r="BL58" t="e">
        <f>AND(Bills!#REF!,"AAAAAB3n4T8=")</f>
        <v>#REF!</v>
      </c>
      <c r="BM58" t="e">
        <f>AND(Bills!#REF!,"AAAAAB3n4UA=")</f>
        <v>#REF!</v>
      </c>
      <c r="BN58" t="e">
        <f>AND(Bills!Y130,"AAAAAB3n4UE=")</f>
        <v>#VALUE!</v>
      </c>
      <c r="BO58" t="e">
        <f>AND(Bills!Z130,"AAAAAB3n4UI=")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AND(Bills!AA130,"AAAAAB3n4Uw=")</f>
        <v>#VALUE!</v>
      </c>
      <c r="BZ58" t="e">
        <f>AND(Bills!AB130,"AAAAAB3n4U0=")</f>
        <v>#VALUE!</v>
      </c>
      <c r="CA58" t="e">
        <f>AND(Bills!#REF!,"AAAAAB3n4U4=")</f>
        <v>#REF!</v>
      </c>
      <c r="CB58" t="e">
        <f>AND(Bills!#REF!,"AAAAAB3n4U8=")</f>
        <v>#REF!</v>
      </c>
      <c r="CC58" t="e">
        <f>AND(Bills!#REF!,"AAAAAB3n4VA=")</f>
        <v>#REF!</v>
      </c>
      <c r="CD58" t="e">
        <f>AND(Bills!AC130,"AAAAAB3n4VE=")</f>
        <v>#VALUE!</v>
      </c>
      <c r="CE58" t="e">
        <f>AND(Bills!AD130,"AAAAAB3n4VI=")</f>
        <v>#VALUE!</v>
      </c>
      <c r="CF58" t="e">
        <f>AND(Bills!#REF!,"AAAAAB3n4VM=")</f>
        <v>#REF!</v>
      </c>
      <c r="CG58">
        <f>IF(Bills!131:131,"AAAAAB3n4VQ=",0)</f>
        <v>0</v>
      </c>
      <c r="CH58" t="e">
        <f>AND(Bills!B131,"AAAAAB3n4VU=")</f>
        <v>#VALUE!</v>
      </c>
      <c r="CI58" t="e">
        <f>AND(Bills!#REF!,"AAAAAB3n4VY=")</f>
        <v>#REF!</v>
      </c>
      <c r="CJ58" t="e">
        <f>AND(Bills!C131,"AAAAAB3n4Vc=")</f>
        <v>#VALUE!</v>
      </c>
      <c r="CK58" t="e">
        <f>AND(Bills!D131,"AAAAAB3n4Vg=")</f>
        <v>#VALUE!</v>
      </c>
      <c r="CL58" t="e">
        <f>AND(Bills!E131,"AAAAAB3n4Vk=")</f>
        <v>#VALUE!</v>
      </c>
      <c r="CM58" t="e">
        <f>AND(Bills!#REF!,"AAAAAB3n4Vo=")</f>
        <v>#REF!</v>
      </c>
      <c r="CN58" t="e">
        <f>AND(Bills!#REF!,"AAAAAB3n4Vs=")</f>
        <v>#REF!</v>
      </c>
      <c r="CO58" t="e">
        <f>AND(Bills!#REF!,"AAAAAB3n4Vw=")</f>
        <v>#REF!</v>
      </c>
      <c r="CP58" t="e">
        <f>AND(Bills!F131,"AAAAAB3n4V0=")</f>
        <v>#VALUE!</v>
      </c>
      <c r="CQ58" t="e">
        <f>AND(Bills!#REF!,"AAAAAB3n4V4=")</f>
        <v>#REF!</v>
      </c>
      <c r="CR58" t="e">
        <f>AND(Bills!G131,"AAAAAB3n4V8=")</f>
        <v>#VALUE!</v>
      </c>
      <c r="CS58" t="e">
        <f>AND(Bills!H131,"AAAAAB3n4WA=")</f>
        <v>#VALUE!</v>
      </c>
      <c r="CT58" t="e">
        <f>AND(Bills!I131,"AAAAAB3n4WE=")</f>
        <v>#VALUE!</v>
      </c>
      <c r="CU58" t="e">
        <f>AND(Bills!J131,"AAAAAB3n4WI=")</f>
        <v>#VALUE!</v>
      </c>
      <c r="CV58" t="e">
        <f>AND(Bills!K131,"AAAAAB3n4WM=")</f>
        <v>#VALUE!</v>
      </c>
      <c r="CW58" t="e">
        <f>AND(Bills!L131,"AAAAAB3n4WQ=")</f>
        <v>#VALUE!</v>
      </c>
      <c r="CX58" t="e">
        <f>AND(Bills!#REF!,"AAAAAB3n4WU=")</f>
        <v>#REF!</v>
      </c>
      <c r="CY58" t="e">
        <f>AND(Bills!M131,"AAAAAB3n4WY=")</f>
        <v>#VALUE!</v>
      </c>
      <c r="CZ58" t="e">
        <f>AND(Bills!N131,"AAAAAB3n4Wc=")</f>
        <v>#VALUE!</v>
      </c>
      <c r="DA58" t="e">
        <f>AND(Bills!O131,"AAAAAB3n4Wg=")</f>
        <v>#VALUE!</v>
      </c>
      <c r="DB58" t="e">
        <f>AND(Bills!P131,"AAAAAB3n4Wk=")</f>
        <v>#VALUE!</v>
      </c>
      <c r="DC58" t="e">
        <f>AND(Bills!Q131,"AAAAAB3n4Wo=")</f>
        <v>#VALUE!</v>
      </c>
      <c r="DD58" t="e">
        <f>AND(Bills!R131,"AAAAAB3n4Ws=")</f>
        <v>#VALUE!</v>
      </c>
      <c r="DE58" t="e">
        <f>AND(Bills!S131,"AAAAAB3n4Ww=")</f>
        <v>#VALUE!</v>
      </c>
      <c r="DF58" t="e">
        <f>AND(Bills!T131,"AAAAAB3n4W0=")</f>
        <v>#VALUE!</v>
      </c>
      <c r="DG58" t="e">
        <f>AND(Bills!#REF!,"AAAAAB3n4W4=")</f>
        <v>#REF!</v>
      </c>
      <c r="DH58" t="e">
        <f>AND(Bills!U131,"AAAAAB3n4W8=")</f>
        <v>#VALUE!</v>
      </c>
      <c r="DI58" t="e">
        <f>AND(Bills!V131,"AAAAAB3n4XA=")</f>
        <v>#VALUE!</v>
      </c>
      <c r="DJ58" t="e">
        <f>AND(Bills!W131,"AAAAAB3n4XE=")</f>
        <v>#VALUE!</v>
      </c>
      <c r="DK58" t="e">
        <f>AND(Bills!#REF!,"AAAAAB3n4XI=")</f>
        <v>#REF!</v>
      </c>
      <c r="DL58" t="e">
        <f>AND(Bills!#REF!,"AAAAAB3n4XM=")</f>
        <v>#REF!</v>
      </c>
      <c r="DM58" t="e">
        <f>AND(Bills!Y131,"AAAAAB3n4XQ=")</f>
        <v>#VALUE!</v>
      </c>
      <c r="DN58" t="e">
        <f>AND(Bills!Z131,"AAAAAB3n4XU=")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AND(Bills!AA131,"AAAAAB3n4X8=")</f>
        <v>#VALUE!</v>
      </c>
      <c r="DY58" t="e">
        <f>AND(Bills!AB131,"AAAAAB3n4YA=")</f>
        <v>#VALUE!</v>
      </c>
      <c r="DZ58" t="e">
        <f>AND(Bills!#REF!,"AAAAAB3n4YE=")</f>
        <v>#REF!</v>
      </c>
      <c r="EA58" t="e">
        <f>AND(Bills!#REF!,"AAAAAB3n4YI=")</f>
        <v>#REF!</v>
      </c>
      <c r="EB58" t="e">
        <f>AND(Bills!#REF!,"AAAAAB3n4YM=")</f>
        <v>#REF!</v>
      </c>
      <c r="EC58" t="e">
        <f>AND(Bills!AC131,"AAAAAB3n4YQ=")</f>
        <v>#VALUE!</v>
      </c>
      <c r="ED58" t="e">
        <f>AND(Bills!AD131,"AAAAAB3n4YU=")</f>
        <v>#VALUE!</v>
      </c>
      <c r="EE58" t="e">
        <f>AND(Bills!#REF!,"AAAAAB3n4YY=")</f>
        <v>#REF!</v>
      </c>
      <c r="EF58">
        <f>IF(Bills!132:132,"AAAAAB3n4Yc=",0)</f>
        <v>0</v>
      </c>
      <c r="EG58" t="e">
        <f>AND(Bills!B132,"AAAAAB3n4Yg=")</f>
        <v>#VALUE!</v>
      </c>
      <c r="EH58" t="e">
        <f>AND(Bills!#REF!,"AAAAAB3n4Yk=")</f>
        <v>#REF!</v>
      </c>
      <c r="EI58" t="e">
        <f>AND(Bills!C132,"AAAAAB3n4Yo=")</f>
        <v>#VALUE!</v>
      </c>
      <c r="EJ58" t="e">
        <f>AND(Bills!D132,"AAAAAB3n4Ys=")</f>
        <v>#VALUE!</v>
      </c>
      <c r="EK58" t="e">
        <f>AND(Bills!E132,"AAAAAB3n4Yw=")</f>
        <v>#VALUE!</v>
      </c>
      <c r="EL58" t="e">
        <f>AND(Bills!#REF!,"AAAAAB3n4Y0=")</f>
        <v>#REF!</v>
      </c>
      <c r="EM58" t="e">
        <f>AND(Bills!#REF!,"AAAAAB3n4Y4=")</f>
        <v>#REF!</v>
      </c>
      <c r="EN58" t="e">
        <f>AND(Bills!#REF!,"AAAAAB3n4Y8=")</f>
        <v>#REF!</v>
      </c>
      <c r="EO58" t="e">
        <f>AND(Bills!F132,"AAAAAB3n4ZA=")</f>
        <v>#VALUE!</v>
      </c>
      <c r="EP58" t="e">
        <f>AND(Bills!#REF!,"AAAAAB3n4ZE=")</f>
        <v>#REF!</v>
      </c>
      <c r="EQ58" t="e">
        <f>AND(Bills!G132,"AAAAAB3n4ZI=")</f>
        <v>#VALUE!</v>
      </c>
      <c r="ER58" t="e">
        <f>AND(Bills!H132,"AAAAAB3n4ZM=")</f>
        <v>#VALUE!</v>
      </c>
      <c r="ES58" t="e">
        <f>AND(Bills!I132,"AAAAAB3n4ZQ=")</f>
        <v>#VALUE!</v>
      </c>
      <c r="ET58" t="e">
        <f>AND(Bills!J132,"AAAAAB3n4ZU=")</f>
        <v>#VALUE!</v>
      </c>
      <c r="EU58" t="e">
        <f>AND(Bills!K132,"AAAAAB3n4ZY=")</f>
        <v>#VALUE!</v>
      </c>
      <c r="EV58" t="e">
        <f>AND(Bills!L132,"AAAAAB3n4Zc=")</f>
        <v>#VALUE!</v>
      </c>
      <c r="EW58" t="e">
        <f>AND(Bills!#REF!,"AAAAAB3n4Zg=")</f>
        <v>#REF!</v>
      </c>
      <c r="EX58" t="e">
        <f>AND(Bills!M132,"AAAAAB3n4Zk=")</f>
        <v>#VALUE!</v>
      </c>
      <c r="EY58" t="e">
        <f>AND(Bills!N132,"AAAAAB3n4Zo=")</f>
        <v>#VALUE!</v>
      </c>
      <c r="EZ58" t="e">
        <f>AND(Bills!O132,"AAAAAB3n4Zs=")</f>
        <v>#VALUE!</v>
      </c>
      <c r="FA58" t="e">
        <f>AND(Bills!P132,"AAAAAB3n4Zw=")</f>
        <v>#VALUE!</v>
      </c>
      <c r="FB58" t="e">
        <f>AND(Bills!Q132,"AAAAAB3n4Z0=")</f>
        <v>#VALUE!</v>
      </c>
      <c r="FC58" t="e">
        <f>AND(Bills!R132,"AAAAAB3n4Z4=")</f>
        <v>#VALUE!</v>
      </c>
      <c r="FD58" t="e">
        <f>AND(Bills!S132,"AAAAAB3n4Z8=")</f>
        <v>#VALUE!</v>
      </c>
      <c r="FE58" t="e">
        <f>AND(Bills!T132,"AAAAAB3n4aA=")</f>
        <v>#VALUE!</v>
      </c>
      <c r="FF58" t="e">
        <f>AND(Bills!#REF!,"AAAAAB3n4aE=")</f>
        <v>#REF!</v>
      </c>
      <c r="FG58" t="e">
        <f>AND(Bills!U132,"AAAAAB3n4aI=")</f>
        <v>#VALUE!</v>
      </c>
      <c r="FH58" t="e">
        <f>AND(Bills!V132,"AAAAAB3n4aM=")</f>
        <v>#VALUE!</v>
      </c>
      <c r="FI58" t="e">
        <f>AND(Bills!W132,"AAAAAB3n4aQ=")</f>
        <v>#VALUE!</v>
      </c>
      <c r="FJ58" t="e">
        <f>AND(Bills!#REF!,"AAAAAB3n4aU=")</f>
        <v>#REF!</v>
      </c>
      <c r="FK58" t="e">
        <f>AND(Bills!#REF!,"AAAAAB3n4aY=")</f>
        <v>#REF!</v>
      </c>
      <c r="FL58" t="e">
        <f>AND(Bills!Y132,"AAAAAB3n4ac=")</f>
        <v>#VALUE!</v>
      </c>
      <c r="FM58" t="e">
        <f>AND(Bills!Z132,"AAAAAB3n4ag=")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AND(Bills!AA132,"AAAAAB3n4bI=")</f>
        <v>#VALUE!</v>
      </c>
      <c r="FX58" t="e">
        <f>AND(Bills!AB132,"AAAAAB3n4bM=")</f>
        <v>#VALUE!</v>
      </c>
      <c r="FY58" t="e">
        <f>AND(Bills!#REF!,"AAAAAB3n4bQ=")</f>
        <v>#REF!</v>
      </c>
      <c r="FZ58" t="e">
        <f>AND(Bills!#REF!,"AAAAAB3n4bU=")</f>
        <v>#REF!</v>
      </c>
      <c r="GA58" t="e">
        <f>AND(Bills!#REF!,"AAAAAB3n4bY=")</f>
        <v>#REF!</v>
      </c>
      <c r="GB58" t="e">
        <f>AND(Bills!AC132,"AAAAAB3n4bc=")</f>
        <v>#VALUE!</v>
      </c>
      <c r="GC58" t="e">
        <f>AND(Bills!AD132,"AAAAAB3n4bg=")</f>
        <v>#VALUE!</v>
      </c>
      <c r="GD58" t="e">
        <f>AND(Bills!#REF!,"AAAAAB3n4bk=")</f>
        <v>#REF!</v>
      </c>
      <c r="GE58">
        <f>IF(Bills!133:133,"AAAAAB3n4bo=",0)</f>
        <v>0</v>
      </c>
      <c r="GF58" t="e">
        <f>AND(Bills!B133,"AAAAAB3n4bs=")</f>
        <v>#VALUE!</v>
      </c>
      <c r="GG58" t="e">
        <f>AND(Bills!#REF!,"AAAAAB3n4bw=")</f>
        <v>#REF!</v>
      </c>
      <c r="GH58" t="e">
        <f>AND(Bills!C133,"AAAAAB3n4b0=")</f>
        <v>#VALUE!</v>
      </c>
      <c r="GI58" t="e">
        <f>AND(Bills!D133,"AAAAAB3n4b4=")</f>
        <v>#VALUE!</v>
      </c>
      <c r="GJ58" t="e">
        <f>AND(Bills!E133,"AAAAAB3n4b8=")</f>
        <v>#VALUE!</v>
      </c>
      <c r="GK58" t="e">
        <f>AND(Bills!#REF!,"AAAAAB3n4cA=")</f>
        <v>#REF!</v>
      </c>
      <c r="GL58" t="e">
        <f>AND(Bills!#REF!,"AAAAAB3n4cE=")</f>
        <v>#REF!</v>
      </c>
      <c r="GM58" t="e">
        <f>AND(Bills!#REF!,"AAAAAB3n4cI=")</f>
        <v>#REF!</v>
      </c>
      <c r="GN58" t="e">
        <f>AND(Bills!F133,"AAAAAB3n4cM=")</f>
        <v>#VALUE!</v>
      </c>
      <c r="GO58" t="e">
        <f>AND(Bills!#REF!,"AAAAAB3n4cQ=")</f>
        <v>#REF!</v>
      </c>
      <c r="GP58" t="e">
        <f>AND(Bills!G133,"AAAAAB3n4cU=")</f>
        <v>#VALUE!</v>
      </c>
      <c r="GQ58" t="e">
        <f>AND(Bills!H133,"AAAAAB3n4cY=")</f>
        <v>#VALUE!</v>
      </c>
      <c r="GR58" t="e">
        <f>AND(Bills!I133,"AAAAAB3n4cc=")</f>
        <v>#VALUE!</v>
      </c>
      <c r="GS58" t="e">
        <f>AND(Bills!J133,"AAAAAB3n4cg=")</f>
        <v>#VALUE!</v>
      </c>
      <c r="GT58" t="e">
        <f>AND(Bills!K133,"AAAAAB3n4ck=")</f>
        <v>#VALUE!</v>
      </c>
      <c r="GU58" t="e">
        <f>AND(Bills!L133,"AAAAAB3n4co=")</f>
        <v>#VALUE!</v>
      </c>
      <c r="GV58" t="e">
        <f>AND(Bills!#REF!,"AAAAAB3n4cs=")</f>
        <v>#REF!</v>
      </c>
      <c r="GW58" t="e">
        <f>AND(Bills!M133,"AAAAAB3n4cw=")</f>
        <v>#VALUE!</v>
      </c>
      <c r="GX58" t="e">
        <f>AND(Bills!N133,"AAAAAB3n4c0=")</f>
        <v>#VALUE!</v>
      </c>
      <c r="GY58" t="e">
        <f>AND(Bills!O133,"AAAAAB3n4c4=")</f>
        <v>#VALUE!</v>
      </c>
      <c r="GZ58" t="e">
        <f>AND(Bills!P133,"AAAAAB3n4c8=")</f>
        <v>#VALUE!</v>
      </c>
      <c r="HA58" t="e">
        <f>AND(Bills!Q133,"AAAAAB3n4dA=")</f>
        <v>#VALUE!</v>
      </c>
      <c r="HB58" t="e">
        <f>AND(Bills!R133,"AAAAAB3n4dE=")</f>
        <v>#VALUE!</v>
      </c>
      <c r="HC58" t="e">
        <f>AND(Bills!S133,"AAAAAB3n4dI=")</f>
        <v>#VALUE!</v>
      </c>
      <c r="HD58" t="e">
        <f>AND(Bills!T133,"AAAAAB3n4dM=")</f>
        <v>#VALUE!</v>
      </c>
      <c r="HE58" t="e">
        <f>AND(Bills!#REF!,"AAAAAB3n4dQ=")</f>
        <v>#REF!</v>
      </c>
      <c r="HF58" t="e">
        <f>AND(Bills!U133,"AAAAAB3n4dU=")</f>
        <v>#VALUE!</v>
      </c>
      <c r="HG58" t="e">
        <f>AND(Bills!V133,"AAAAAB3n4dY=")</f>
        <v>#VALUE!</v>
      </c>
      <c r="HH58" t="e">
        <f>AND(Bills!W133,"AAAAAB3n4dc=")</f>
        <v>#VALUE!</v>
      </c>
      <c r="HI58" t="e">
        <f>AND(Bills!#REF!,"AAAAAB3n4dg=")</f>
        <v>#REF!</v>
      </c>
      <c r="HJ58" t="e">
        <f>AND(Bills!#REF!,"AAAAAB3n4dk=")</f>
        <v>#REF!</v>
      </c>
      <c r="HK58" t="e">
        <f>AND(Bills!Y133,"AAAAAB3n4do=")</f>
        <v>#VALUE!</v>
      </c>
      <c r="HL58" t="e">
        <f>AND(Bills!Z133,"AAAAAB3n4ds=")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AND(Bills!AA133,"AAAAAB3n4eU=")</f>
        <v>#VALUE!</v>
      </c>
      <c r="HW58" t="e">
        <f>AND(Bills!AB133,"AAAAAB3n4eY=")</f>
        <v>#VALUE!</v>
      </c>
      <c r="HX58" t="e">
        <f>AND(Bills!#REF!,"AAAAAB3n4ec=")</f>
        <v>#REF!</v>
      </c>
      <c r="HY58" t="e">
        <f>AND(Bills!#REF!,"AAAAAB3n4eg=")</f>
        <v>#REF!</v>
      </c>
      <c r="HZ58" t="e">
        <f>AND(Bills!#REF!,"AAAAAB3n4ek=")</f>
        <v>#REF!</v>
      </c>
      <c r="IA58" t="e">
        <f>AND(Bills!AC133,"AAAAAB3n4eo=")</f>
        <v>#VALUE!</v>
      </c>
      <c r="IB58" t="e">
        <f>AND(Bills!AD133,"AAAAAB3n4es=")</f>
        <v>#VALUE!</v>
      </c>
      <c r="IC58" t="e">
        <f>AND(Bills!#REF!,"AAAAAB3n4ew=")</f>
        <v>#REF!</v>
      </c>
      <c r="ID58">
        <f>IF(Bills!134:134,"AAAAAB3n4e0=",0)</f>
        <v>0</v>
      </c>
      <c r="IE58" t="e">
        <f>AND(Bills!B134,"AAAAAB3n4e4=")</f>
        <v>#VALUE!</v>
      </c>
      <c r="IF58" t="e">
        <f>AND(Bills!#REF!,"AAAAAB3n4e8=")</f>
        <v>#REF!</v>
      </c>
      <c r="IG58" t="e">
        <f>AND(Bills!C134,"AAAAAB3n4fA=")</f>
        <v>#VALUE!</v>
      </c>
      <c r="IH58" t="e">
        <f>AND(Bills!D134,"AAAAAB3n4fE=")</f>
        <v>#VALUE!</v>
      </c>
      <c r="II58" t="e">
        <f>AND(Bills!E134,"AAAAAB3n4fI=")</f>
        <v>#VALUE!</v>
      </c>
      <c r="IJ58" t="e">
        <f>AND(Bills!#REF!,"AAAAAB3n4fM=")</f>
        <v>#REF!</v>
      </c>
      <c r="IK58" t="e">
        <f>AND(Bills!#REF!,"AAAAAB3n4fQ=")</f>
        <v>#REF!</v>
      </c>
      <c r="IL58" t="e">
        <f>AND(Bills!#REF!,"AAAAAB3n4fU=")</f>
        <v>#REF!</v>
      </c>
      <c r="IM58" t="e">
        <f>AND(Bills!F134,"AAAAAB3n4fY=")</f>
        <v>#VALUE!</v>
      </c>
      <c r="IN58" t="e">
        <f>AND(Bills!#REF!,"AAAAAB3n4fc=")</f>
        <v>#REF!</v>
      </c>
      <c r="IO58" t="e">
        <f>AND(Bills!G134,"AAAAAB3n4fg=")</f>
        <v>#VALUE!</v>
      </c>
      <c r="IP58" t="e">
        <f>AND(Bills!H134,"AAAAAB3n4fk=")</f>
        <v>#VALUE!</v>
      </c>
      <c r="IQ58" t="e">
        <f>AND(Bills!I134,"AAAAAB3n4fo=")</f>
        <v>#VALUE!</v>
      </c>
      <c r="IR58" t="e">
        <f>AND(Bills!J134,"AAAAAB3n4fs=")</f>
        <v>#VALUE!</v>
      </c>
      <c r="IS58" t="e">
        <f>AND(Bills!K134,"AAAAAB3n4fw=")</f>
        <v>#VALUE!</v>
      </c>
      <c r="IT58" t="e">
        <f>AND(Bills!L134,"AAAAAB3n4f0=")</f>
        <v>#VALUE!</v>
      </c>
      <c r="IU58" t="e">
        <f>AND(Bills!#REF!,"AAAAAB3n4f4=")</f>
        <v>#REF!</v>
      </c>
      <c r="IV58" t="e">
        <f>AND(Bills!M134,"AAAAAB3n4f8=")</f>
        <v>#VALUE!</v>
      </c>
    </row>
    <row r="59" spans="1:256">
      <c r="A59" t="e">
        <f>AND(Bills!N134,"AAAAAH9/jgA=")</f>
        <v>#VALUE!</v>
      </c>
      <c r="B59" t="e">
        <f>AND(Bills!O134,"AAAAAH9/jgE=")</f>
        <v>#VALUE!</v>
      </c>
      <c r="C59" t="e">
        <f>AND(Bills!P134,"AAAAAH9/jgI=")</f>
        <v>#VALUE!</v>
      </c>
      <c r="D59" t="e">
        <f>AND(Bills!Q134,"AAAAAH9/jgM=")</f>
        <v>#VALUE!</v>
      </c>
      <c r="E59" t="e">
        <f>AND(Bills!R134,"AAAAAH9/jgQ=")</f>
        <v>#VALUE!</v>
      </c>
      <c r="F59" t="e">
        <f>AND(Bills!S134,"AAAAAH9/jgU=")</f>
        <v>#VALUE!</v>
      </c>
      <c r="G59" t="e">
        <f>AND(Bills!T134,"AAAAAH9/jgY=")</f>
        <v>#VALUE!</v>
      </c>
      <c r="H59" t="e">
        <f>AND(Bills!#REF!,"AAAAAH9/jgc=")</f>
        <v>#REF!</v>
      </c>
      <c r="I59" t="e">
        <f>AND(Bills!U134,"AAAAAH9/jgg=")</f>
        <v>#VALUE!</v>
      </c>
      <c r="J59" t="e">
        <f>AND(Bills!V134,"AAAAAH9/jgk=")</f>
        <v>#VALUE!</v>
      </c>
      <c r="K59" t="e">
        <f>AND(Bills!W134,"AAAAAH9/jgo=")</f>
        <v>#VALUE!</v>
      </c>
      <c r="L59" t="e">
        <f>AND(Bills!#REF!,"AAAAAH9/jgs=")</f>
        <v>#REF!</v>
      </c>
      <c r="M59" t="e">
        <f>AND(Bills!#REF!,"AAAAAH9/jgw=")</f>
        <v>#REF!</v>
      </c>
      <c r="N59" t="e">
        <f>AND(Bills!Y134,"AAAAAH9/jg0=")</f>
        <v>#VALUE!</v>
      </c>
      <c r="O59" t="e">
        <f>AND(Bills!Z134,"AAAAAH9/jg4=")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AND(Bills!AA134,"AAAAAH9/jhg=")</f>
        <v>#VALUE!</v>
      </c>
      <c r="Z59" t="e">
        <f>AND(Bills!AB134,"AAAAAH9/jhk=")</f>
        <v>#VALUE!</v>
      </c>
      <c r="AA59" t="e">
        <f>AND(Bills!#REF!,"AAAAAH9/jho=")</f>
        <v>#REF!</v>
      </c>
      <c r="AB59" t="e">
        <f>AND(Bills!#REF!,"AAAAAH9/jhs=")</f>
        <v>#REF!</v>
      </c>
      <c r="AC59" t="e">
        <f>AND(Bills!#REF!,"AAAAAH9/jhw=")</f>
        <v>#REF!</v>
      </c>
      <c r="AD59" t="e">
        <f>AND(Bills!AC134,"AAAAAH9/jh0=")</f>
        <v>#VALUE!</v>
      </c>
      <c r="AE59" t="e">
        <f>AND(Bills!AD134,"AAAAAH9/jh4=")</f>
        <v>#VALUE!</v>
      </c>
      <c r="AF59" t="e">
        <f>AND(Bills!#REF!,"AAAAAH9/jh8=")</f>
        <v>#REF!</v>
      </c>
      <c r="AG59">
        <f>IF(Bills!135:135,"AAAAAH9/jiA=",0)</f>
        <v>0</v>
      </c>
      <c r="AH59" t="e">
        <f>AND(Bills!B135,"AAAAAH9/jiE=")</f>
        <v>#VALUE!</v>
      </c>
      <c r="AI59" t="e">
        <f>AND(Bills!#REF!,"AAAAAH9/jiI=")</f>
        <v>#REF!</v>
      </c>
      <c r="AJ59" t="e">
        <f>AND(Bills!C135,"AAAAAH9/jiM=")</f>
        <v>#VALUE!</v>
      </c>
      <c r="AK59" t="e">
        <f>AND(Bills!D135,"AAAAAH9/jiQ=")</f>
        <v>#VALUE!</v>
      </c>
      <c r="AL59" t="e">
        <f>AND(Bills!E135,"AAAAAH9/jiU=")</f>
        <v>#VALUE!</v>
      </c>
      <c r="AM59" t="e">
        <f>AND(Bills!#REF!,"AAAAAH9/jiY=")</f>
        <v>#REF!</v>
      </c>
      <c r="AN59" t="e">
        <f>AND(Bills!#REF!,"AAAAAH9/jic=")</f>
        <v>#REF!</v>
      </c>
      <c r="AO59" t="e">
        <f>AND(Bills!#REF!,"AAAAAH9/jig=")</f>
        <v>#REF!</v>
      </c>
      <c r="AP59" t="e">
        <f>AND(Bills!F135,"AAAAAH9/jik=")</f>
        <v>#VALUE!</v>
      </c>
      <c r="AQ59" t="e">
        <f>AND(Bills!#REF!,"AAAAAH9/jio=")</f>
        <v>#REF!</v>
      </c>
      <c r="AR59" t="e">
        <f>AND(Bills!G135,"AAAAAH9/jis=")</f>
        <v>#VALUE!</v>
      </c>
      <c r="AS59" t="e">
        <f>AND(Bills!H135,"AAAAAH9/jiw=")</f>
        <v>#VALUE!</v>
      </c>
      <c r="AT59" t="e">
        <f>AND(Bills!I135,"AAAAAH9/ji0=")</f>
        <v>#VALUE!</v>
      </c>
      <c r="AU59" t="e">
        <f>AND(Bills!J135,"AAAAAH9/ji4=")</f>
        <v>#VALUE!</v>
      </c>
      <c r="AV59" t="e">
        <f>AND(Bills!K135,"AAAAAH9/ji8=")</f>
        <v>#VALUE!</v>
      </c>
      <c r="AW59" t="e">
        <f>AND(Bills!L135,"AAAAAH9/jjA=")</f>
        <v>#VALUE!</v>
      </c>
      <c r="AX59" t="e">
        <f>AND(Bills!#REF!,"AAAAAH9/jjE=")</f>
        <v>#REF!</v>
      </c>
      <c r="AY59" t="e">
        <f>AND(Bills!M135,"AAAAAH9/jjI=")</f>
        <v>#VALUE!</v>
      </c>
      <c r="AZ59" t="e">
        <f>AND(Bills!N135,"AAAAAH9/jjM=")</f>
        <v>#VALUE!</v>
      </c>
      <c r="BA59" t="e">
        <f>AND(Bills!O135,"AAAAAH9/jjQ=")</f>
        <v>#VALUE!</v>
      </c>
      <c r="BB59" t="e">
        <f>AND(Bills!P135,"AAAAAH9/jjU=")</f>
        <v>#VALUE!</v>
      </c>
      <c r="BC59" t="e">
        <f>AND(Bills!Q135,"AAAAAH9/jjY=")</f>
        <v>#VALUE!</v>
      </c>
      <c r="BD59" t="e">
        <f>AND(Bills!R135,"AAAAAH9/jjc=")</f>
        <v>#VALUE!</v>
      </c>
      <c r="BE59" t="e">
        <f>AND(Bills!S135,"AAAAAH9/jjg=")</f>
        <v>#VALUE!</v>
      </c>
      <c r="BF59" t="e">
        <f>AND(Bills!T135,"AAAAAH9/jjk=")</f>
        <v>#VALUE!</v>
      </c>
      <c r="BG59" t="e">
        <f>AND(Bills!#REF!,"AAAAAH9/jjo=")</f>
        <v>#REF!</v>
      </c>
      <c r="BH59" t="e">
        <f>AND(Bills!U135,"AAAAAH9/jjs=")</f>
        <v>#VALUE!</v>
      </c>
      <c r="BI59" t="e">
        <f>AND(Bills!V135,"AAAAAH9/jjw=")</f>
        <v>#VALUE!</v>
      </c>
      <c r="BJ59" t="e">
        <f>AND(Bills!W135,"AAAAAH9/jj0=")</f>
        <v>#VALUE!</v>
      </c>
      <c r="BK59" t="e">
        <f>AND(Bills!#REF!,"AAAAAH9/jj4=")</f>
        <v>#REF!</v>
      </c>
      <c r="BL59" t="e">
        <f>AND(Bills!#REF!,"AAAAAH9/jj8=")</f>
        <v>#REF!</v>
      </c>
      <c r="BM59" t="e">
        <f>AND(Bills!Y135,"AAAAAH9/jkA=")</f>
        <v>#VALUE!</v>
      </c>
      <c r="BN59" t="e">
        <f>AND(Bills!Z135,"AAAAAH9/jkE=")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AND(Bills!AA135,"AAAAAH9/jks=")</f>
        <v>#VALUE!</v>
      </c>
      <c r="BY59" t="e">
        <f>AND(Bills!AB135,"AAAAAH9/jkw=")</f>
        <v>#VALUE!</v>
      </c>
      <c r="BZ59" t="e">
        <f>AND(Bills!#REF!,"AAAAAH9/jk0=")</f>
        <v>#REF!</v>
      </c>
      <c r="CA59" t="e">
        <f>AND(Bills!#REF!,"AAAAAH9/jk4=")</f>
        <v>#REF!</v>
      </c>
      <c r="CB59" t="e">
        <f>AND(Bills!#REF!,"AAAAAH9/jk8=")</f>
        <v>#REF!</v>
      </c>
      <c r="CC59" t="e">
        <f>AND(Bills!AC135,"AAAAAH9/jlA=")</f>
        <v>#VALUE!</v>
      </c>
      <c r="CD59" t="e">
        <f>AND(Bills!AD135,"AAAAAH9/jlE=")</f>
        <v>#VALUE!</v>
      </c>
      <c r="CE59" t="e">
        <f>AND(Bills!#REF!,"AAAAAH9/jlI=")</f>
        <v>#REF!</v>
      </c>
      <c r="CF59">
        <f>IF(Bills!136:136,"AAAAAH9/jlM=",0)</f>
        <v>0</v>
      </c>
      <c r="CG59" t="e">
        <f>AND(Bills!B136,"AAAAAH9/jlQ=")</f>
        <v>#VALUE!</v>
      </c>
      <c r="CH59" t="e">
        <f>AND(Bills!#REF!,"AAAAAH9/jlU=")</f>
        <v>#REF!</v>
      </c>
      <c r="CI59" t="e">
        <f>AND(Bills!C136,"AAAAAH9/jlY=")</f>
        <v>#VALUE!</v>
      </c>
      <c r="CJ59" t="e">
        <f>AND(Bills!D136,"AAAAAH9/jlc=")</f>
        <v>#VALUE!</v>
      </c>
      <c r="CK59" t="e">
        <f>AND(Bills!E136,"AAAAAH9/jlg=")</f>
        <v>#VALUE!</v>
      </c>
      <c r="CL59" t="e">
        <f>AND(Bills!#REF!,"AAAAAH9/jlk=")</f>
        <v>#REF!</v>
      </c>
      <c r="CM59" t="e">
        <f>AND(Bills!#REF!,"AAAAAH9/jlo=")</f>
        <v>#REF!</v>
      </c>
      <c r="CN59" t="e">
        <f>AND(Bills!#REF!,"AAAAAH9/jls=")</f>
        <v>#REF!</v>
      </c>
      <c r="CO59" t="e">
        <f>AND(Bills!F136,"AAAAAH9/jlw=")</f>
        <v>#VALUE!</v>
      </c>
      <c r="CP59" t="e">
        <f>AND(Bills!#REF!,"AAAAAH9/jl0=")</f>
        <v>#REF!</v>
      </c>
      <c r="CQ59" t="e">
        <f>AND(Bills!G136,"AAAAAH9/jl4=")</f>
        <v>#VALUE!</v>
      </c>
      <c r="CR59" t="e">
        <f>AND(Bills!H136,"AAAAAH9/jl8=")</f>
        <v>#VALUE!</v>
      </c>
      <c r="CS59" t="e">
        <f>AND(Bills!I136,"AAAAAH9/jmA=")</f>
        <v>#VALUE!</v>
      </c>
      <c r="CT59" t="e">
        <f>AND(Bills!J136,"AAAAAH9/jmE=")</f>
        <v>#VALUE!</v>
      </c>
      <c r="CU59" t="e">
        <f>AND(Bills!K136,"AAAAAH9/jmI=")</f>
        <v>#VALUE!</v>
      </c>
      <c r="CV59" t="e">
        <f>AND(Bills!L136,"AAAAAH9/jmM=")</f>
        <v>#VALUE!</v>
      </c>
      <c r="CW59" t="e">
        <f>AND(Bills!#REF!,"AAAAAH9/jmQ=")</f>
        <v>#REF!</v>
      </c>
      <c r="CX59" t="e">
        <f>AND(Bills!M136,"AAAAAH9/jmU=")</f>
        <v>#VALUE!</v>
      </c>
      <c r="CY59" t="e">
        <f>AND(Bills!N136,"AAAAAH9/jmY=")</f>
        <v>#VALUE!</v>
      </c>
      <c r="CZ59" t="e">
        <f>AND(Bills!O136,"AAAAAH9/jmc=")</f>
        <v>#VALUE!</v>
      </c>
      <c r="DA59" t="e">
        <f>AND(Bills!P136,"AAAAAH9/jmg=")</f>
        <v>#VALUE!</v>
      </c>
      <c r="DB59" t="e">
        <f>AND(Bills!Q136,"AAAAAH9/jmk=")</f>
        <v>#VALUE!</v>
      </c>
      <c r="DC59" t="e">
        <f>AND(Bills!R136,"AAAAAH9/jmo=")</f>
        <v>#VALUE!</v>
      </c>
      <c r="DD59" t="e">
        <f>AND(Bills!S136,"AAAAAH9/jms=")</f>
        <v>#VALUE!</v>
      </c>
      <c r="DE59" t="e">
        <f>AND(Bills!T136,"AAAAAH9/jmw=")</f>
        <v>#VALUE!</v>
      </c>
      <c r="DF59" t="e">
        <f>AND(Bills!#REF!,"AAAAAH9/jm0=")</f>
        <v>#REF!</v>
      </c>
      <c r="DG59" t="e">
        <f>AND(Bills!U136,"AAAAAH9/jm4=")</f>
        <v>#VALUE!</v>
      </c>
      <c r="DH59" t="e">
        <f>AND(Bills!V136,"AAAAAH9/jm8=")</f>
        <v>#VALUE!</v>
      </c>
      <c r="DI59" t="e">
        <f>AND(Bills!W136,"AAAAAH9/jnA=")</f>
        <v>#VALUE!</v>
      </c>
      <c r="DJ59" t="e">
        <f>AND(Bills!#REF!,"AAAAAH9/jnE=")</f>
        <v>#REF!</v>
      </c>
      <c r="DK59" t="e">
        <f>AND(Bills!#REF!,"AAAAAH9/jnI=")</f>
        <v>#REF!</v>
      </c>
      <c r="DL59" t="e">
        <f>AND(Bills!Y136,"AAAAAH9/jnM=")</f>
        <v>#VALUE!</v>
      </c>
      <c r="DM59" t="e">
        <f>AND(Bills!Z136,"AAAAAH9/jnQ=")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AND(Bills!AA136,"AAAAAH9/jn4=")</f>
        <v>#VALUE!</v>
      </c>
      <c r="DX59" t="e">
        <f>AND(Bills!AB136,"AAAAAH9/jn8=")</f>
        <v>#VALUE!</v>
      </c>
      <c r="DY59" t="e">
        <f>AND(Bills!#REF!,"AAAAAH9/joA=")</f>
        <v>#REF!</v>
      </c>
      <c r="DZ59" t="e">
        <f>AND(Bills!#REF!,"AAAAAH9/joE=")</f>
        <v>#REF!</v>
      </c>
      <c r="EA59" t="e">
        <f>AND(Bills!#REF!,"AAAAAH9/joI=")</f>
        <v>#REF!</v>
      </c>
      <c r="EB59" t="e">
        <f>AND(Bills!AC136,"AAAAAH9/joM=")</f>
        <v>#VALUE!</v>
      </c>
      <c r="EC59" t="e">
        <f>AND(Bills!AD136,"AAAAAH9/joQ=")</f>
        <v>#VALUE!</v>
      </c>
      <c r="ED59" t="e">
        <f>AND(Bills!#REF!,"AAAAAH9/joU=")</f>
        <v>#REF!</v>
      </c>
      <c r="EE59">
        <f>IF(Bills!137:137,"AAAAAH9/joY=",0)</f>
        <v>0</v>
      </c>
      <c r="EF59" t="e">
        <f>AND(Bills!B137,"AAAAAH9/joc=")</f>
        <v>#VALUE!</v>
      </c>
      <c r="EG59" t="e">
        <f>AND(Bills!#REF!,"AAAAAH9/jog=")</f>
        <v>#REF!</v>
      </c>
      <c r="EH59" t="e">
        <f>AND(Bills!C137,"AAAAAH9/jok=")</f>
        <v>#VALUE!</v>
      </c>
      <c r="EI59" t="e">
        <f>AND(Bills!D137,"AAAAAH9/joo=")</f>
        <v>#VALUE!</v>
      </c>
      <c r="EJ59" t="e">
        <f>AND(Bills!E137,"AAAAAH9/jos=")</f>
        <v>#VALUE!</v>
      </c>
      <c r="EK59" t="e">
        <f>AND(Bills!#REF!,"AAAAAH9/jow=")</f>
        <v>#REF!</v>
      </c>
      <c r="EL59" t="e">
        <f>AND(Bills!#REF!,"AAAAAH9/jo0=")</f>
        <v>#REF!</v>
      </c>
      <c r="EM59" t="e">
        <f>AND(Bills!#REF!,"AAAAAH9/jo4=")</f>
        <v>#REF!</v>
      </c>
      <c r="EN59" t="e">
        <f>AND(Bills!F137,"AAAAAH9/jo8=")</f>
        <v>#VALUE!</v>
      </c>
      <c r="EO59" t="e">
        <f>AND(Bills!#REF!,"AAAAAH9/jpA=")</f>
        <v>#REF!</v>
      </c>
      <c r="EP59" t="e">
        <f>AND(Bills!G137,"AAAAAH9/jpE=")</f>
        <v>#VALUE!</v>
      </c>
      <c r="EQ59" t="e">
        <f>AND(Bills!H137,"AAAAAH9/jpI=")</f>
        <v>#VALUE!</v>
      </c>
      <c r="ER59" t="e">
        <f>AND(Bills!I137,"AAAAAH9/jpM=")</f>
        <v>#VALUE!</v>
      </c>
      <c r="ES59" t="e">
        <f>AND(Bills!J137,"AAAAAH9/jpQ=")</f>
        <v>#VALUE!</v>
      </c>
      <c r="ET59" t="e">
        <f>AND(Bills!K137,"AAAAAH9/jpU=")</f>
        <v>#VALUE!</v>
      </c>
      <c r="EU59" t="e">
        <f>AND(Bills!L137,"AAAAAH9/jpY=")</f>
        <v>#VALUE!</v>
      </c>
      <c r="EV59" t="e">
        <f>AND(Bills!#REF!,"AAAAAH9/jpc=")</f>
        <v>#REF!</v>
      </c>
      <c r="EW59" t="e">
        <f>AND(Bills!M137,"AAAAAH9/jpg=")</f>
        <v>#VALUE!</v>
      </c>
      <c r="EX59" t="e">
        <f>AND(Bills!N137,"AAAAAH9/jpk=")</f>
        <v>#VALUE!</v>
      </c>
      <c r="EY59" t="e">
        <f>AND(Bills!O137,"AAAAAH9/jpo=")</f>
        <v>#VALUE!</v>
      </c>
      <c r="EZ59" t="e">
        <f>AND(Bills!P137,"AAAAAH9/jps=")</f>
        <v>#VALUE!</v>
      </c>
      <c r="FA59" t="e">
        <f>AND(Bills!Q137,"AAAAAH9/jpw=")</f>
        <v>#VALUE!</v>
      </c>
      <c r="FB59" t="e">
        <f>AND(Bills!R137,"AAAAAH9/jp0=")</f>
        <v>#VALUE!</v>
      </c>
      <c r="FC59" t="e">
        <f>AND(Bills!S137,"AAAAAH9/jp4=")</f>
        <v>#VALUE!</v>
      </c>
      <c r="FD59" t="e">
        <f>AND(Bills!T137,"AAAAAH9/jp8=")</f>
        <v>#VALUE!</v>
      </c>
      <c r="FE59" t="e">
        <f>AND(Bills!#REF!,"AAAAAH9/jqA=")</f>
        <v>#REF!</v>
      </c>
      <c r="FF59" t="e">
        <f>AND(Bills!U137,"AAAAAH9/jqE=")</f>
        <v>#VALUE!</v>
      </c>
      <c r="FG59" t="e">
        <f>AND(Bills!V137,"AAAAAH9/jqI=")</f>
        <v>#VALUE!</v>
      </c>
      <c r="FH59" t="e">
        <f>AND(Bills!W137,"AAAAAH9/jqM=")</f>
        <v>#VALUE!</v>
      </c>
      <c r="FI59" t="e">
        <f>AND(Bills!#REF!,"AAAAAH9/jqQ=")</f>
        <v>#REF!</v>
      </c>
      <c r="FJ59" t="e">
        <f>AND(Bills!#REF!,"AAAAAH9/jqU=")</f>
        <v>#REF!</v>
      </c>
      <c r="FK59" t="e">
        <f>AND(Bills!Y137,"AAAAAH9/jqY=")</f>
        <v>#VALUE!</v>
      </c>
      <c r="FL59" t="e">
        <f>AND(Bills!Z137,"AAAAAH9/jqc=")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AND(Bills!AA137,"AAAAAH9/jrE=")</f>
        <v>#VALUE!</v>
      </c>
      <c r="FW59" t="e">
        <f>AND(Bills!AB137,"AAAAAH9/jrI=")</f>
        <v>#VALUE!</v>
      </c>
      <c r="FX59" t="e">
        <f>AND(Bills!#REF!,"AAAAAH9/jrM=")</f>
        <v>#REF!</v>
      </c>
      <c r="FY59" t="e">
        <f>AND(Bills!#REF!,"AAAAAH9/jrQ=")</f>
        <v>#REF!</v>
      </c>
      <c r="FZ59" t="e">
        <f>AND(Bills!#REF!,"AAAAAH9/jrU=")</f>
        <v>#REF!</v>
      </c>
      <c r="GA59" t="e">
        <f>AND(Bills!AC137,"AAAAAH9/jrY=")</f>
        <v>#VALUE!</v>
      </c>
      <c r="GB59" t="e">
        <f>AND(Bills!AD137,"AAAAAH9/jrc=")</f>
        <v>#VALUE!</v>
      </c>
      <c r="GC59" t="e">
        <f>AND(Bills!#REF!,"AAAAAH9/jrg=")</f>
        <v>#REF!</v>
      </c>
      <c r="GD59">
        <f>IF(Bills!138:138,"AAAAAH9/jrk=",0)</f>
        <v>0</v>
      </c>
      <c r="GE59" t="e">
        <f>AND(Bills!B138,"AAAAAH9/jro=")</f>
        <v>#VALUE!</v>
      </c>
      <c r="GF59" t="e">
        <f>AND(Bills!#REF!,"AAAAAH9/jrs=")</f>
        <v>#REF!</v>
      </c>
      <c r="GG59" t="e">
        <f>AND(Bills!C138,"AAAAAH9/jrw=")</f>
        <v>#VALUE!</v>
      </c>
      <c r="GH59" t="e">
        <f>AND(Bills!D138,"AAAAAH9/jr0=")</f>
        <v>#VALUE!</v>
      </c>
      <c r="GI59" t="e">
        <f>AND(Bills!E138,"AAAAAH9/jr4=")</f>
        <v>#VALUE!</v>
      </c>
      <c r="GJ59" t="e">
        <f>AND(Bills!#REF!,"AAAAAH9/jr8=")</f>
        <v>#REF!</v>
      </c>
      <c r="GK59" t="e">
        <f>AND(Bills!#REF!,"AAAAAH9/jsA=")</f>
        <v>#REF!</v>
      </c>
      <c r="GL59" t="e">
        <f>AND(Bills!#REF!,"AAAAAH9/jsE=")</f>
        <v>#REF!</v>
      </c>
      <c r="GM59" t="e">
        <f>AND(Bills!F138,"AAAAAH9/jsI=")</f>
        <v>#VALUE!</v>
      </c>
      <c r="GN59" t="e">
        <f>AND(Bills!#REF!,"AAAAAH9/jsM=")</f>
        <v>#REF!</v>
      </c>
      <c r="GO59" t="e">
        <f>AND(Bills!G138,"AAAAAH9/jsQ=")</f>
        <v>#VALUE!</v>
      </c>
      <c r="GP59" t="e">
        <f>AND(Bills!H138,"AAAAAH9/jsU=")</f>
        <v>#VALUE!</v>
      </c>
      <c r="GQ59" t="e">
        <f>AND(Bills!I138,"AAAAAH9/jsY=")</f>
        <v>#VALUE!</v>
      </c>
      <c r="GR59" t="e">
        <f>AND(Bills!J138,"AAAAAH9/jsc=")</f>
        <v>#VALUE!</v>
      </c>
      <c r="GS59" t="e">
        <f>AND(Bills!K138,"AAAAAH9/jsg=")</f>
        <v>#VALUE!</v>
      </c>
      <c r="GT59" t="e">
        <f>AND(Bills!L138,"AAAAAH9/jsk=")</f>
        <v>#VALUE!</v>
      </c>
      <c r="GU59" t="e">
        <f>AND(Bills!#REF!,"AAAAAH9/jso=")</f>
        <v>#REF!</v>
      </c>
      <c r="GV59" t="e">
        <f>AND(Bills!M138,"AAAAAH9/jss=")</f>
        <v>#VALUE!</v>
      </c>
      <c r="GW59" t="e">
        <f>AND(Bills!N138,"AAAAAH9/jsw=")</f>
        <v>#VALUE!</v>
      </c>
      <c r="GX59" t="e">
        <f>AND(Bills!O138,"AAAAAH9/js0=")</f>
        <v>#VALUE!</v>
      </c>
      <c r="GY59" t="e">
        <f>AND(Bills!P138,"AAAAAH9/js4=")</f>
        <v>#VALUE!</v>
      </c>
      <c r="GZ59" t="e">
        <f>AND(Bills!Q138,"AAAAAH9/js8=")</f>
        <v>#VALUE!</v>
      </c>
      <c r="HA59" t="e">
        <f>AND(Bills!R138,"AAAAAH9/jtA=")</f>
        <v>#VALUE!</v>
      </c>
      <c r="HB59" t="e">
        <f>AND(Bills!S138,"AAAAAH9/jtE=")</f>
        <v>#VALUE!</v>
      </c>
      <c r="HC59" t="e">
        <f>AND(Bills!T138,"AAAAAH9/jtI=")</f>
        <v>#VALUE!</v>
      </c>
      <c r="HD59" t="e">
        <f>AND(Bills!#REF!,"AAAAAH9/jtM=")</f>
        <v>#REF!</v>
      </c>
      <c r="HE59" t="e">
        <f>AND(Bills!U138,"AAAAAH9/jtQ=")</f>
        <v>#VALUE!</v>
      </c>
      <c r="HF59" t="e">
        <f>AND(Bills!V138,"AAAAAH9/jtU=")</f>
        <v>#VALUE!</v>
      </c>
      <c r="HG59" t="e">
        <f>AND(Bills!W138,"AAAAAH9/jtY=")</f>
        <v>#VALUE!</v>
      </c>
      <c r="HH59" t="e">
        <f>AND(Bills!#REF!,"AAAAAH9/jtc=")</f>
        <v>#REF!</v>
      </c>
      <c r="HI59" t="e">
        <f>AND(Bills!#REF!,"AAAAAH9/jtg=")</f>
        <v>#REF!</v>
      </c>
      <c r="HJ59" t="e">
        <f>AND(Bills!Y138,"AAAAAH9/jtk=")</f>
        <v>#VALUE!</v>
      </c>
      <c r="HK59" t="e">
        <f>AND(Bills!Z138,"AAAAAH9/jto=")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AND(Bills!AA138,"AAAAAH9/juQ=")</f>
        <v>#VALUE!</v>
      </c>
      <c r="HV59" t="e">
        <f>AND(Bills!AB138,"AAAAAH9/juU=")</f>
        <v>#VALUE!</v>
      </c>
      <c r="HW59" t="e">
        <f>AND(Bills!#REF!,"AAAAAH9/juY=")</f>
        <v>#REF!</v>
      </c>
      <c r="HX59" t="e">
        <f>AND(Bills!#REF!,"AAAAAH9/juc=")</f>
        <v>#REF!</v>
      </c>
      <c r="HY59" t="e">
        <f>AND(Bills!#REF!,"AAAAAH9/jug=")</f>
        <v>#REF!</v>
      </c>
      <c r="HZ59" t="e">
        <f>AND(Bills!AC138,"AAAAAH9/juk=")</f>
        <v>#VALUE!</v>
      </c>
      <c r="IA59" t="e">
        <f>AND(Bills!AD138,"AAAAAH9/juo=")</f>
        <v>#VALUE!</v>
      </c>
      <c r="IB59" t="e">
        <f>AND(Bills!#REF!,"AAAAAH9/jus=")</f>
        <v>#REF!</v>
      </c>
      <c r="IC59">
        <f>IF(Bills!139:139,"AAAAAH9/juw=",0)</f>
        <v>0</v>
      </c>
      <c r="ID59" t="e">
        <f>AND(Bills!B139,"AAAAAH9/ju0=")</f>
        <v>#VALUE!</v>
      </c>
      <c r="IE59" t="e">
        <f>AND(Bills!#REF!,"AAAAAH9/ju4=")</f>
        <v>#REF!</v>
      </c>
      <c r="IF59" t="e">
        <f>AND(Bills!C139,"AAAAAH9/ju8=")</f>
        <v>#VALUE!</v>
      </c>
      <c r="IG59" t="e">
        <f>AND(Bills!D139,"AAAAAH9/jvA=")</f>
        <v>#VALUE!</v>
      </c>
      <c r="IH59" t="e">
        <f>AND(Bills!E139,"AAAAAH9/jvE=")</f>
        <v>#VALUE!</v>
      </c>
      <c r="II59" t="e">
        <f>AND(Bills!#REF!,"AAAAAH9/jvI=")</f>
        <v>#REF!</v>
      </c>
      <c r="IJ59" t="e">
        <f>AND(Bills!#REF!,"AAAAAH9/jvM=")</f>
        <v>#REF!</v>
      </c>
      <c r="IK59" t="e">
        <f>AND(Bills!#REF!,"AAAAAH9/jvQ=")</f>
        <v>#REF!</v>
      </c>
      <c r="IL59" t="e">
        <f>AND(Bills!F139,"AAAAAH9/jvU=")</f>
        <v>#VALUE!</v>
      </c>
      <c r="IM59" t="e">
        <f>AND(Bills!#REF!,"AAAAAH9/jvY=")</f>
        <v>#REF!</v>
      </c>
      <c r="IN59" t="e">
        <f>AND(Bills!G139,"AAAAAH9/jvc=")</f>
        <v>#VALUE!</v>
      </c>
      <c r="IO59" t="e">
        <f>AND(Bills!H139,"AAAAAH9/jvg=")</f>
        <v>#VALUE!</v>
      </c>
      <c r="IP59" t="e">
        <f>AND(Bills!I139,"AAAAAH9/jvk=")</f>
        <v>#VALUE!</v>
      </c>
      <c r="IQ59" t="e">
        <f>AND(Bills!J139,"AAAAAH9/jvo=")</f>
        <v>#VALUE!</v>
      </c>
      <c r="IR59" t="e">
        <f>AND(Bills!K139,"AAAAAH9/jvs=")</f>
        <v>#VALUE!</v>
      </c>
      <c r="IS59" t="e">
        <f>AND(Bills!L139,"AAAAAH9/jvw=")</f>
        <v>#VALUE!</v>
      </c>
      <c r="IT59" t="e">
        <f>AND(Bills!#REF!,"AAAAAH9/jv0=")</f>
        <v>#REF!</v>
      </c>
      <c r="IU59" t="e">
        <f>AND(Bills!M139,"AAAAAH9/jv4=")</f>
        <v>#VALUE!</v>
      </c>
      <c r="IV59" t="e">
        <f>AND(Bills!N139,"AAAAAH9/jv8=")</f>
        <v>#VALUE!</v>
      </c>
    </row>
    <row r="60" spans="1:256">
      <c r="A60" t="e">
        <f>AND(Bills!O139,"AAAAAGf/fgA=")</f>
        <v>#VALUE!</v>
      </c>
      <c r="B60" t="e">
        <f>AND(Bills!P139,"AAAAAGf/fgE=")</f>
        <v>#VALUE!</v>
      </c>
      <c r="C60" t="e">
        <f>AND(Bills!Q139,"AAAAAGf/fgI=")</f>
        <v>#VALUE!</v>
      </c>
      <c r="D60" t="e">
        <f>AND(Bills!R139,"AAAAAGf/fgM=")</f>
        <v>#VALUE!</v>
      </c>
      <c r="E60" t="e">
        <f>AND(Bills!S139,"AAAAAGf/fgQ=")</f>
        <v>#VALUE!</v>
      </c>
      <c r="F60" t="e">
        <f>AND(Bills!T139,"AAAAAGf/fgU=")</f>
        <v>#VALUE!</v>
      </c>
      <c r="G60" t="e">
        <f>AND(Bills!#REF!,"AAAAAGf/fgY=")</f>
        <v>#REF!</v>
      </c>
      <c r="H60" t="e">
        <f>AND(Bills!U139,"AAAAAGf/fgc=")</f>
        <v>#VALUE!</v>
      </c>
      <c r="I60" t="e">
        <f>AND(Bills!V139,"AAAAAGf/fgg=")</f>
        <v>#VALUE!</v>
      </c>
      <c r="J60" t="e">
        <f>AND(Bills!W139,"AAAAAGf/fgk=")</f>
        <v>#VALUE!</v>
      </c>
      <c r="K60" t="e">
        <f>AND(Bills!#REF!,"AAAAAGf/fgo=")</f>
        <v>#REF!</v>
      </c>
      <c r="L60" t="e">
        <f>AND(Bills!#REF!,"AAAAAGf/fgs=")</f>
        <v>#REF!</v>
      </c>
      <c r="M60" t="e">
        <f>AND(Bills!Y139,"AAAAAGf/fgw=")</f>
        <v>#VALUE!</v>
      </c>
      <c r="N60" t="e">
        <f>AND(Bills!Z139,"AAAAAGf/fg0=")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AND(Bills!AA139,"AAAAAGf/fhc=")</f>
        <v>#VALUE!</v>
      </c>
      <c r="Y60" t="e">
        <f>AND(Bills!AB139,"AAAAAGf/fhg=")</f>
        <v>#VALUE!</v>
      </c>
      <c r="Z60" t="e">
        <f>AND(Bills!#REF!,"AAAAAGf/fhk=")</f>
        <v>#REF!</v>
      </c>
      <c r="AA60" t="e">
        <f>AND(Bills!#REF!,"AAAAAGf/fho=")</f>
        <v>#REF!</v>
      </c>
      <c r="AB60" t="e">
        <f>AND(Bills!#REF!,"AAAAAGf/fhs=")</f>
        <v>#REF!</v>
      </c>
      <c r="AC60" t="e">
        <f>AND(Bills!AC139,"AAAAAGf/fhw=")</f>
        <v>#VALUE!</v>
      </c>
      <c r="AD60" t="e">
        <f>AND(Bills!AD139,"AAAAAGf/fh0=")</f>
        <v>#VALUE!</v>
      </c>
      <c r="AE60" t="e">
        <f>AND(Bills!#REF!,"AAAAAGf/fh4=")</f>
        <v>#REF!</v>
      </c>
      <c r="AF60">
        <f>IF(Bills!140:140,"AAAAAGf/fh8=",0)</f>
        <v>0</v>
      </c>
      <c r="AG60" t="e">
        <f>AND(Bills!B140,"AAAAAGf/fiA=")</f>
        <v>#VALUE!</v>
      </c>
      <c r="AH60" t="e">
        <f>AND(Bills!#REF!,"AAAAAGf/fiE=")</f>
        <v>#REF!</v>
      </c>
      <c r="AI60" t="e">
        <f>AND(Bills!C140,"AAAAAGf/fiI=")</f>
        <v>#VALUE!</v>
      </c>
      <c r="AJ60" t="e">
        <f>AND(Bills!D140,"AAAAAGf/fiM=")</f>
        <v>#VALUE!</v>
      </c>
      <c r="AK60" t="e">
        <f>AND(Bills!E140,"AAAAAGf/fiQ=")</f>
        <v>#VALUE!</v>
      </c>
      <c r="AL60" t="e">
        <f>AND(Bills!#REF!,"AAAAAGf/fiU=")</f>
        <v>#REF!</v>
      </c>
      <c r="AM60" t="e">
        <f>AND(Bills!#REF!,"AAAAAGf/fiY=")</f>
        <v>#REF!</v>
      </c>
      <c r="AN60" t="e">
        <f>AND(Bills!#REF!,"AAAAAGf/fic=")</f>
        <v>#REF!</v>
      </c>
      <c r="AO60" t="e">
        <f>AND(Bills!F140,"AAAAAGf/fig=")</f>
        <v>#VALUE!</v>
      </c>
      <c r="AP60" t="e">
        <f>AND(Bills!#REF!,"AAAAAGf/fik=")</f>
        <v>#REF!</v>
      </c>
      <c r="AQ60" t="e">
        <f>AND(Bills!G140,"AAAAAGf/fio=")</f>
        <v>#VALUE!</v>
      </c>
      <c r="AR60" t="e">
        <f>AND(Bills!H140,"AAAAAGf/fis=")</f>
        <v>#VALUE!</v>
      </c>
      <c r="AS60" t="e">
        <f>AND(Bills!I140,"AAAAAGf/fiw=")</f>
        <v>#VALUE!</v>
      </c>
      <c r="AT60" t="e">
        <f>AND(Bills!J140,"AAAAAGf/fi0=")</f>
        <v>#VALUE!</v>
      </c>
      <c r="AU60" t="e">
        <f>AND(Bills!K140,"AAAAAGf/fi4=")</f>
        <v>#VALUE!</v>
      </c>
      <c r="AV60" t="e">
        <f>AND(Bills!L140,"AAAAAGf/fi8=")</f>
        <v>#VALUE!</v>
      </c>
      <c r="AW60" t="e">
        <f>AND(Bills!#REF!,"AAAAAGf/fjA=")</f>
        <v>#REF!</v>
      </c>
      <c r="AX60" t="e">
        <f>AND(Bills!M140,"AAAAAGf/fjE=")</f>
        <v>#VALUE!</v>
      </c>
      <c r="AY60" t="e">
        <f>AND(Bills!N140,"AAAAAGf/fjI=")</f>
        <v>#VALUE!</v>
      </c>
      <c r="AZ60" t="e">
        <f>AND(Bills!O140,"AAAAAGf/fjM=")</f>
        <v>#VALUE!</v>
      </c>
      <c r="BA60" t="e">
        <f>AND(Bills!P140,"AAAAAGf/fjQ=")</f>
        <v>#VALUE!</v>
      </c>
      <c r="BB60" t="e">
        <f>AND(Bills!Q140,"AAAAAGf/fjU=")</f>
        <v>#VALUE!</v>
      </c>
      <c r="BC60" t="e">
        <f>AND(Bills!R140,"AAAAAGf/fjY=")</f>
        <v>#VALUE!</v>
      </c>
      <c r="BD60" t="e">
        <f>AND(Bills!S140,"AAAAAGf/fjc=")</f>
        <v>#VALUE!</v>
      </c>
      <c r="BE60" t="e">
        <f>AND(Bills!T140,"AAAAAGf/fjg=")</f>
        <v>#VALUE!</v>
      </c>
      <c r="BF60" t="e">
        <f>AND(Bills!#REF!,"AAAAAGf/fjk=")</f>
        <v>#REF!</v>
      </c>
      <c r="BG60" t="e">
        <f>AND(Bills!U140,"AAAAAGf/fjo=")</f>
        <v>#VALUE!</v>
      </c>
      <c r="BH60" t="e">
        <f>AND(Bills!V140,"AAAAAGf/fjs=")</f>
        <v>#VALUE!</v>
      </c>
      <c r="BI60" t="e">
        <f>AND(Bills!W140,"AAAAAGf/fjw=")</f>
        <v>#VALUE!</v>
      </c>
      <c r="BJ60" t="e">
        <f>AND(Bills!#REF!,"AAAAAGf/fj0=")</f>
        <v>#REF!</v>
      </c>
      <c r="BK60" t="e">
        <f>AND(Bills!#REF!,"AAAAAGf/fj4=")</f>
        <v>#REF!</v>
      </c>
      <c r="BL60" t="e">
        <f>AND(Bills!Y140,"AAAAAGf/fj8=")</f>
        <v>#VALUE!</v>
      </c>
      <c r="BM60" t="e">
        <f>AND(Bills!Z140,"AAAAAGf/fkA=")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AND(Bills!AA140,"AAAAAGf/fko=")</f>
        <v>#VALUE!</v>
      </c>
      <c r="BX60" t="e">
        <f>AND(Bills!AB140,"AAAAAGf/fks=")</f>
        <v>#VALUE!</v>
      </c>
      <c r="BY60" t="e">
        <f>AND(Bills!#REF!,"AAAAAGf/fkw=")</f>
        <v>#REF!</v>
      </c>
      <c r="BZ60" t="e">
        <f>AND(Bills!#REF!,"AAAAAGf/fk0=")</f>
        <v>#REF!</v>
      </c>
      <c r="CA60" t="e">
        <f>AND(Bills!#REF!,"AAAAAGf/fk4=")</f>
        <v>#REF!</v>
      </c>
      <c r="CB60" t="e">
        <f>AND(Bills!AC140,"AAAAAGf/fk8=")</f>
        <v>#VALUE!</v>
      </c>
      <c r="CC60" t="e">
        <f>AND(Bills!AD140,"AAAAAGf/flA=")</f>
        <v>#VALUE!</v>
      </c>
      <c r="CD60" t="e">
        <f>AND(Bills!#REF!,"AAAAAGf/flE=")</f>
        <v>#REF!</v>
      </c>
      <c r="CE60">
        <f>IF(Bills!141:141,"AAAAAGf/flI=",0)</f>
        <v>0</v>
      </c>
      <c r="CF60" t="e">
        <f>AND(Bills!B141,"AAAAAGf/flM=")</f>
        <v>#VALUE!</v>
      </c>
      <c r="CG60" t="e">
        <f>AND(Bills!#REF!,"AAAAAGf/flQ=")</f>
        <v>#REF!</v>
      </c>
      <c r="CH60" t="e">
        <f>AND(Bills!C141,"AAAAAGf/flU=")</f>
        <v>#VALUE!</v>
      </c>
      <c r="CI60" t="e">
        <f>AND(Bills!D141,"AAAAAGf/flY=")</f>
        <v>#VALUE!</v>
      </c>
      <c r="CJ60" t="e">
        <f>AND(Bills!E141,"AAAAAGf/flc=")</f>
        <v>#VALUE!</v>
      </c>
      <c r="CK60" t="e">
        <f>AND(Bills!#REF!,"AAAAAGf/flg=")</f>
        <v>#REF!</v>
      </c>
      <c r="CL60" t="e">
        <f>AND(Bills!#REF!,"AAAAAGf/flk=")</f>
        <v>#REF!</v>
      </c>
      <c r="CM60" t="e">
        <f>AND(Bills!#REF!,"AAAAAGf/flo=")</f>
        <v>#REF!</v>
      </c>
      <c r="CN60" t="e">
        <f>AND(Bills!F141,"AAAAAGf/fls=")</f>
        <v>#VALUE!</v>
      </c>
      <c r="CO60" t="e">
        <f>AND(Bills!#REF!,"AAAAAGf/flw=")</f>
        <v>#REF!</v>
      </c>
      <c r="CP60" t="e">
        <f>AND(Bills!G141,"AAAAAGf/fl0=")</f>
        <v>#VALUE!</v>
      </c>
      <c r="CQ60" t="e">
        <f>AND(Bills!H141,"AAAAAGf/fl4=")</f>
        <v>#VALUE!</v>
      </c>
      <c r="CR60" t="e">
        <f>AND(Bills!I141,"AAAAAGf/fl8=")</f>
        <v>#VALUE!</v>
      </c>
      <c r="CS60" t="e">
        <f>AND(Bills!J141,"AAAAAGf/fmA=")</f>
        <v>#VALUE!</v>
      </c>
      <c r="CT60" t="e">
        <f>AND(Bills!K141,"AAAAAGf/fmE=")</f>
        <v>#VALUE!</v>
      </c>
      <c r="CU60" t="e">
        <f>AND(Bills!L141,"AAAAAGf/fmI=")</f>
        <v>#VALUE!</v>
      </c>
      <c r="CV60" t="e">
        <f>AND(Bills!#REF!,"AAAAAGf/fmM=")</f>
        <v>#REF!</v>
      </c>
      <c r="CW60" t="e">
        <f>AND(Bills!M141,"AAAAAGf/fmQ=")</f>
        <v>#VALUE!</v>
      </c>
      <c r="CX60" t="e">
        <f>AND(Bills!N141,"AAAAAGf/fmU=")</f>
        <v>#VALUE!</v>
      </c>
      <c r="CY60" t="e">
        <f>AND(Bills!O141,"AAAAAGf/fmY=")</f>
        <v>#VALUE!</v>
      </c>
      <c r="CZ60" t="e">
        <f>AND(Bills!P141,"AAAAAGf/fmc=")</f>
        <v>#VALUE!</v>
      </c>
      <c r="DA60" t="e">
        <f>AND(Bills!Q141,"AAAAAGf/fmg=")</f>
        <v>#VALUE!</v>
      </c>
      <c r="DB60" t="e">
        <f>AND(Bills!R141,"AAAAAGf/fmk=")</f>
        <v>#VALUE!</v>
      </c>
      <c r="DC60" t="e">
        <f>AND(Bills!S141,"AAAAAGf/fmo=")</f>
        <v>#VALUE!</v>
      </c>
      <c r="DD60" t="e">
        <f>AND(Bills!T141,"AAAAAGf/fms=")</f>
        <v>#VALUE!</v>
      </c>
      <c r="DE60" t="e">
        <f>AND(Bills!#REF!,"AAAAAGf/fmw=")</f>
        <v>#REF!</v>
      </c>
      <c r="DF60" t="e">
        <f>AND(Bills!U141,"AAAAAGf/fm0=")</f>
        <v>#VALUE!</v>
      </c>
      <c r="DG60" t="e">
        <f>AND(Bills!V141,"AAAAAGf/fm4=")</f>
        <v>#VALUE!</v>
      </c>
      <c r="DH60" t="e">
        <f>AND(Bills!W141,"AAAAAGf/fm8=")</f>
        <v>#VALUE!</v>
      </c>
      <c r="DI60" t="e">
        <f>AND(Bills!#REF!,"AAAAAGf/fnA=")</f>
        <v>#REF!</v>
      </c>
      <c r="DJ60" t="e">
        <f>AND(Bills!#REF!,"AAAAAGf/fnE=")</f>
        <v>#REF!</v>
      </c>
      <c r="DK60" t="e">
        <f>AND(Bills!Y141,"AAAAAGf/fnI=")</f>
        <v>#VALUE!</v>
      </c>
      <c r="DL60" t="e">
        <f>AND(Bills!Z141,"AAAAAGf/fnM=")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AND(Bills!AA141,"AAAAAGf/fn0=")</f>
        <v>#VALUE!</v>
      </c>
      <c r="DW60" t="e">
        <f>AND(Bills!AB141,"AAAAAGf/fn4=")</f>
        <v>#VALUE!</v>
      </c>
      <c r="DX60" t="e">
        <f>AND(Bills!#REF!,"AAAAAGf/fn8=")</f>
        <v>#REF!</v>
      </c>
      <c r="DY60" t="e">
        <f>AND(Bills!#REF!,"AAAAAGf/foA=")</f>
        <v>#REF!</v>
      </c>
      <c r="DZ60" t="e">
        <f>AND(Bills!#REF!,"AAAAAGf/foE=")</f>
        <v>#REF!</v>
      </c>
      <c r="EA60" t="e">
        <f>AND(Bills!AC141,"AAAAAGf/foI=")</f>
        <v>#VALUE!</v>
      </c>
      <c r="EB60" t="e">
        <f>AND(Bills!AD141,"AAAAAGf/foM=")</f>
        <v>#VALUE!</v>
      </c>
      <c r="EC60" t="e">
        <f>AND(Bills!#REF!,"AAAAAGf/foQ=")</f>
        <v>#REF!</v>
      </c>
      <c r="ED60">
        <f>IF(Bills!142:142,"AAAAAGf/foU=",0)</f>
        <v>0</v>
      </c>
      <c r="EE60" t="e">
        <f>AND(Bills!B142,"AAAAAGf/foY=")</f>
        <v>#VALUE!</v>
      </c>
      <c r="EF60" t="e">
        <f>AND(Bills!#REF!,"AAAAAGf/foc=")</f>
        <v>#REF!</v>
      </c>
      <c r="EG60" t="e">
        <f>AND(Bills!C142,"AAAAAGf/fog=")</f>
        <v>#VALUE!</v>
      </c>
      <c r="EH60" t="e">
        <f>AND(Bills!D142,"AAAAAGf/fok=")</f>
        <v>#VALUE!</v>
      </c>
      <c r="EI60" t="e">
        <f>AND(Bills!E142,"AAAAAGf/foo=")</f>
        <v>#VALUE!</v>
      </c>
      <c r="EJ60" t="e">
        <f>AND(Bills!#REF!,"AAAAAGf/fos=")</f>
        <v>#REF!</v>
      </c>
      <c r="EK60" t="e">
        <f>AND(Bills!#REF!,"AAAAAGf/fow=")</f>
        <v>#REF!</v>
      </c>
      <c r="EL60" t="e">
        <f>AND(Bills!#REF!,"AAAAAGf/fo0=")</f>
        <v>#REF!</v>
      </c>
      <c r="EM60" t="e">
        <f>AND(Bills!F142,"AAAAAGf/fo4=")</f>
        <v>#VALUE!</v>
      </c>
      <c r="EN60" t="e">
        <f>AND(Bills!#REF!,"AAAAAGf/fo8=")</f>
        <v>#REF!</v>
      </c>
      <c r="EO60" t="e">
        <f>AND(Bills!G142,"AAAAAGf/fpA=")</f>
        <v>#VALUE!</v>
      </c>
      <c r="EP60" t="e">
        <f>AND(Bills!H142,"AAAAAGf/fpE=")</f>
        <v>#VALUE!</v>
      </c>
      <c r="EQ60" t="e">
        <f>AND(Bills!I142,"AAAAAGf/fpI=")</f>
        <v>#VALUE!</v>
      </c>
      <c r="ER60" t="e">
        <f>AND(Bills!J142,"AAAAAGf/fpM=")</f>
        <v>#VALUE!</v>
      </c>
      <c r="ES60" t="e">
        <f>AND(Bills!K142,"AAAAAGf/fpQ=")</f>
        <v>#VALUE!</v>
      </c>
      <c r="ET60" t="e">
        <f>AND(Bills!L142,"AAAAAGf/fpU=")</f>
        <v>#VALUE!</v>
      </c>
      <c r="EU60" t="e">
        <f>AND(Bills!#REF!,"AAAAAGf/fpY=")</f>
        <v>#REF!</v>
      </c>
      <c r="EV60" t="e">
        <f>AND(Bills!M142,"AAAAAGf/fpc=")</f>
        <v>#VALUE!</v>
      </c>
      <c r="EW60" t="e">
        <f>AND(Bills!N142,"AAAAAGf/fpg=")</f>
        <v>#VALUE!</v>
      </c>
      <c r="EX60" t="e">
        <f>AND(Bills!O142,"AAAAAGf/fpk=")</f>
        <v>#VALUE!</v>
      </c>
      <c r="EY60" t="e">
        <f>AND(Bills!P142,"AAAAAGf/fpo=")</f>
        <v>#VALUE!</v>
      </c>
      <c r="EZ60" t="e">
        <f>AND(Bills!Q142,"AAAAAGf/fps=")</f>
        <v>#VALUE!</v>
      </c>
      <c r="FA60" t="e">
        <f>AND(Bills!R142,"AAAAAGf/fpw=")</f>
        <v>#VALUE!</v>
      </c>
      <c r="FB60" t="e">
        <f>AND(Bills!S142,"AAAAAGf/fp0=")</f>
        <v>#VALUE!</v>
      </c>
      <c r="FC60" t="e">
        <f>AND(Bills!T142,"AAAAAGf/fp4=")</f>
        <v>#VALUE!</v>
      </c>
      <c r="FD60" t="e">
        <f>AND(Bills!#REF!,"AAAAAGf/fp8=")</f>
        <v>#REF!</v>
      </c>
      <c r="FE60" t="e">
        <f>AND(Bills!U142,"AAAAAGf/fqA=")</f>
        <v>#VALUE!</v>
      </c>
      <c r="FF60" t="e">
        <f>AND(Bills!V142,"AAAAAGf/fqE=")</f>
        <v>#VALUE!</v>
      </c>
      <c r="FG60" t="e">
        <f>AND(Bills!W142,"AAAAAGf/fqI=")</f>
        <v>#VALUE!</v>
      </c>
      <c r="FH60" t="e">
        <f>AND(Bills!#REF!,"AAAAAGf/fqM=")</f>
        <v>#REF!</v>
      </c>
      <c r="FI60" t="e">
        <f>AND(Bills!#REF!,"AAAAAGf/fqQ=")</f>
        <v>#REF!</v>
      </c>
      <c r="FJ60" t="e">
        <f>AND(Bills!Y142,"AAAAAGf/fqU=")</f>
        <v>#VALUE!</v>
      </c>
      <c r="FK60" t="e">
        <f>AND(Bills!Z142,"AAAAAGf/fqY=")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AND(Bills!AA142,"AAAAAGf/frA=")</f>
        <v>#VALUE!</v>
      </c>
      <c r="FV60" t="e">
        <f>AND(Bills!AB142,"AAAAAGf/frE=")</f>
        <v>#VALUE!</v>
      </c>
      <c r="FW60" t="e">
        <f>AND(Bills!#REF!,"AAAAAGf/frI=")</f>
        <v>#REF!</v>
      </c>
      <c r="FX60" t="e">
        <f>AND(Bills!#REF!,"AAAAAGf/frM=")</f>
        <v>#REF!</v>
      </c>
      <c r="FY60" t="e">
        <f>AND(Bills!#REF!,"AAAAAGf/frQ=")</f>
        <v>#REF!</v>
      </c>
      <c r="FZ60" t="e">
        <f>AND(Bills!AC142,"AAAAAGf/frU=")</f>
        <v>#VALUE!</v>
      </c>
      <c r="GA60" t="e">
        <f>AND(Bills!AD142,"AAAAAGf/frY=")</f>
        <v>#VALUE!</v>
      </c>
      <c r="GB60" t="e">
        <f>AND(Bills!#REF!,"AAAAAGf/frc=")</f>
        <v>#REF!</v>
      </c>
      <c r="GC60">
        <f>IF(Bills!143:143,"AAAAAGf/frg=",0)</f>
        <v>0</v>
      </c>
      <c r="GD60" t="e">
        <f>AND(Bills!B143,"AAAAAGf/frk=")</f>
        <v>#VALUE!</v>
      </c>
      <c r="GE60" t="e">
        <f>AND(Bills!#REF!,"AAAAAGf/fro=")</f>
        <v>#REF!</v>
      </c>
      <c r="GF60" t="e">
        <f>AND(Bills!C143,"AAAAAGf/frs=")</f>
        <v>#VALUE!</v>
      </c>
      <c r="GG60" t="e">
        <f>AND(Bills!D143,"AAAAAGf/frw=")</f>
        <v>#VALUE!</v>
      </c>
      <c r="GH60" t="e">
        <f>AND(Bills!E143,"AAAAAGf/fr0=")</f>
        <v>#VALUE!</v>
      </c>
      <c r="GI60" t="e">
        <f>AND(Bills!#REF!,"AAAAAGf/fr4=")</f>
        <v>#REF!</v>
      </c>
      <c r="GJ60" t="e">
        <f>AND(Bills!#REF!,"AAAAAGf/fr8=")</f>
        <v>#REF!</v>
      </c>
      <c r="GK60" t="e">
        <f>AND(Bills!#REF!,"AAAAAGf/fsA=")</f>
        <v>#REF!</v>
      </c>
      <c r="GL60" t="e">
        <f>AND(Bills!F143,"AAAAAGf/fsE=")</f>
        <v>#VALUE!</v>
      </c>
      <c r="GM60" t="e">
        <f>AND(Bills!#REF!,"AAAAAGf/fsI=")</f>
        <v>#REF!</v>
      </c>
      <c r="GN60" t="e">
        <f>AND(Bills!G143,"AAAAAGf/fsM=")</f>
        <v>#VALUE!</v>
      </c>
      <c r="GO60" t="e">
        <f>AND(Bills!H143,"AAAAAGf/fsQ=")</f>
        <v>#VALUE!</v>
      </c>
      <c r="GP60" t="e">
        <f>AND(Bills!I143,"AAAAAGf/fsU=")</f>
        <v>#VALUE!</v>
      </c>
      <c r="GQ60" t="e">
        <f>AND(Bills!J143,"AAAAAGf/fsY=")</f>
        <v>#VALUE!</v>
      </c>
      <c r="GR60" t="e">
        <f>AND(Bills!K143,"AAAAAGf/fsc=")</f>
        <v>#VALUE!</v>
      </c>
      <c r="GS60" t="e">
        <f>AND(Bills!L143,"AAAAAGf/fsg=")</f>
        <v>#VALUE!</v>
      </c>
      <c r="GT60" t="e">
        <f>AND(Bills!#REF!,"AAAAAGf/fsk=")</f>
        <v>#REF!</v>
      </c>
      <c r="GU60" t="e">
        <f>AND(Bills!M143,"AAAAAGf/fso=")</f>
        <v>#VALUE!</v>
      </c>
      <c r="GV60" t="e">
        <f>AND(Bills!N143,"AAAAAGf/fss=")</f>
        <v>#VALUE!</v>
      </c>
      <c r="GW60" t="e">
        <f>AND(Bills!O143,"AAAAAGf/fsw=")</f>
        <v>#VALUE!</v>
      </c>
      <c r="GX60" t="e">
        <f>AND(Bills!P143,"AAAAAGf/fs0=")</f>
        <v>#VALUE!</v>
      </c>
      <c r="GY60" t="e">
        <f>AND(Bills!Q143,"AAAAAGf/fs4=")</f>
        <v>#VALUE!</v>
      </c>
      <c r="GZ60" t="e">
        <f>AND(Bills!R143,"AAAAAGf/fs8=")</f>
        <v>#VALUE!</v>
      </c>
      <c r="HA60" t="e">
        <f>AND(Bills!S143,"AAAAAGf/ftA=")</f>
        <v>#VALUE!</v>
      </c>
      <c r="HB60" t="e">
        <f>AND(Bills!T143,"AAAAAGf/ftE=")</f>
        <v>#VALUE!</v>
      </c>
      <c r="HC60" t="e">
        <f>AND(Bills!#REF!,"AAAAAGf/ftI=")</f>
        <v>#REF!</v>
      </c>
      <c r="HD60" t="e">
        <f>AND(Bills!U143,"AAAAAGf/ftM=")</f>
        <v>#VALUE!</v>
      </c>
      <c r="HE60" t="e">
        <f>AND(Bills!V143,"AAAAAGf/ftQ=")</f>
        <v>#VALUE!</v>
      </c>
      <c r="HF60" t="e">
        <f>AND(Bills!W143,"AAAAAGf/ftU=")</f>
        <v>#VALUE!</v>
      </c>
      <c r="HG60" t="e">
        <f>AND(Bills!#REF!,"AAAAAGf/ftY=")</f>
        <v>#REF!</v>
      </c>
      <c r="HH60" t="e">
        <f>AND(Bills!#REF!,"AAAAAGf/ftc=")</f>
        <v>#REF!</v>
      </c>
      <c r="HI60" t="e">
        <f>AND(Bills!Y143,"AAAAAGf/ftg=")</f>
        <v>#VALUE!</v>
      </c>
      <c r="HJ60" t="e">
        <f>AND(Bills!Z143,"AAAAAGf/ftk=")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AND(Bills!AA143,"AAAAAGf/fuM=")</f>
        <v>#VALUE!</v>
      </c>
      <c r="HU60" t="e">
        <f>AND(Bills!AB143,"AAAAAGf/fuQ=")</f>
        <v>#VALUE!</v>
      </c>
      <c r="HV60" t="e">
        <f>AND(Bills!#REF!,"AAAAAGf/fuU=")</f>
        <v>#REF!</v>
      </c>
      <c r="HW60" t="e">
        <f>AND(Bills!#REF!,"AAAAAGf/fuY=")</f>
        <v>#REF!</v>
      </c>
      <c r="HX60" t="e">
        <f>AND(Bills!#REF!,"AAAAAGf/fuc=")</f>
        <v>#REF!</v>
      </c>
      <c r="HY60" t="e">
        <f>AND(Bills!AC143,"AAAAAGf/fug=")</f>
        <v>#VALUE!</v>
      </c>
      <c r="HZ60" t="e">
        <f>AND(Bills!AD143,"AAAAAGf/fuk=")</f>
        <v>#VALUE!</v>
      </c>
      <c r="IA60" t="e">
        <f>AND(Bills!#REF!,"AAAAAGf/fuo=")</f>
        <v>#REF!</v>
      </c>
      <c r="IB60">
        <f>IF(Bills!144:144,"AAAAAGf/fus=",0)</f>
        <v>0</v>
      </c>
      <c r="IC60" t="e">
        <f>AND(Bills!B144,"AAAAAGf/fuw=")</f>
        <v>#VALUE!</v>
      </c>
      <c r="ID60" t="e">
        <f>AND(Bills!#REF!,"AAAAAGf/fu0=")</f>
        <v>#REF!</v>
      </c>
      <c r="IE60" t="e">
        <f>AND(Bills!C144,"AAAAAGf/fu4=")</f>
        <v>#VALUE!</v>
      </c>
      <c r="IF60" t="e">
        <f>AND(Bills!D144,"AAAAAGf/fu8=")</f>
        <v>#VALUE!</v>
      </c>
      <c r="IG60" t="e">
        <f>AND(Bills!E144,"AAAAAGf/fvA=")</f>
        <v>#VALUE!</v>
      </c>
      <c r="IH60" t="e">
        <f>AND(Bills!#REF!,"AAAAAGf/fvE=")</f>
        <v>#REF!</v>
      </c>
      <c r="II60" t="e">
        <f>AND(Bills!#REF!,"AAAAAGf/fvI=")</f>
        <v>#REF!</v>
      </c>
      <c r="IJ60" t="e">
        <f>AND(Bills!#REF!,"AAAAAGf/fvM=")</f>
        <v>#REF!</v>
      </c>
      <c r="IK60" t="e">
        <f>AND(Bills!F144,"AAAAAGf/fvQ=")</f>
        <v>#VALUE!</v>
      </c>
      <c r="IL60" t="e">
        <f>AND(Bills!#REF!,"AAAAAGf/fvU=")</f>
        <v>#REF!</v>
      </c>
      <c r="IM60" t="e">
        <f>AND(Bills!G144,"AAAAAGf/fvY=")</f>
        <v>#VALUE!</v>
      </c>
      <c r="IN60" t="e">
        <f>AND(Bills!H144,"AAAAAGf/fvc=")</f>
        <v>#VALUE!</v>
      </c>
      <c r="IO60" t="e">
        <f>AND(Bills!I144,"AAAAAGf/fvg=")</f>
        <v>#VALUE!</v>
      </c>
      <c r="IP60" t="e">
        <f>AND(Bills!J144,"AAAAAGf/fvk=")</f>
        <v>#VALUE!</v>
      </c>
      <c r="IQ60" t="e">
        <f>AND(Bills!K144,"AAAAAGf/fvo=")</f>
        <v>#VALUE!</v>
      </c>
      <c r="IR60" t="e">
        <f>AND(Bills!L144,"AAAAAGf/fvs=")</f>
        <v>#VALUE!</v>
      </c>
      <c r="IS60" t="e">
        <f>AND(Bills!#REF!,"AAAAAGf/fvw=")</f>
        <v>#REF!</v>
      </c>
      <c r="IT60" t="e">
        <f>AND(Bills!M144,"AAAAAGf/fv0=")</f>
        <v>#VALUE!</v>
      </c>
      <c r="IU60" t="e">
        <f>AND(Bills!N144,"AAAAAGf/fv4=")</f>
        <v>#VALUE!</v>
      </c>
      <c r="IV60" t="e">
        <f>AND(Bills!O144,"AAAAAGf/fv8=")</f>
        <v>#VALUE!</v>
      </c>
    </row>
    <row r="61" spans="1:256">
      <c r="A61" t="e">
        <f>AND(Bills!P144,"AAAAAD//HQA=")</f>
        <v>#VALUE!</v>
      </c>
      <c r="B61" t="e">
        <f>AND(Bills!Q144,"AAAAAD//HQE=")</f>
        <v>#VALUE!</v>
      </c>
      <c r="C61" t="e">
        <f>AND(Bills!R144,"AAAAAD//HQI=")</f>
        <v>#VALUE!</v>
      </c>
      <c r="D61" t="e">
        <f>AND(Bills!S144,"AAAAAD//HQM=")</f>
        <v>#VALUE!</v>
      </c>
      <c r="E61" t="e">
        <f>AND(Bills!T144,"AAAAAD//HQQ=")</f>
        <v>#VALUE!</v>
      </c>
      <c r="F61" t="e">
        <f>AND(Bills!#REF!,"AAAAAD//HQU=")</f>
        <v>#REF!</v>
      </c>
      <c r="G61" t="e">
        <f>AND(Bills!U144,"AAAAAD//HQY=")</f>
        <v>#VALUE!</v>
      </c>
      <c r="H61" t="e">
        <f>AND(Bills!V144,"AAAAAD//HQc=")</f>
        <v>#VALUE!</v>
      </c>
      <c r="I61" t="e">
        <f>AND(Bills!W144,"AAAAAD//HQg=")</f>
        <v>#VALUE!</v>
      </c>
      <c r="J61" t="e">
        <f>AND(Bills!#REF!,"AAAAAD//HQk=")</f>
        <v>#REF!</v>
      </c>
      <c r="K61" t="e">
        <f>AND(Bills!#REF!,"AAAAAD//HQo=")</f>
        <v>#REF!</v>
      </c>
      <c r="L61" t="e">
        <f>AND(Bills!Y144,"AAAAAD//HQs=")</f>
        <v>#VALUE!</v>
      </c>
      <c r="M61" t="e">
        <f>AND(Bills!Z144,"AAAAAD//HQw=")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AND(Bills!AA144,"AAAAAD//HRY=")</f>
        <v>#VALUE!</v>
      </c>
      <c r="X61" t="e">
        <f>AND(Bills!AB144,"AAAAAD//HRc=")</f>
        <v>#VALUE!</v>
      </c>
      <c r="Y61" t="e">
        <f>AND(Bills!#REF!,"AAAAAD//HRg=")</f>
        <v>#REF!</v>
      </c>
      <c r="Z61" t="e">
        <f>AND(Bills!#REF!,"AAAAAD//HRk=")</f>
        <v>#REF!</v>
      </c>
      <c r="AA61" t="e">
        <f>AND(Bills!#REF!,"AAAAAD//HRo=")</f>
        <v>#REF!</v>
      </c>
      <c r="AB61" t="e">
        <f>AND(Bills!AC144,"AAAAAD//HRs=")</f>
        <v>#VALUE!</v>
      </c>
      <c r="AC61" t="e">
        <f>AND(Bills!AD144,"AAAAAD//HRw=")</f>
        <v>#VALUE!</v>
      </c>
      <c r="AD61" t="e">
        <f>AND(Bills!#REF!,"AAAAAD//HR0=")</f>
        <v>#REF!</v>
      </c>
      <c r="AE61">
        <f>IF(Bills!145:145,"AAAAAD//HR4=",0)</f>
        <v>0</v>
      </c>
      <c r="AF61" t="e">
        <f>AND(Bills!B145,"AAAAAD//HR8=")</f>
        <v>#VALUE!</v>
      </c>
      <c r="AG61" t="e">
        <f>AND(Bills!#REF!,"AAAAAD//HSA=")</f>
        <v>#REF!</v>
      </c>
      <c r="AH61" t="e">
        <f>AND(Bills!C145,"AAAAAD//HSE=")</f>
        <v>#VALUE!</v>
      </c>
      <c r="AI61" t="e">
        <f>AND(Bills!D145,"AAAAAD//HSI=")</f>
        <v>#VALUE!</v>
      </c>
      <c r="AJ61" t="e">
        <f>AND(Bills!E145,"AAAAAD//HSM=")</f>
        <v>#VALUE!</v>
      </c>
      <c r="AK61" t="e">
        <f>AND(Bills!#REF!,"AAAAAD//HSQ=")</f>
        <v>#REF!</v>
      </c>
      <c r="AL61" t="e">
        <f>AND(Bills!#REF!,"AAAAAD//HSU=")</f>
        <v>#REF!</v>
      </c>
      <c r="AM61" t="e">
        <f>AND(Bills!#REF!,"AAAAAD//HSY=")</f>
        <v>#REF!</v>
      </c>
      <c r="AN61" t="e">
        <f>AND(Bills!F145,"AAAAAD//HSc=")</f>
        <v>#VALUE!</v>
      </c>
      <c r="AO61" t="e">
        <f>AND(Bills!#REF!,"AAAAAD//HSg=")</f>
        <v>#REF!</v>
      </c>
      <c r="AP61" t="e">
        <f>AND(Bills!G145,"AAAAAD//HSk=")</f>
        <v>#VALUE!</v>
      </c>
      <c r="AQ61" t="e">
        <f>AND(Bills!H145,"AAAAAD//HSo=")</f>
        <v>#VALUE!</v>
      </c>
      <c r="AR61" t="e">
        <f>AND(Bills!I145,"AAAAAD//HSs=")</f>
        <v>#VALUE!</v>
      </c>
      <c r="AS61" t="e">
        <f>AND(Bills!J145,"AAAAAD//HSw=")</f>
        <v>#VALUE!</v>
      </c>
      <c r="AT61" t="e">
        <f>AND(Bills!K145,"AAAAAD//HS0=")</f>
        <v>#VALUE!</v>
      </c>
      <c r="AU61" t="e">
        <f>AND(Bills!L145,"AAAAAD//HS4=")</f>
        <v>#VALUE!</v>
      </c>
      <c r="AV61" t="e">
        <f>AND(Bills!#REF!,"AAAAAD//HS8=")</f>
        <v>#REF!</v>
      </c>
      <c r="AW61" t="e">
        <f>AND(Bills!M145,"AAAAAD//HTA=")</f>
        <v>#VALUE!</v>
      </c>
      <c r="AX61" t="e">
        <f>AND(Bills!N145,"AAAAAD//HTE=")</f>
        <v>#VALUE!</v>
      </c>
      <c r="AY61" t="e">
        <f>AND(Bills!O145,"AAAAAD//HTI=")</f>
        <v>#VALUE!</v>
      </c>
      <c r="AZ61" t="e">
        <f>AND(Bills!P145,"AAAAAD//HTM=")</f>
        <v>#VALUE!</v>
      </c>
      <c r="BA61" t="e">
        <f>AND(Bills!Q145,"AAAAAD//HTQ=")</f>
        <v>#VALUE!</v>
      </c>
      <c r="BB61" t="e">
        <f>AND(Bills!R145,"AAAAAD//HTU=")</f>
        <v>#VALUE!</v>
      </c>
      <c r="BC61" t="e">
        <f>AND(Bills!S145,"AAAAAD//HTY=")</f>
        <v>#VALUE!</v>
      </c>
      <c r="BD61" t="e">
        <f>AND(Bills!T145,"AAAAAD//HTc=")</f>
        <v>#VALUE!</v>
      </c>
      <c r="BE61" t="e">
        <f>AND(Bills!#REF!,"AAAAAD//HTg=")</f>
        <v>#REF!</v>
      </c>
      <c r="BF61" t="e">
        <f>AND(Bills!U145,"AAAAAD//HTk=")</f>
        <v>#VALUE!</v>
      </c>
      <c r="BG61" t="e">
        <f>AND(Bills!V145,"AAAAAD//HTo=")</f>
        <v>#VALUE!</v>
      </c>
      <c r="BH61" t="e">
        <f>AND(Bills!W145,"AAAAAD//HTs=")</f>
        <v>#VALUE!</v>
      </c>
      <c r="BI61" t="e">
        <f>AND(Bills!#REF!,"AAAAAD//HTw=")</f>
        <v>#REF!</v>
      </c>
      <c r="BJ61" t="e">
        <f>AND(Bills!#REF!,"AAAAAD//HT0=")</f>
        <v>#REF!</v>
      </c>
      <c r="BK61" t="e">
        <f>AND(Bills!Y145,"AAAAAD//HT4=")</f>
        <v>#VALUE!</v>
      </c>
      <c r="BL61" t="e">
        <f>AND(Bills!Z145,"AAAAAD//HT8=")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AND(Bills!AA145,"AAAAAD//HUk=")</f>
        <v>#VALUE!</v>
      </c>
      <c r="BW61" t="e">
        <f>AND(Bills!AB145,"AAAAAD//HUo=")</f>
        <v>#VALUE!</v>
      </c>
      <c r="BX61" t="e">
        <f>AND(Bills!#REF!,"AAAAAD//HUs=")</f>
        <v>#REF!</v>
      </c>
      <c r="BY61" t="e">
        <f>AND(Bills!#REF!,"AAAAAD//HUw=")</f>
        <v>#REF!</v>
      </c>
      <c r="BZ61" t="e">
        <f>AND(Bills!#REF!,"AAAAAD//HU0=")</f>
        <v>#REF!</v>
      </c>
      <c r="CA61" t="e">
        <f>AND(Bills!AC145,"AAAAAD//HU4=")</f>
        <v>#VALUE!</v>
      </c>
      <c r="CB61" t="e">
        <f>AND(Bills!AD145,"AAAAAD//HU8=")</f>
        <v>#VALUE!</v>
      </c>
      <c r="CC61" t="e">
        <f>AND(Bills!#REF!,"AAAAAD//HVA=")</f>
        <v>#REF!</v>
      </c>
      <c r="CD61">
        <f>IF(Bills!146:146,"AAAAAD//HVE=",0)</f>
        <v>0</v>
      </c>
      <c r="CE61" t="e">
        <f>AND(Bills!B146,"AAAAAD//HVI=")</f>
        <v>#VALUE!</v>
      </c>
      <c r="CF61" t="e">
        <f>AND(Bills!#REF!,"AAAAAD//HVM=")</f>
        <v>#REF!</v>
      </c>
      <c r="CG61" t="e">
        <f>AND(Bills!C146,"AAAAAD//HVQ=")</f>
        <v>#VALUE!</v>
      </c>
      <c r="CH61" t="e">
        <f>AND(Bills!D146,"AAAAAD//HVU=")</f>
        <v>#VALUE!</v>
      </c>
      <c r="CI61" t="e">
        <f>AND(Bills!E146,"AAAAAD//HVY=")</f>
        <v>#VALUE!</v>
      </c>
      <c r="CJ61" t="e">
        <f>AND(Bills!#REF!,"AAAAAD//HVc=")</f>
        <v>#REF!</v>
      </c>
      <c r="CK61" t="e">
        <f>AND(Bills!#REF!,"AAAAAD//HVg=")</f>
        <v>#REF!</v>
      </c>
      <c r="CL61" t="e">
        <f>AND(Bills!#REF!,"AAAAAD//HVk=")</f>
        <v>#REF!</v>
      </c>
      <c r="CM61" t="e">
        <f>AND(Bills!F146,"AAAAAD//HVo=")</f>
        <v>#VALUE!</v>
      </c>
      <c r="CN61" t="e">
        <f>AND(Bills!#REF!,"AAAAAD//HVs=")</f>
        <v>#REF!</v>
      </c>
      <c r="CO61" t="e">
        <f>AND(Bills!G146,"AAAAAD//HVw=")</f>
        <v>#VALUE!</v>
      </c>
      <c r="CP61" t="e">
        <f>AND(Bills!H146,"AAAAAD//HV0=")</f>
        <v>#VALUE!</v>
      </c>
      <c r="CQ61" t="e">
        <f>AND(Bills!I146,"AAAAAD//HV4=")</f>
        <v>#VALUE!</v>
      </c>
      <c r="CR61" t="e">
        <f>AND(Bills!J146,"AAAAAD//HV8=")</f>
        <v>#VALUE!</v>
      </c>
      <c r="CS61" t="e">
        <f>AND(Bills!K146,"AAAAAD//HWA=")</f>
        <v>#VALUE!</v>
      </c>
      <c r="CT61" t="e">
        <f>AND(Bills!L146,"AAAAAD//HWE=")</f>
        <v>#VALUE!</v>
      </c>
      <c r="CU61" t="e">
        <f>AND(Bills!#REF!,"AAAAAD//HWI=")</f>
        <v>#REF!</v>
      </c>
      <c r="CV61" t="e">
        <f>AND(Bills!M146,"AAAAAD//HWM=")</f>
        <v>#VALUE!</v>
      </c>
      <c r="CW61" t="e">
        <f>AND(Bills!N146,"AAAAAD//HWQ=")</f>
        <v>#VALUE!</v>
      </c>
      <c r="CX61" t="e">
        <f>AND(Bills!O146,"AAAAAD//HWU=")</f>
        <v>#VALUE!</v>
      </c>
      <c r="CY61" t="e">
        <f>AND(Bills!P146,"AAAAAD//HWY=")</f>
        <v>#VALUE!</v>
      </c>
      <c r="CZ61" t="e">
        <f>AND(Bills!Q146,"AAAAAD//HWc=")</f>
        <v>#VALUE!</v>
      </c>
      <c r="DA61" t="e">
        <f>AND(Bills!R146,"AAAAAD//HWg=")</f>
        <v>#VALUE!</v>
      </c>
      <c r="DB61" t="e">
        <f>AND(Bills!S146,"AAAAAD//HWk=")</f>
        <v>#VALUE!</v>
      </c>
      <c r="DC61" t="e">
        <f>AND(Bills!T146,"AAAAAD//HWo=")</f>
        <v>#VALUE!</v>
      </c>
      <c r="DD61" t="e">
        <f>AND(Bills!#REF!,"AAAAAD//HWs=")</f>
        <v>#REF!</v>
      </c>
      <c r="DE61" t="e">
        <f>AND(Bills!U146,"AAAAAD//HWw=")</f>
        <v>#VALUE!</v>
      </c>
      <c r="DF61" t="e">
        <f>AND(Bills!V146,"AAAAAD//HW0=")</f>
        <v>#VALUE!</v>
      </c>
      <c r="DG61" t="e">
        <f>AND(Bills!W146,"AAAAAD//HW4=")</f>
        <v>#VALUE!</v>
      </c>
      <c r="DH61" t="e">
        <f>AND(Bills!#REF!,"AAAAAD//HW8=")</f>
        <v>#REF!</v>
      </c>
      <c r="DI61" t="e">
        <f>AND(Bills!#REF!,"AAAAAD//HXA=")</f>
        <v>#REF!</v>
      </c>
      <c r="DJ61" t="e">
        <f>AND(Bills!Y146,"AAAAAD//HXE=")</f>
        <v>#VALUE!</v>
      </c>
      <c r="DK61" t="e">
        <f>AND(Bills!Z146,"AAAAAD//HXI=")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AND(Bills!AA146,"AAAAAD//HXw=")</f>
        <v>#VALUE!</v>
      </c>
      <c r="DV61" t="e">
        <f>AND(Bills!AB146,"AAAAAD//HX0=")</f>
        <v>#VALUE!</v>
      </c>
      <c r="DW61" t="e">
        <f>AND(Bills!#REF!,"AAAAAD//HX4=")</f>
        <v>#REF!</v>
      </c>
      <c r="DX61" t="e">
        <f>AND(Bills!#REF!,"AAAAAD//HX8=")</f>
        <v>#REF!</v>
      </c>
      <c r="DY61" t="e">
        <f>AND(Bills!#REF!,"AAAAAD//HYA=")</f>
        <v>#REF!</v>
      </c>
      <c r="DZ61" t="e">
        <f>AND(Bills!AC146,"AAAAAD//HYE=")</f>
        <v>#VALUE!</v>
      </c>
      <c r="EA61" t="e">
        <f>AND(Bills!AD146,"AAAAAD//HYI=")</f>
        <v>#VALUE!</v>
      </c>
      <c r="EB61" t="e">
        <f>AND(Bills!#REF!,"AAAAAD//HYM=")</f>
        <v>#REF!</v>
      </c>
      <c r="EC61">
        <f>IF(Bills!147:147,"AAAAAD//HYQ=",0)</f>
        <v>0</v>
      </c>
      <c r="ED61" t="e">
        <f>AND(Bills!B147,"AAAAAD//HYU=")</f>
        <v>#VALUE!</v>
      </c>
      <c r="EE61" t="e">
        <f>AND(Bills!#REF!,"AAAAAD//HYY=")</f>
        <v>#REF!</v>
      </c>
      <c r="EF61" t="e">
        <f>AND(Bills!C147,"AAAAAD//HYc=")</f>
        <v>#VALUE!</v>
      </c>
      <c r="EG61" t="e">
        <f>AND(Bills!D147,"AAAAAD//HYg=")</f>
        <v>#VALUE!</v>
      </c>
      <c r="EH61" t="e">
        <f>AND(Bills!E147,"AAAAAD//HYk=")</f>
        <v>#VALUE!</v>
      </c>
      <c r="EI61" t="e">
        <f>AND(Bills!#REF!,"AAAAAD//HYo=")</f>
        <v>#REF!</v>
      </c>
      <c r="EJ61" t="e">
        <f>AND(Bills!#REF!,"AAAAAD//HYs=")</f>
        <v>#REF!</v>
      </c>
      <c r="EK61" t="e">
        <f>AND(Bills!#REF!,"AAAAAD//HYw=")</f>
        <v>#REF!</v>
      </c>
      <c r="EL61" t="e">
        <f>AND(Bills!F147,"AAAAAD//HY0=")</f>
        <v>#VALUE!</v>
      </c>
      <c r="EM61" t="e">
        <f>AND(Bills!#REF!,"AAAAAD//HY4=")</f>
        <v>#REF!</v>
      </c>
      <c r="EN61" t="e">
        <f>AND(Bills!G147,"AAAAAD//HY8=")</f>
        <v>#VALUE!</v>
      </c>
      <c r="EO61" t="e">
        <f>AND(Bills!H147,"AAAAAD//HZA=")</f>
        <v>#VALUE!</v>
      </c>
      <c r="EP61" t="e">
        <f>AND(Bills!I147,"AAAAAD//HZE=")</f>
        <v>#VALUE!</v>
      </c>
      <c r="EQ61" t="e">
        <f>AND(Bills!J147,"AAAAAD//HZI=")</f>
        <v>#VALUE!</v>
      </c>
      <c r="ER61" t="e">
        <f>AND(Bills!K147,"AAAAAD//HZM=")</f>
        <v>#VALUE!</v>
      </c>
      <c r="ES61" t="e">
        <f>AND(Bills!L147,"AAAAAD//HZQ=")</f>
        <v>#VALUE!</v>
      </c>
      <c r="ET61" t="e">
        <f>AND(Bills!#REF!,"AAAAAD//HZU=")</f>
        <v>#REF!</v>
      </c>
      <c r="EU61" t="e">
        <f>AND(Bills!M147,"AAAAAD//HZY=")</f>
        <v>#VALUE!</v>
      </c>
      <c r="EV61" t="e">
        <f>AND(Bills!N147,"AAAAAD//HZc=")</f>
        <v>#VALUE!</v>
      </c>
      <c r="EW61" t="e">
        <f>AND(Bills!O147,"AAAAAD//HZg=")</f>
        <v>#VALUE!</v>
      </c>
      <c r="EX61" t="e">
        <f>AND(Bills!P147,"AAAAAD//HZk=")</f>
        <v>#VALUE!</v>
      </c>
      <c r="EY61" t="e">
        <f>AND(Bills!Q147,"AAAAAD//HZo=")</f>
        <v>#VALUE!</v>
      </c>
      <c r="EZ61" t="e">
        <f>AND(Bills!R147,"AAAAAD//HZs=")</f>
        <v>#VALUE!</v>
      </c>
      <c r="FA61" t="e">
        <f>AND(Bills!S147,"AAAAAD//HZw=")</f>
        <v>#VALUE!</v>
      </c>
      <c r="FB61" t="e">
        <f>AND(Bills!T147,"AAAAAD//HZ0=")</f>
        <v>#VALUE!</v>
      </c>
      <c r="FC61" t="e">
        <f>AND(Bills!#REF!,"AAAAAD//HZ4=")</f>
        <v>#REF!</v>
      </c>
      <c r="FD61" t="e">
        <f>AND(Bills!U147,"AAAAAD//HZ8=")</f>
        <v>#VALUE!</v>
      </c>
      <c r="FE61" t="e">
        <f>AND(Bills!V147,"AAAAAD//HaA=")</f>
        <v>#VALUE!</v>
      </c>
      <c r="FF61" t="e">
        <f>AND(Bills!W147,"AAAAAD//HaE=")</f>
        <v>#VALUE!</v>
      </c>
      <c r="FG61" t="e">
        <f>AND(Bills!#REF!,"AAAAAD//HaI=")</f>
        <v>#REF!</v>
      </c>
      <c r="FH61" t="e">
        <f>AND(Bills!#REF!,"AAAAAD//HaM=")</f>
        <v>#REF!</v>
      </c>
      <c r="FI61" t="e">
        <f>AND(Bills!Y147,"AAAAAD//HaQ=")</f>
        <v>#VALUE!</v>
      </c>
      <c r="FJ61" t="e">
        <f>AND(Bills!Z147,"AAAAAD//HaU=")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AND(Bills!AA147,"AAAAAD//Ha8=")</f>
        <v>#VALUE!</v>
      </c>
      <c r="FU61" t="e">
        <f>AND(Bills!AB147,"AAAAAD//HbA=")</f>
        <v>#VALUE!</v>
      </c>
      <c r="FV61" t="e">
        <f>AND(Bills!#REF!,"AAAAAD//HbE=")</f>
        <v>#REF!</v>
      </c>
      <c r="FW61" t="e">
        <f>AND(Bills!#REF!,"AAAAAD//HbI=")</f>
        <v>#REF!</v>
      </c>
      <c r="FX61" t="e">
        <f>AND(Bills!#REF!,"AAAAAD//HbM=")</f>
        <v>#REF!</v>
      </c>
      <c r="FY61" t="e">
        <f>AND(Bills!AC147,"AAAAAD//HbQ=")</f>
        <v>#VALUE!</v>
      </c>
      <c r="FZ61" t="e">
        <f>AND(Bills!AD147,"AAAAAD//HbU=")</f>
        <v>#VALUE!</v>
      </c>
      <c r="GA61" t="e">
        <f>AND(Bills!#REF!,"AAAAAD//HbY=")</f>
        <v>#REF!</v>
      </c>
      <c r="GB61">
        <f>IF(Bills!148:148,"AAAAAD//Hbc=",0)</f>
        <v>0</v>
      </c>
      <c r="GC61" t="e">
        <f>AND(Bills!B148,"AAAAAD//Hbg=")</f>
        <v>#VALUE!</v>
      </c>
      <c r="GD61" t="e">
        <f>AND(Bills!#REF!,"AAAAAD//Hbk=")</f>
        <v>#REF!</v>
      </c>
      <c r="GE61" t="e">
        <f>AND(Bills!C148,"AAAAAD//Hbo=")</f>
        <v>#VALUE!</v>
      </c>
      <c r="GF61" t="e">
        <f>AND(Bills!D148,"AAAAAD//Hbs=")</f>
        <v>#VALUE!</v>
      </c>
      <c r="GG61" t="e">
        <f>AND(Bills!E148,"AAAAAD//Hbw=")</f>
        <v>#VALUE!</v>
      </c>
      <c r="GH61" t="e">
        <f>AND(Bills!#REF!,"AAAAAD//Hb0=")</f>
        <v>#REF!</v>
      </c>
      <c r="GI61" t="e">
        <f>AND(Bills!#REF!,"AAAAAD//Hb4=")</f>
        <v>#REF!</v>
      </c>
      <c r="GJ61" t="e">
        <f>AND(Bills!#REF!,"AAAAAD//Hb8=")</f>
        <v>#REF!</v>
      </c>
      <c r="GK61" t="e">
        <f>AND(Bills!F148,"AAAAAD//HcA=")</f>
        <v>#VALUE!</v>
      </c>
      <c r="GL61" t="e">
        <f>AND(Bills!#REF!,"AAAAAD//HcE=")</f>
        <v>#REF!</v>
      </c>
      <c r="GM61" t="e">
        <f>AND(Bills!G148,"AAAAAD//HcI=")</f>
        <v>#VALUE!</v>
      </c>
      <c r="GN61" t="e">
        <f>AND(Bills!H148,"AAAAAD//HcM=")</f>
        <v>#VALUE!</v>
      </c>
      <c r="GO61" t="e">
        <f>AND(Bills!I148,"AAAAAD//HcQ=")</f>
        <v>#VALUE!</v>
      </c>
      <c r="GP61" t="e">
        <f>AND(Bills!J148,"AAAAAD//HcU=")</f>
        <v>#VALUE!</v>
      </c>
      <c r="GQ61" t="e">
        <f>AND(Bills!K148,"AAAAAD//HcY=")</f>
        <v>#VALUE!</v>
      </c>
      <c r="GR61" t="e">
        <f>AND(Bills!L148,"AAAAAD//Hcc=")</f>
        <v>#VALUE!</v>
      </c>
      <c r="GS61" t="e">
        <f>AND(Bills!#REF!,"AAAAAD//Hcg=")</f>
        <v>#REF!</v>
      </c>
      <c r="GT61" t="e">
        <f>AND(Bills!M148,"AAAAAD//Hck=")</f>
        <v>#VALUE!</v>
      </c>
      <c r="GU61" t="e">
        <f>AND(Bills!N148,"AAAAAD//Hco=")</f>
        <v>#VALUE!</v>
      </c>
      <c r="GV61" t="e">
        <f>AND(Bills!O148,"AAAAAD//Hcs=")</f>
        <v>#VALUE!</v>
      </c>
      <c r="GW61" t="e">
        <f>AND(Bills!P148,"AAAAAD//Hcw=")</f>
        <v>#VALUE!</v>
      </c>
      <c r="GX61" t="e">
        <f>AND(Bills!Q148,"AAAAAD//Hc0=")</f>
        <v>#VALUE!</v>
      </c>
      <c r="GY61" t="e">
        <f>AND(Bills!R148,"AAAAAD//Hc4=")</f>
        <v>#VALUE!</v>
      </c>
      <c r="GZ61" t="e">
        <f>AND(Bills!S148,"AAAAAD//Hc8=")</f>
        <v>#VALUE!</v>
      </c>
      <c r="HA61" t="e">
        <f>AND(Bills!T148,"AAAAAD//HdA=")</f>
        <v>#VALUE!</v>
      </c>
      <c r="HB61" t="e">
        <f>AND(Bills!#REF!,"AAAAAD//HdE=")</f>
        <v>#REF!</v>
      </c>
      <c r="HC61" t="e">
        <f>AND(Bills!U148,"AAAAAD//HdI=")</f>
        <v>#VALUE!</v>
      </c>
      <c r="HD61" t="e">
        <f>AND(Bills!V148,"AAAAAD//HdM=")</f>
        <v>#VALUE!</v>
      </c>
      <c r="HE61" t="e">
        <f>AND(Bills!W148,"AAAAAD//HdQ=")</f>
        <v>#VALUE!</v>
      </c>
      <c r="HF61" t="e">
        <f>AND(Bills!#REF!,"AAAAAD//HdU=")</f>
        <v>#REF!</v>
      </c>
      <c r="HG61" t="e">
        <f>AND(Bills!#REF!,"AAAAAD//HdY=")</f>
        <v>#REF!</v>
      </c>
      <c r="HH61" t="e">
        <f>AND(Bills!Y148,"AAAAAD//Hdc=")</f>
        <v>#VALUE!</v>
      </c>
      <c r="HI61" t="e">
        <f>AND(Bills!Z148,"AAAAAD//Hdg=")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AND(Bills!AA148,"AAAAAD//HeI=")</f>
        <v>#VALUE!</v>
      </c>
      <c r="HT61" t="e">
        <f>AND(Bills!AB148,"AAAAAD//HeM=")</f>
        <v>#VALUE!</v>
      </c>
      <c r="HU61" t="e">
        <f>AND(Bills!#REF!,"AAAAAD//HeQ=")</f>
        <v>#REF!</v>
      </c>
      <c r="HV61" t="e">
        <f>AND(Bills!#REF!,"AAAAAD//HeU=")</f>
        <v>#REF!</v>
      </c>
      <c r="HW61" t="e">
        <f>AND(Bills!#REF!,"AAAAAD//HeY=")</f>
        <v>#REF!</v>
      </c>
      <c r="HX61" t="e">
        <f>AND(Bills!AC148,"AAAAAD//Hec=")</f>
        <v>#VALUE!</v>
      </c>
      <c r="HY61" t="e">
        <f>AND(Bills!AD148,"AAAAAD//Heg=")</f>
        <v>#VALUE!</v>
      </c>
      <c r="HZ61" t="e">
        <f>AND(Bills!#REF!,"AAAAAD//Hek=")</f>
        <v>#REF!</v>
      </c>
      <c r="IA61">
        <f>IF(Bills!149:149,"AAAAAD//Heo=",0)</f>
        <v>0</v>
      </c>
      <c r="IB61" t="e">
        <f>AND(Bills!B149,"AAAAAD//Hes=")</f>
        <v>#VALUE!</v>
      </c>
      <c r="IC61" t="e">
        <f>AND(Bills!#REF!,"AAAAAD//Hew=")</f>
        <v>#REF!</v>
      </c>
      <c r="ID61" t="e">
        <f>AND(Bills!C149,"AAAAAD//He0=")</f>
        <v>#VALUE!</v>
      </c>
      <c r="IE61" t="e">
        <f>AND(Bills!D149,"AAAAAD//He4=")</f>
        <v>#VALUE!</v>
      </c>
      <c r="IF61" t="e">
        <f>AND(Bills!E149,"AAAAAD//He8=")</f>
        <v>#VALUE!</v>
      </c>
      <c r="IG61" t="e">
        <f>AND(Bills!#REF!,"AAAAAD//HfA=")</f>
        <v>#REF!</v>
      </c>
      <c r="IH61" t="e">
        <f>AND(Bills!#REF!,"AAAAAD//HfE=")</f>
        <v>#REF!</v>
      </c>
      <c r="II61" t="e">
        <f>AND(Bills!#REF!,"AAAAAD//HfI=")</f>
        <v>#REF!</v>
      </c>
      <c r="IJ61" t="e">
        <f>AND(Bills!F149,"AAAAAD//HfM=")</f>
        <v>#VALUE!</v>
      </c>
      <c r="IK61" t="e">
        <f>AND(Bills!#REF!,"AAAAAD//HfQ=")</f>
        <v>#REF!</v>
      </c>
      <c r="IL61" t="e">
        <f>AND(Bills!G149,"AAAAAD//HfU=")</f>
        <v>#VALUE!</v>
      </c>
      <c r="IM61" t="e">
        <f>AND(Bills!H149,"AAAAAD//HfY=")</f>
        <v>#VALUE!</v>
      </c>
      <c r="IN61" t="e">
        <f>AND(Bills!I149,"AAAAAD//Hfc=")</f>
        <v>#VALUE!</v>
      </c>
      <c r="IO61" t="e">
        <f>AND(Bills!J149,"AAAAAD//Hfg=")</f>
        <v>#VALUE!</v>
      </c>
      <c r="IP61" t="e">
        <f>AND(Bills!K149,"AAAAAD//Hfk=")</f>
        <v>#VALUE!</v>
      </c>
      <c r="IQ61" t="e">
        <f>AND(Bills!L149,"AAAAAD//Hfo=")</f>
        <v>#VALUE!</v>
      </c>
      <c r="IR61" t="e">
        <f>AND(Bills!#REF!,"AAAAAD//Hfs=")</f>
        <v>#REF!</v>
      </c>
      <c r="IS61" t="e">
        <f>AND(Bills!M149,"AAAAAD//Hfw=")</f>
        <v>#VALUE!</v>
      </c>
      <c r="IT61" t="e">
        <f>AND(Bills!N149,"AAAAAD//Hf0=")</f>
        <v>#VALUE!</v>
      </c>
      <c r="IU61" t="e">
        <f>AND(Bills!O149,"AAAAAD//Hf4=")</f>
        <v>#VALUE!</v>
      </c>
      <c r="IV61" t="e">
        <f>AND(Bills!P149,"AAAAAD//Hf8=")</f>
        <v>#VALUE!</v>
      </c>
    </row>
    <row r="62" spans="1:256">
      <c r="A62" t="e">
        <f>AND(Bills!Q149,"AAAAAHj+5wA=")</f>
        <v>#VALUE!</v>
      </c>
      <c r="B62" t="e">
        <f>AND(Bills!R149,"AAAAAHj+5wE=")</f>
        <v>#VALUE!</v>
      </c>
      <c r="C62" t="e">
        <f>AND(Bills!S149,"AAAAAHj+5wI=")</f>
        <v>#VALUE!</v>
      </c>
      <c r="D62" t="e">
        <f>AND(Bills!T149,"AAAAAHj+5wM=")</f>
        <v>#VALUE!</v>
      </c>
      <c r="E62" t="e">
        <f>AND(Bills!#REF!,"AAAAAHj+5wQ=")</f>
        <v>#REF!</v>
      </c>
      <c r="F62" t="e">
        <f>AND(Bills!U149,"AAAAAHj+5wU=")</f>
        <v>#VALUE!</v>
      </c>
      <c r="G62" t="e">
        <f>AND(Bills!V149,"AAAAAHj+5wY=")</f>
        <v>#VALUE!</v>
      </c>
      <c r="H62" t="e">
        <f>AND(Bills!W149,"AAAAAHj+5wc=")</f>
        <v>#VALUE!</v>
      </c>
      <c r="I62" t="e">
        <f>AND(Bills!#REF!,"AAAAAHj+5wg=")</f>
        <v>#REF!</v>
      </c>
      <c r="J62" t="e">
        <f>AND(Bills!#REF!,"AAAAAHj+5wk=")</f>
        <v>#REF!</v>
      </c>
      <c r="K62" t="e">
        <f>AND(Bills!Y149,"AAAAAHj+5wo=")</f>
        <v>#VALUE!</v>
      </c>
      <c r="L62" t="e">
        <f>AND(Bills!Z149,"AAAAAHj+5ws=")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AND(Bills!AA149,"AAAAAHj+5xU=")</f>
        <v>#VALUE!</v>
      </c>
      <c r="W62" t="e">
        <f>AND(Bills!AB149,"AAAAAHj+5xY=")</f>
        <v>#VALUE!</v>
      </c>
      <c r="X62" t="e">
        <f>AND(Bills!#REF!,"AAAAAHj+5xc=")</f>
        <v>#REF!</v>
      </c>
      <c r="Y62" t="e">
        <f>AND(Bills!#REF!,"AAAAAHj+5xg=")</f>
        <v>#REF!</v>
      </c>
      <c r="Z62" t="e">
        <f>AND(Bills!#REF!,"AAAAAHj+5xk=")</f>
        <v>#REF!</v>
      </c>
      <c r="AA62" t="e">
        <f>AND(Bills!AC149,"AAAAAHj+5xo=")</f>
        <v>#VALUE!</v>
      </c>
      <c r="AB62" t="e">
        <f>AND(Bills!AD149,"AAAAAHj+5xs=")</f>
        <v>#VALUE!</v>
      </c>
      <c r="AC62" t="e">
        <f>AND(Bills!#REF!,"AAAAAHj+5xw=")</f>
        <v>#REF!</v>
      </c>
      <c r="AD62">
        <f>IF(Bills!150:150,"AAAAAHj+5x0=",0)</f>
        <v>0</v>
      </c>
      <c r="AE62" t="e">
        <f>AND(Bills!B150,"AAAAAHj+5x4=")</f>
        <v>#VALUE!</v>
      </c>
      <c r="AF62" t="e">
        <f>AND(Bills!#REF!,"AAAAAHj+5x8=")</f>
        <v>#REF!</v>
      </c>
      <c r="AG62" t="e">
        <f>AND(Bills!C150,"AAAAAHj+5yA=")</f>
        <v>#VALUE!</v>
      </c>
      <c r="AH62" t="e">
        <f>AND(Bills!D150,"AAAAAHj+5yE=")</f>
        <v>#VALUE!</v>
      </c>
      <c r="AI62" t="e">
        <f>AND(Bills!E150,"AAAAAHj+5yI=")</f>
        <v>#VALUE!</v>
      </c>
      <c r="AJ62" t="e">
        <f>AND(Bills!#REF!,"AAAAAHj+5yM=")</f>
        <v>#REF!</v>
      </c>
      <c r="AK62" t="e">
        <f>AND(Bills!#REF!,"AAAAAHj+5yQ=")</f>
        <v>#REF!</v>
      </c>
      <c r="AL62" t="e">
        <f>AND(Bills!#REF!,"AAAAAHj+5yU=")</f>
        <v>#REF!</v>
      </c>
      <c r="AM62" t="e">
        <f>AND(Bills!F150,"AAAAAHj+5yY=")</f>
        <v>#VALUE!</v>
      </c>
      <c r="AN62" t="e">
        <f>AND(Bills!#REF!,"AAAAAHj+5yc=")</f>
        <v>#REF!</v>
      </c>
      <c r="AO62" t="e">
        <f>AND(Bills!G150,"AAAAAHj+5yg=")</f>
        <v>#VALUE!</v>
      </c>
      <c r="AP62" t="e">
        <f>AND(Bills!H150,"AAAAAHj+5yk=")</f>
        <v>#VALUE!</v>
      </c>
      <c r="AQ62" t="e">
        <f>AND(Bills!I150,"AAAAAHj+5yo=")</f>
        <v>#VALUE!</v>
      </c>
      <c r="AR62" t="e">
        <f>AND(Bills!J150,"AAAAAHj+5ys=")</f>
        <v>#VALUE!</v>
      </c>
      <c r="AS62" t="e">
        <f>AND(Bills!K150,"AAAAAHj+5yw=")</f>
        <v>#VALUE!</v>
      </c>
      <c r="AT62" t="e">
        <f>AND(Bills!L150,"AAAAAHj+5y0=")</f>
        <v>#VALUE!</v>
      </c>
      <c r="AU62" t="e">
        <f>AND(Bills!#REF!,"AAAAAHj+5y4=")</f>
        <v>#REF!</v>
      </c>
      <c r="AV62" t="e">
        <f>AND(Bills!M150,"AAAAAHj+5y8=")</f>
        <v>#VALUE!</v>
      </c>
      <c r="AW62" t="e">
        <f>AND(Bills!N150,"AAAAAHj+5zA=")</f>
        <v>#VALUE!</v>
      </c>
      <c r="AX62" t="e">
        <f>AND(Bills!O150,"AAAAAHj+5zE=")</f>
        <v>#VALUE!</v>
      </c>
      <c r="AY62" t="e">
        <f>AND(Bills!P150,"AAAAAHj+5zI=")</f>
        <v>#VALUE!</v>
      </c>
      <c r="AZ62" t="e">
        <f>AND(Bills!Q150,"AAAAAHj+5zM=")</f>
        <v>#VALUE!</v>
      </c>
      <c r="BA62" t="e">
        <f>AND(Bills!R150,"AAAAAHj+5zQ=")</f>
        <v>#VALUE!</v>
      </c>
      <c r="BB62" t="e">
        <f>AND(Bills!S150,"AAAAAHj+5zU=")</f>
        <v>#VALUE!</v>
      </c>
      <c r="BC62" t="e">
        <f>AND(Bills!T150,"AAAAAHj+5zY=")</f>
        <v>#VALUE!</v>
      </c>
      <c r="BD62" t="e">
        <f>AND(Bills!#REF!,"AAAAAHj+5zc=")</f>
        <v>#REF!</v>
      </c>
      <c r="BE62" t="e">
        <f>AND(Bills!U150,"AAAAAHj+5zg=")</f>
        <v>#VALUE!</v>
      </c>
      <c r="BF62" t="e">
        <f>AND(Bills!V150,"AAAAAHj+5zk=")</f>
        <v>#VALUE!</v>
      </c>
      <c r="BG62" t="e">
        <f>AND(Bills!W150,"AAAAAHj+5zo=")</f>
        <v>#VALUE!</v>
      </c>
      <c r="BH62" t="e">
        <f>AND(Bills!#REF!,"AAAAAHj+5zs=")</f>
        <v>#REF!</v>
      </c>
      <c r="BI62" t="e">
        <f>AND(Bills!#REF!,"AAAAAHj+5zw=")</f>
        <v>#REF!</v>
      </c>
      <c r="BJ62" t="e">
        <f>AND(Bills!Y150,"AAAAAHj+5z0=")</f>
        <v>#VALUE!</v>
      </c>
      <c r="BK62" t="e">
        <f>AND(Bills!Z150,"AAAAAHj+5z4=")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AND(Bills!AA150,"AAAAAHj+50g=")</f>
        <v>#VALUE!</v>
      </c>
      <c r="BV62" t="e">
        <f>AND(Bills!AB150,"AAAAAHj+50k=")</f>
        <v>#VALUE!</v>
      </c>
      <c r="BW62" t="e">
        <f>AND(Bills!#REF!,"AAAAAHj+50o=")</f>
        <v>#REF!</v>
      </c>
      <c r="BX62" t="e">
        <f>AND(Bills!#REF!,"AAAAAHj+50s=")</f>
        <v>#REF!</v>
      </c>
      <c r="BY62" t="e">
        <f>AND(Bills!#REF!,"AAAAAHj+50w=")</f>
        <v>#REF!</v>
      </c>
      <c r="BZ62" t="e">
        <f>AND(Bills!AC150,"AAAAAHj+500=")</f>
        <v>#VALUE!</v>
      </c>
      <c r="CA62" t="e">
        <f>AND(Bills!AD150,"AAAAAHj+504=")</f>
        <v>#VALUE!</v>
      </c>
      <c r="CB62" t="e">
        <f>AND(Bills!#REF!,"AAAAAHj+508=")</f>
        <v>#REF!</v>
      </c>
      <c r="CC62">
        <f>IF(Bills!151:151,"AAAAAHj+51A=",0)</f>
        <v>0</v>
      </c>
      <c r="CD62" t="e">
        <f>AND(Bills!B151,"AAAAAHj+51E=")</f>
        <v>#VALUE!</v>
      </c>
      <c r="CE62" t="e">
        <f>AND(Bills!#REF!,"AAAAAHj+51I=")</f>
        <v>#REF!</v>
      </c>
      <c r="CF62" t="e">
        <f>AND(Bills!C151,"AAAAAHj+51M=")</f>
        <v>#VALUE!</v>
      </c>
      <c r="CG62" t="e">
        <f>AND(Bills!D151,"AAAAAHj+51Q=")</f>
        <v>#VALUE!</v>
      </c>
      <c r="CH62" t="e">
        <f>AND(Bills!E151,"AAAAAHj+51U=")</f>
        <v>#VALUE!</v>
      </c>
      <c r="CI62" t="e">
        <f>AND(Bills!#REF!,"AAAAAHj+51Y=")</f>
        <v>#REF!</v>
      </c>
      <c r="CJ62" t="e">
        <f>AND(Bills!#REF!,"AAAAAHj+51c=")</f>
        <v>#REF!</v>
      </c>
      <c r="CK62" t="e">
        <f>AND(Bills!#REF!,"AAAAAHj+51g=")</f>
        <v>#REF!</v>
      </c>
      <c r="CL62" t="e">
        <f>AND(Bills!F151,"AAAAAHj+51k=")</f>
        <v>#VALUE!</v>
      </c>
      <c r="CM62" t="e">
        <f>AND(Bills!#REF!,"AAAAAHj+51o=")</f>
        <v>#REF!</v>
      </c>
      <c r="CN62" t="e">
        <f>AND(Bills!G151,"AAAAAHj+51s=")</f>
        <v>#VALUE!</v>
      </c>
      <c r="CO62" t="e">
        <f>AND(Bills!H151,"AAAAAHj+51w=")</f>
        <v>#VALUE!</v>
      </c>
      <c r="CP62" t="e">
        <f>AND(Bills!I151,"AAAAAHj+510=")</f>
        <v>#VALUE!</v>
      </c>
      <c r="CQ62" t="e">
        <f>AND(Bills!J151,"AAAAAHj+514=")</f>
        <v>#VALUE!</v>
      </c>
      <c r="CR62" t="e">
        <f>AND(Bills!K151,"AAAAAHj+518=")</f>
        <v>#VALUE!</v>
      </c>
      <c r="CS62" t="e">
        <f>AND(Bills!L151,"AAAAAHj+52A=")</f>
        <v>#VALUE!</v>
      </c>
      <c r="CT62" t="e">
        <f>AND(Bills!#REF!,"AAAAAHj+52E=")</f>
        <v>#REF!</v>
      </c>
      <c r="CU62" t="e">
        <f>AND(Bills!M151,"AAAAAHj+52I=")</f>
        <v>#VALUE!</v>
      </c>
      <c r="CV62" t="e">
        <f>AND(Bills!N151,"AAAAAHj+52M=")</f>
        <v>#VALUE!</v>
      </c>
      <c r="CW62" t="e">
        <f>AND(Bills!O151,"AAAAAHj+52Q=")</f>
        <v>#VALUE!</v>
      </c>
      <c r="CX62" t="e">
        <f>AND(Bills!P151,"AAAAAHj+52U=")</f>
        <v>#VALUE!</v>
      </c>
      <c r="CY62" t="e">
        <f>AND(Bills!Q151,"AAAAAHj+52Y=")</f>
        <v>#VALUE!</v>
      </c>
      <c r="CZ62" t="e">
        <f>AND(Bills!R151,"AAAAAHj+52c=")</f>
        <v>#VALUE!</v>
      </c>
      <c r="DA62" t="e">
        <f>AND(Bills!S151,"AAAAAHj+52g=")</f>
        <v>#VALUE!</v>
      </c>
      <c r="DB62" t="e">
        <f>AND(Bills!T151,"AAAAAHj+52k=")</f>
        <v>#VALUE!</v>
      </c>
      <c r="DC62" t="e">
        <f>AND(Bills!#REF!,"AAAAAHj+52o=")</f>
        <v>#REF!</v>
      </c>
      <c r="DD62" t="e">
        <f>AND(Bills!U151,"AAAAAHj+52s=")</f>
        <v>#VALUE!</v>
      </c>
      <c r="DE62" t="e">
        <f>AND(Bills!V151,"AAAAAHj+52w=")</f>
        <v>#VALUE!</v>
      </c>
      <c r="DF62" t="e">
        <f>AND(Bills!W151,"AAAAAHj+520=")</f>
        <v>#VALUE!</v>
      </c>
      <c r="DG62" t="e">
        <f>AND(Bills!#REF!,"AAAAAHj+524=")</f>
        <v>#REF!</v>
      </c>
      <c r="DH62" t="e">
        <f>AND(Bills!#REF!,"AAAAAHj+528=")</f>
        <v>#REF!</v>
      </c>
      <c r="DI62" t="e">
        <f>AND(Bills!Y151,"AAAAAHj+53A=")</f>
        <v>#VALUE!</v>
      </c>
      <c r="DJ62" t="e">
        <f>AND(Bills!Z151,"AAAAAHj+53E=")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AND(Bills!AA151,"AAAAAHj+53s=")</f>
        <v>#VALUE!</v>
      </c>
      <c r="DU62" t="e">
        <f>AND(Bills!AB151,"AAAAAHj+53w=")</f>
        <v>#VALUE!</v>
      </c>
      <c r="DV62" t="e">
        <f>AND(Bills!#REF!,"AAAAAHj+530=")</f>
        <v>#REF!</v>
      </c>
      <c r="DW62" t="e">
        <f>AND(Bills!#REF!,"AAAAAHj+534=")</f>
        <v>#REF!</v>
      </c>
      <c r="DX62" t="e">
        <f>AND(Bills!#REF!,"AAAAAHj+538=")</f>
        <v>#REF!</v>
      </c>
      <c r="DY62" t="e">
        <f>AND(Bills!AC151,"AAAAAHj+54A=")</f>
        <v>#VALUE!</v>
      </c>
      <c r="DZ62" t="e">
        <f>AND(Bills!AD151,"AAAAAHj+54E=")</f>
        <v>#VALUE!</v>
      </c>
      <c r="EA62" t="e">
        <f>AND(Bills!#REF!,"AAAAAHj+54I=")</f>
        <v>#REF!</v>
      </c>
      <c r="EB62">
        <f>IF(Bills!152:152,"AAAAAHj+54M=",0)</f>
        <v>0</v>
      </c>
      <c r="EC62" t="e">
        <f>AND(Bills!B152,"AAAAAHj+54Q=")</f>
        <v>#VALUE!</v>
      </c>
      <c r="ED62" t="e">
        <f>AND(Bills!#REF!,"AAAAAHj+54U=")</f>
        <v>#REF!</v>
      </c>
      <c r="EE62" t="e">
        <f>AND(Bills!C152,"AAAAAHj+54Y=")</f>
        <v>#VALUE!</v>
      </c>
      <c r="EF62" t="e">
        <f>AND(Bills!D152,"AAAAAHj+54c=")</f>
        <v>#VALUE!</v>
      </c>
      <c r="EG62" t="e">
        <f>AND(Bills!E152,"AAAAAHj+54g=")</f>
        <v>#VALUE!</v>
      </c>
      <c r="EH62" t="e">
        <f>AND(Bills!#REF!,"AAAAAHj+54k=")</f>
        <v>#REF!</v>
      </c>
      <c r="EI62" t="e">
        <f>AND(Bills!#REF!,"AAAAAHj+54o=")</f>
        <v>#REF!</v>
      </c>
      <c r="EJ62" t="e">
        <f>AND(Bills!#REF!,"AAAAAHj+54s=")</f>
        <v>#REF!</v>
      </c>
      <c r="EK62" t="e">
        <f>AND(Bills!F152,"AAAAAHj+54w=")</f>
        <v>#VALUE!</v>
      </c>
      <c r="EL62" t="e">
        <f>AND(Bills!#REF!,"AAAAAHj+540=")</f>
        <v>#REF!</v>
      </c>
      <c r="EM62" t="e">
        <f>AND(Bills!G152,"AAAAAHj+544=")</f>
        <v>#VALUE!</v>
      </c>
      <c r="EN62" t="e">
        <f>AND(Bills!H152,"AAAAAHj+548=")</f>
        <v>#VALUE!</v>
      </c>
      <c r="EO62" t="e">
        <f>AND(Bills!I152,"AAAAAHj+55A=")</f>
        <v>#VALUE!</v>
      </c>
      <c r="EP62" t="e">
        <f>AND(Bills!J152,"AAAAAHj+55E=")</f>
        <v>#VALUE!</v>
      </c>
      <c r="EQ62" t="e">
        <f>AND(Bills!K152,"AAAAAHj+55I=")</f>
        <v>#VALUE!</v>
      </c>
      <c r="ER62" t="e">
        <f>AND(Bills!L152,"AAAAAHj+55M=")</f>
        <v>#VALUE!</v>
      </c>
      <c r="ES62" t="e">
        <f>AND(Bills!#REF!,"AAAAAHj+55Q=")</f>
        <v>#REF!</v>
      </c>
      <c r="ET62" t="e">
        <f>AND(Bills!M152,"AAAAAHj+55U=")</f>
        <v>#VALUE!</v>
      </c>
      <c r="EU62" t="e">
        <f>AND(Bills!N152,"AAAAAHj+55Y=")</f>
        <v>#VALUE!</v>
      </c>
      <c r="EV62" t="e">
        <f>AND(Bills!O152,"AAAAAHj+55c=")</f>
        <v>#VALUE!</v>
      </c>
      <c r="EW62" t="e">
        <f>AND(Bills!P152,"AAAAAHj+55g=")</f>
        <v>#VALUE!</v>
      </c>
      <c r="EX62" t="e">
        <f>AND(Bills!Q152,"AAAAAHj+55k=")</f>
        <v>#VALUE!</v>
      </c>
      <c r="EY62" t="e">
        <f>AND(Bills!R152,"AAAAAHj+55o=")</f>
        <v>#VALUE!</v>
      </c>
      <c r="EZ62" t="e">
        <f>AND(Bills!S152,"AAAAAHj+55s=")</f>
        <v>#VALUE!</v>
      </c>
      <c r="FA62" t="e">
        <f>AND(Bills!T152,"AAAAAHj+55w=")</f>
        <v>#VALUE!</v>
      </c>
      <c r="FB62" t="e">
        <f>AND(Bills!#REF!,"AAAAAHj+550=")</f>
        <v>#REF!</v>
      </c>
      <c r="FC62" t="e">
        <f>AND(Bills!U152,"AAAAAHj+554=")</f>
        <v>#VALUE!</v>
      </c>
      <c r="FD62" t="e">
        <f>AND(Bills!V152,"AAAAAHj+558=")</f>
        <v>#VALUE!</v>
      </c>
      <c r="FE62" t="e">
        <f>AND(Bills!W152,"AAAAAHj+56A=")</f>
        <v>#VALUE!</v>
      </c>
      <c r="FF62" t="e">
        <f>AND(Bills!#REF!,"AAAAAHj+56E=")</f>
        <v>#REF!</v>
      </c>
      <c r="FG62" t="e">
        <f>AND(Bills!#REF!,"AAAAAHj+56I=")</f>
        <v>#REF!</v>
      </c>
      <c r="FH62" t="e">
        <f>AND(Bills!Y152,"AAAAAHj+56M=")</f>
        <v>#VALUE!</v>
      </c>
      <c r="FI62" t="e">
        <f>AND(Bills!Z152,"AAAAAHj+56Q=")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AND(Bills!AA152,"AAAAAHj+564=")</f>
        <v>#VALUE!</v>
      </c>
      <c r="FT62" t="e">
        <f>AND(Bills!AB152,"AAAAAHj+568=")</f>
        <v>#VALUE!</v>
      </c>
      <c r="FU62" t="e">
        <f>AND(Bills!#REF!,"AAAAAHj+57A=")</f>
        <v>#REF!</v>
      </c>
      <c r="FV62" t="e">
        <f>AND(Bills!#REF!,"AAAAAHj+57E=")</f>
        <v>#REF!</v>
      </c>
      <c r="FW62" t="e">
        <f>AND(Bills!#REF!,"AAAAAHj+57I=")</f>
        <v>#REF!</v>
      </c>
      <c r="FX62" t="e">
        <f>AND(Bills!AC152,"AAAAAHj+57M=")</f>
        <v>#VALUE!</v>
      </c>
      <c r="FY62" t="e">
        <f>AND(Bills!AD152,"AAAAAHj+57Q=")</f>
        <v>#VALUE!</v>
      </c>
      <c r="FZ62" t="e">
        <f>AND(Bills!#REF!,"AAAAAHj+57U=")</f>
        <v>#REF!</v>
      </c>
      <c r="GA62">
        <f>IF(Bills!153:153,"AAAAAHj+57Y=",0)</f>
        <v>0</v>
      </c>
      <c r="GB62" t="e">
        <f>AND(Bills!B153,"AAAAAHj+57c=")</f>
        <v>#VALUE!</v>
      </c>
      <c r="GC62" t="e">
        <f>AND(Bills!#REF!,"AAAAAHj+57g=")</f>
        <v>#REF!</v>
      </c>
      <c r="GD62" t="e">
        <f>AND(Bills!C153,"AAAAAHj+57k=")</f>
        <v>#VALUE!</v>
      </c>
      <c r="GE62" t="e">
        <f>AND(Bills!D153,"AAAAAHj+57o=")</f>
        <v>#VALUE!</v>
      </c>
      <c r="GF62" t="e">
        <f>AND(Bills!E153,"AAAAAHj+57s=")</f>
        <v>#VALUE!</v>
      </c>
      <c r="GG62" t="e">
        <f>AND(Bills!#REF!,"AAAAAHj+57w=")</f>
        <v>#REF!</v>
      </c>
      <c r="GH62" t="e">
        <f>AND(Bills!#REF!,"AAAAAHj+570=")</f>
        <v>#REF!</v>
      </c>
      <c r="GI62" t="e">
        <f>AND(Bills!#REF!,"AAAAAHj+574=")</f>
        <v>#REF!</v>
      </c>
      <c r="GJ62" t="e">
        <f>AND(Bills!F153,"AAAAAHj+578=")</f>
        <v>#VALUE!</v>
      </c>
      <c r="GK62" t="e">
        <f>AND(Bills!#REF!,"AAAAAHj+58A=")</f>
        <v>#REF!</v>
      </c>
      <c r="GL62" t="e">
        <f>AND(Bills!G153,"AAAAAHj+58E=")</f>
        <v>#VALUE!</v>
      </c>
      <c r="GM62" t="e">
        <f>AND(Bills!H153,"AAAAAHj+58I=")</f>
        <v>#VALUE!</v>
      </c>
      <c r="GN62" t="e">
        <f>AND(Bills!I153,"AAAAAHj+58M=")</f>
        <v>#VALUE!</v>
      </c>
      <c r="GO62" t="e">
        <f>AND(Bills!J153,"AAAAAHj+58Q=")</f>
        <v>#VALUE!</v>
      </c>
      <c r="GP62" t="e">
        <f>AND(Bills!K153,"AAAAAHj+58U=")</f>
        <v>#VALUE!</v>
      </c>
      <c r="GQ62" t="e">
        <f>AND(Bills!L153,"AAAAAHj+58Y=")</f>
        <v>#VALUE!</v>
      </c>
      <c r="GR62" t="e">
        <f>AND(Bills!#REF!,"AAAAAHj+58c=")</f>
        <v>#REF!</v>
      </c>
      <c r="GS62" t="e">
        <f>AND(Bills!M153,"AAAAAHj+58g=")</f>
        <v>#VALUE!</v>
      </c>
      <c r="GT62" t="e">
        <f>AND(Bills!N153,"AAAAAHj+58k=")</f>
        <v>#VALUE!</v>
      </c>
      <c r="GU62" t="e">
        <f>AND(Bills!O153,"AAAAAHj+58o=")</f>
        <v>#VALUE!</v>
      </c>
      <c r="GV62" t="e">
        <f>AND(Bills!P153,"AAAAAHj+58s=")</f>
        <v>#VALUE!</v>
      </c>
      <c r="GW62" t="e">
        <f>AND(Bills!Q153,"AAAAAHj+58w=")</f>
        <v>#VALUE!</v>
      </c>
      <c r="GX62" t="e">
        <f>AND(Bills!R153,"AAAAAHj+580=")</f>
        <v>#VALUE!</v>
      </c>
      <c r="GY62" t="e">
        <f>AND(Bills!S153,"AAAAAHj+584=")</f>
        <v>#VALUE!</v>
      </c>
      <c r="GZ62" t="e">
        <f>AND(Bills!T153,"AAAAAHj+588=")</f>
        <v>#VALUE!</v>
      </c>
      <c r="HA62" t="e">
        <f>AND(Bills!#REF!,"AAAAAHj+59A=")</f>
        <v>#REF!</v>
      </c>
      <c r="HB62" t="e">
        <f>AND(Bills!U153,"AAAAAHj+59E=")</f>
        <v>#VALUE!</v>
      </c>
      <c r="HC62" t="e">
        <f>AND(Bills!V153,"AAAAAHj+59I=")</f>
        <v>#VALUE!</v>
      </c>
      <c r="HD62" t="e">
        <f>AND(Bills!W153,"AAAAAHj+59M=")</f>
        <v>#VALUE!</v>
      </c>
      <c r="HE62" t="e">
        <f>AND(Bills!#REF!,"AAAAAHj+59Q=")</f>
        <v>#REF!</v>
      </c>
      <c r="HF62" t="e">
        <f>AND(Bills!#REF!,"AAAAAHj+59U=")</f>
        <v>#REF!</v>
      </c>
      <c r="HG62" t="e">
        <f>AND(Bills!Y153,"AAAAAHj+59Y=")</f>
        <v>#VALUE!</v>
      </c>
      <c r="HH62" t="e">
        <f>AND(Bills!Z153,"AAAAAHj+59c=")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AND(Bills!AA153,"AAAAAHj+5+E=")</f>
        <v>#VALUE!</v>
      </c>
      <c r="HS62" t="e">
        <f>AND(Bills!AB153,"AAAAAHj+5+I=")</f>
        <v>#VALUE!</v>
      </c>
      <c r="HT62" t="e">
        <f>AND(Bills!#REF!,"AAAAAHj+5+M=")</f>
        <v>#REF!</v>
      </c>
      <c r="HU62" t="e">
        <f>AND(Bills!#REF!,"AAAAAHj+5+Q=")</f>
        <v>#REF!</v>
      </c>
      <c r="HV62" t="e">
        <f>AND(Bills!#REF!,"AAAAAHj+5+U=")</f>
        <v>#REF!</v>
      </c>
      <c r="HW62" t="e">
        <f>AND(Bills!AC153,"AAAAAHj+5+Y=")</f>
        <v>#VALUE!</v>
      </c>
      <c r="HX62" t="e">
        <f>AND(Bills!AD153,"AAAAAHj+5+c=")</f>
        <v>#VALUE!</v>
      </c>
      <c r="HY62" t="e">
        <f>AND(Bills!#REF!,"AAAAAHj+5+g=")</f>
        <v>#REF!</v>
      </c>
      <c r="HZ62">
        <f>IF(Bills!154:154,"AAAAAHj+5+k=",0)</f>
        <v>0</v>
      </c>
      <c r="IA62" t="e">
        <f>AND(Bills!B154,"AAAAAHj+5+o=")</f>
        <v>#VALUE!</v>
      </c>
      <c r="IB62" t="e">
        <f>AND(Bills!#REF!,"AAAAAHj+5+s=")</f>
        <v>#REF!</v>
      </c>
      <c r="IC62" t="e">
        <f>AND(Bills!C154,"AAAAAHj+5+w=")</f>
        <v>#VALUE!</v>
      </c>
      <c r="ID62" t="e">
        <f>AND(Bills!D154,"AAAAAHj+5+0=")</f>
        <v>#VALUE!</v>
      </c>
      <c r="IE62" t="e">
        <f>AND(Bills!E154,"AAAAAHj+5+4=")</f>
        <v>#VALUE!</v>
      </c>
      <c r="IF62" t="e">
        <f>AND(Bills!#REF!,"AAAAAHj+5+8=")</f>
        <v>#REF!</v>
      </c>
      <c r="IG62" t="e">
        <f>AND(Bills!#REF!,"AAAAAHj+5/A=")</f>
        <v>#REF!</v>
      </c>
      <c r="IH62" t="e">
        <f>AND(Bills!#REF!,"AAAAAHj+5/E=")</f>
        <v>#REF!</v>
      </c>
      <c r="II62" t="e">
        <f>AND(Bills!F154,"AAAAAHj+5/I=")</f>
        <v>#VALUE!</v>
      </c>
      <c r="IJ62" t="e">
        <f>AND(Bills!#REF!,"AAAAAHj+5/M=")</f>
        <v>#REF!</v>
      </c>
      <c r="IK62" t="e">
        <f>AND(Bills!G154,"AAAAAHj+5/Q=")</f>
        <v>#VALUE!</v>
      </c>
      <c r="IL62" t="e">
        <f>AND(Bills!H154,"AAAAAHj+5/U=")</f>
        <v>#VALUE!</v>
      </c>
      <c r="IM62" t="e">
        <f>AND(Bills!I154,"AAAAAHj+5/Y=")</f>
        <v>#VALUE!</v>
      </c>
      <c r="IN62" t="e">
        <f>AND(Bills!J154,"AAAAAHj+5/c=")</f>
        <v>#VALUE!</v>
      </c>
      <c r="IO62" t="e">
        <f>AND(Bills!K154,"AAAAAHj+5/g=")</f>
        <v>#VALUE!</v>
      </c>
      <c r="IP62" t="e">
        <f>AND(Bills!L154,"AAAAAHj+5/k=")</f>
        <v>#VALUE!</v>
      </c>
      <c r="IQ62" t="e">
        <f>AND(Bills!#REF!,"AAAAAHj+5/o=")</f>
        <v>#REF!</v>
      </c>
      <c r="IR62" t="e">
        <f>AND(Bills!M154,"AAAAAHj+5/s=")</f>
        <v>#VALUE!</v>
      </c>
      <c r="IS62" t="e">
        <f>AND(Bills!N154,"AAAAAHj+5/w=")</f>
        <v>#VALUE!</v>
      </c>
      <c r="IT62" t="e">
        <f>AND(Bills!O154,"AAAAAHj+5/0=")</f>
        <v>#VALUE!</v>
      </c>
      <c r="IU62" t="e">
        <f>AND(Bills!P154,"AAAAAHj+5/4=")</f>
        <v>#VALUE!</v>
      </c>
      <c r="IV62" t="e">
        <f>AND(Bills!Q154,"AAAAAHj+5/8=")</f>
        <v>#VALUE!</v>
      </c>
    </row>
    <row r="63" spans="1:256">
      <c r="A63" t="e">
        <f>AND(Bills!R154,"AAAAAHY9/AA=")</f>
        <v>#VALUE!</v>
      </c>
      <c r="B63" t="e">
        <f>AND(Bills!S154,"AAAAAHY9/AE=")</f>
        <v>#VALUE!</v>
      </c>
      <c r="C63" t="e">
        <f>AND(Bills!T154,"AAAAAHY9/AI=")</f>
        <v>#VALUE!</v>
      </c>
      <c r="D63" t="e">
        <f>AND(Bills!#REF!,"AAAAAHY9/AM=")</f>
        <v>#REF!</v>
      </c>
      <c r="E63" t="e">
        <f>AND(Bills!U154,"AAAAAHY9/AQ=")</f>
        <v>#VALUE!</v>
      </c>
      <c r="F63" t="e">
        <f>AND(Bills!V154,"AAAAAHY9/AU=")</f>
        <v>#VALUE!</v>
      </c>
      <c r="G63" t="e">
        <f>AND(Bills!W154,"AAAAAHY9/AY=")</f>
        <v>#VALUE!</v>
      </c>
      <c r="H63" t="e">
        <f>AND(Bills!#REF!,"AAAAAHY9/Ac=")</f>
        <v>#REF!</v>
      </c>
      <c r="I63" t="e">
        <f>AND(Bills!#REF!,"AAAAAHY9/Ag=")</f>
        <v>#REF!</v>
      </c>
      <c r="J63" t="e">
        <f>AND(Bills!Y154,"AAAAAHY9/Ak=")</f>
        <v>#VALUE!</v>
      </c>
      <c r="K63" t="e">
        <f>AND(Bills!Z154,"AAAAAHY9/Ao=")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AND(Bills!AA154,"AAAAAHY9/BQ=")</f>
        <v>#VALUE!</v>
      </c>
      <c r="V63" t="e">
        <f>AND(Bills!AB154,"AAAAAHY9/BU=")</f>
        <v>#VALUE!</v>
      </c>
      <c r="W63" t="e">
        <f>AND(Bills!#REF!,"AAAAAHY9/BY=")</f>
        <v>#REF!</v>
      </c>
      <c r="X63" t="e">
        <f>AND(Bills!#REF!,"AAAAAHY9/Bc=")</f>
        <v>#REF!</v>
      </c>
      <c r="Y63" t="e">
        <f>AND(Bills!#REF!,"AAAAAHY9/Bg=")</f>
        <v>#REF!</v>
      </c>
      <c r="Z63" t="e">
        <f>AND(Bills!AC154,"AAAAAHY9/Bk=")</f>
        <v>#VALUE!</v>
      </c>
      <c r="AA63" t="e">
        <f>AND(Bills!AD154,"AAAAAHY9/Bo=")</f>
        <v>#VALUE!</v>
      </c>
      <c r="AB63" t="e">
        <f>AND(Bills!#REF!,"AAAAAHY9/Bs=")</f>
        <v>#REF!</v>
      </c>
      <c r="AC63">
        <f>IF(Bills!155:155,"AAAAAHY9/Bw=",0)</f>
        <v>0</v>
      </c>
      <c r="AD63" t="e">
        <f>AND(Bills!B155,"AAAAAHY9/B0=")</f>
        <v>#VALUE!</v>
      </c>
      <c r="AE63" t="e">
        <f>AND(Bills!#REF!,"AAAAAHY9/B4=")</f>
        <v>#REF!</v>
      </c>
      <c r="AF63" t="e">
        <f>AND(Bills!C155,"AAAAAHY9/B8=")</f>
        <v>#VALUE!</v>
      </c>
      <c r="AG63" t="e">
        <f>AND(Bills!D155,"AAAAAHY9/CA=")</f>
        <v>#VALUE!</v>
      </c>
      <c r="AH63" t="e">
        <f>AND(Bills!E155,"AAAAAHY9/CE=")</f>
        <v>#VALUE!</v>
      </c>
      <c r="AI63" t="e">
        <f>AND(Bills!#REF!,"AAAAAHY9/CI=")</f>
        <v>#REF!</v>
      </c>
      <c r="AJ63" t="e">
        <f>AND(Bills!#REF!,"AAAAAHY9/CM=")</f>
        <v>#REF!</v>
      </c>
      <c r="AK63" t="e">
        <f>AND(Bills!#REF!,"AAAAAHY9/CQ=")</f>
        <v>#REF!</v>
      </c>
      <c r="AL63" t="e">
        <f>AND(Bills!F155,"AAAAAHY9/CU=")</f>
        <v>#VALUE!</v>
      </c>
      <c r="AM63" t="e">
        <f>AND(Bills!#REF!,"AAAAAHY9/CY=")</f>
        <v>#REF!</v>
      </c>
      <c r="AN63" t="e">
        <f>AND(Bills!G155,"AAAAAHY9/Cc=")</f>
        <v>#VALUE!</v>
      </c>
      <c r="AO63" t="e">
        <f>AND(Bills!H155,"AAAAAHY9/Cg=")</f>
        <v>#VALUE!</v>
      </c>
      <c r="AP63" t="e">
        <f>AND(Bills!I155,"AAAAAHY9/Ck=")</f>
        <v>#VALUE!</v>
      </c>
      <c r="AQ63" t="e">
        <f>AND(Bills!J155,"AAAAAHY9/Co=")</f>
        <v>#VALUE!</v>
      </c>
      <c r="AR63" t="e">
        <f>AND(Bills!K155,"AAAAAHY9/Cs=")</f>
        <v>#VALUE!</v>
      </c>
      <c r="AS63" t="e">
        <f>AND(Bills!L155,"AAAAAHY9/Cw=")</f>
        <v>#VALUE!</v>
      </c>
      <c r="AT63" t="e">
        <f>AND(Bills!#REF!,"AAAAAHY9/C0=")</f>
        <v>#REF!</v>
      </c>
      <c r="AU63" t="e">
        <f>AND(Bills!M155,"AAAAAHY9/C4=")</f>
        <v>#VALUE!</v>
      </c>
      <c r="AV63" t="e">
        <f>AND(Bills!N155,"AAAAAHY9/C8=")</f>
        <v>#VALUE!</v>
      </c>
      <c r="AW63" t="e">
        <f>AND(Bills!O155,"AAAAAHY9/DA=")</f>
        <v>#VALUE!</v>
      </c>
      <c r="AX63" t="e">
        <f>AND(Bills!P155,"AAAAAHY9/DE=")</f>
        <v>#VALUE!</v>
      </c>
      <c r="AY63" t="e">
        <f>AND(Bills!Q155,"AAAAAHY9/DI=")</f>
        <v>#VALUE!</v>
      </c>
      <c r="AZ63" t="e">
        <f>AND(Bills!R155,"AAAAAHY9/DM=")</f>
        <v>#VALUE!</v>
      </c>
      <c r="BA63" t="e">
        <f>AND(Bills!S155,"AAAAAHY9/DQ=")</f>
        <v>#VALUE!</v>
      </c>
      <c r="BB63" t="e">
        <f>AND(Bills!T155,"AAAAAHY9/DU=")</f>
        <v>#VALUE!</v>
      </c>
      <c r="BC63" t="e">
        <f>AND(Bills!#REF!,"AAAAAHY9/DY=")</f>
        <v>#REF!</v>
      </c>
      <c r="BD63" t="e">
        <f>AND(Bills!U155,"AAAAAHY9/Dc=")</f>
        <v>#VALUE!</v>
      </c>
      <c r="BE63" t="e">
        <f>AND(Bills!V155,"AAAAAHY9/Dg=")</f>
        <v>#VALUE!</v>
      </c>
      <c r="BF63" t="e">
        <f>AND(Bills!W155,"AAAAAHY9/Dk=")</f>
        <v>#VALUE!</v>
      </c>
      <c r="BG63" t="e">
        <f>AND(Bills!#REF!,"AAAAAHY9/Do=")</f>
        <v>#REF!</v>
      </c>
      <c r="BH63" t="e">
        <f>AND(Bills!#REF!,"AAAAAHY9/Ds=")</f>
        <v>#REF!</v>
      </c>
      <c r="BI63" t="e">
        <f>AND(Bills!Y155,"AAAAAHY9/Dw=")</f>
        <v>#VALUE!</v>
      </c>
      <c r="BJ63" t="e">
        <f>AND(Bills!Z155,"AAAAAHY9/D0=")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AND(Bills!AA155,"AAAAAHY9/Ec=")</f>
        <v>#VALUE!</v>
      </c>
      <c r="BU63" t="e">
        <f>AND(Bills!AB155,"AAAAAHY9/Eg=")</f>
        <v>#VALUE!</v>
      </c>
      <c r="BV63" t="e">
        <f>AND(Bills!#REF!,"AAAAAHY9/Ek=")</f>
        <v>#REF!</v>
      </c>
      <c r="BW63" t="e">
        <f>AND(Bills!#REF!,"AAAAAHY9/Eo=")</f>
        <v>#REF!</v>
      </c>
      <c r="BX63" t="e">
        <f>AND(Bills!#REF!,"AAAAAHY9/Es=")</f>
        <v>#REF!</v>
      </c>
      <c r="BY63" t="e">
        <f>AND(Bills!AC155,"AAAAAHY9/Ew=")</f>
        <v>#VALUE!</v>
      </c>
      <c r="BZ63" t="e">
        <f>AND(Bills!AD155,"AAAAAHY9/E0=")</f>
        <v>#VALUE!</v>
      </c>
      <c r="CA63" t="e">
        <f>AND(Bills!#REF!,"AAAAAHY9/E4=")</f>
        <v>#REF!</v>
      </c>
      <c r="CB63">
        <f>IF(Bills!156:156,"AAAAAHY9/E8=",0)</f>
        <v>0</v>
      </c>
      <c r="CC63" t="e">
        <f>AND(Bills!B156,"AAAAAHY9/FA=")</f>
        <v>#VALUE!</v>
      </c>
      <c r="CD63" t="e">
        <f>AND(Bills!#REF!,"AAAAAHY9/FE=")</f>
        <v>#REF!</v>
      </c>
      <c r="CE63" t="e">
        <f>AND(Bills!C156,"AAAAAHY9/FI=")</f>
        <v>#VALUE!</v>
      </c>
      <c r="CF63" t="e">
        <f>AND(Bills!D156,"AAAAAHY9/FM=")</f>
        <v>#VALUE!</v>
      </c>
      <c r="CG63" t="e">
        <f>AND(Bills!E156,"AAAAAHY9/FQ=")</f>
        <v>#VALUE!</v>
      </c>
      <c r="CH63" t="e">
        <f>AND(Bills!#REF!,"AAAAAHY9/FU=")</f>
        <v>#REF!</v>
      </c>
      <c r="CI63" t="e">
        <f>AND(Bills!#REF!,"AAAAAHY9/FY=")</f>
        <v>#REF!</v>
      </c>
      <c r="CJ63" t="e">
        <f>AND(Bills!#REF!,"AAAAAHY9/Fc=")</f>
        <v>#REF!</v>
      </c>
      <c r="CK63" t="e">
        <f>AND(Bills!F156,"AAAAAHY9/Fg=")</f>
        <v>#VALUE!</v>
      </c>
      <c r="CL63" t="e">
        <f>AND(Bills!#REF!,"AAAAAHY9/Fk=")</f>
        <v>#REF!</v>
      </c>
      <c r="CM63" t="e">
        <f>AND(Bills!G156,"AAAAAHY9/Fo=")</f>
        <v>#VALUE!</v>
      </c>
      <c r="CN63" t="e">
        <f>AND(Bills!H156,"AAAAAHY9/Fs=")</f>
        <v>#VALUE!</v>
      </c>
      <c r="CO63" t="e">
        <f>AND(Bills!I156,"AAAAAHY9/Fw=")</f>
        <v>#VALUE!</v>
      </c>
      <c r="CP63" t="e">
        <f>AND(Bills!J156,"AAAAAHY9/F0=")</f>
        <v>#VALUE!</v>
      </c>
      <c r="CQ63" t="e">
        <f>AND(Bills!K156,"AAAAAHY9/F4=")</f>
        <v>#VALUE!</v>
      </c>
      <c r="CR63" t="e">
        <f>AND(Bills!L156,"AAAAAHY9/F8=")</f>
        <v>#VALUE!</v>
      </c>
      <c r="CS63" t="e">
        <f>AND(Bills!#REF!,"AAAAAHY9/GA=")</f>
        <v>#REF!</v>
      </c>
      <c r="CT63" t="e">
        <f>AND(Bills!M156,"AAAAAHY9/GE=")</f>
        <v>#VALUE!</v>
      </c>
      <c r="CU63" t="e">
        <f>AND(Bills!N156,"AAAAAHY9/GI=")</f>
        <v>#VALUE!</v>
      </c>
      <c r="CV63" t="e">
        <f>AND(Bills!O156,"AAAAAHY9/GM=")</f>
        <v>#VALUE!</v>
      </c>
      <c r="CW63" t="e">
        <f>AND(Bills!P156,"AAAAAHY9/GQ=")</f>
        <v>#VALUE!</v>
      </c>
      <c r="CX63" t="e">
        <f>AND(Bills!Q156,"AAAAAHY9/GU=")</f>
        <v>#VALUE!</v>
      </c>
      <c r="CY63" t="e">
        <f>AND(Bills!R156,"AAAAAHY9/GY=")</f>
        <v>#VALUE!</v>
      </c>
      <c r="CZ63" t="e">
        <f>AND(Bills!S156,"AAAAAHY9/Gc=")</f>
        <v>#VALUE!</v>
      </c>
      <c r="DA63" t="e">
        <f>AND(Bills!T156,"AAAAAHY9/Gg=")</f>
        <v>#VALUE!</v>
      </c>
      <c r="DB63" t="e">
        <f>AND(Bills!#REF!,"AAAAAHY9/Gk=")</f>
        <v>#REF!</v>
      </c>
      <c r="DC63" t="e">
        <f>AND(Bills!U156,"AAAAAHY9/Go=")</f>
        <v>#VALUE!</v>
      </c>
      <c r="DD63" t="e">
        <f>AND(Bills!V156,"AAAAAHY9/Gs=")</f>
        <v>#VALUE!</v>
      </c>
      <c r="DE63" t="e">
        <f>AND(Bills!W156,"AAAAAHY9/Gw=")</f>
        <v>#VALUE!</v>
      </c>
      <c r="DF63" t="e">
        <f>AND(Bills!#REF!,"AAAAAHY9/G0=")</f>
        <v>#REF!</v>
      </c>
      <c r="DG63" t="e">
        <f>AND(Bills!#REF!,"AAAAAHY9/G4=")</f>
        <v>#REF!</v>
      </c>
      <c r="DH63" t="e">
        <f>AND(Bills!Y156,"AAAAAHY9/G8=")</f>
        <v>#VALUE!</v>
      </c>
      <c r="DI63" t="e">
        <f>AND(Bills!Z156,"AAAAAHY9/HA=")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AND(Bills!AA156,"AAAAAHY9/Ho=")</f>
        <v>#VALUE!</v>
      </c>
      <c r="DT63" t="e">
        <f>AND(Bills!AB156,"AAAAAHY9/Hs=")</f>
        <v>#VALUE!</v>
      </c>
      <c r="DU63" t="e">
        <f>AND(Bills!#REF!,"AAAAAHY9/Hw=")</f>
        <v>#REF!</v>
      </c>
      <c r="DV63" t="e">
        <f>AND(Bills!#REF!,"AAAAAHY9/H0=")</f>
        <v>#REF!</v>
      </c>
      <c r="DW63" t="e">
        <f>AND(Bills!#REF!,"AAAAAHY9/H4=")</f>
        <v>#REF!</v>
      </c>
      <c r="DX63" t="e">
        <f>AND(Bills!AC156,"AAAAAHY9/H8=")</f>
        <v>#VALUE!</v>
      </c>
      <c r="DY63" t="e">
        <f>AND(Bills!AD156,"AAAAAHY9/IA=")</f>
        <v>#VALUE!</v>
      </c>
      <c r="DZ63" t="e">
        <f>AND(Bills!#REF!,"AAAAAHY9/IE=")</f>
        <v>#REF!</v>
      </c>
      <c r="EA63">
        <f>IF(Bills!157:157,"AAAAAHY9/II=",0)</f>
        <v>0</v>
      </c>
      <c r="EB63" t="e">
        <f>AND(Bills!B157,"AAAAAHY9/IM=")</f>
        <v>#VALUE!</v>
      </c>
      <c r="EC63" t="e">
        <f>AND(Bills!#REF!,"AAAAAHY9/IQ=")</f>
        <v>#REF!</v>
      </c>
      <c r="ED63" t="e">
        <f>AND(Bills!C157,"AAAAAHY9/IU=")</f>
        <v>#VALUE!</v>
      </c>
      <c r="EE63" t="e">
        <f>AND(Bills!D157,"AAAAAHY9/IY=")</f>
        <v>#VALUE!</v>
      </c>
      <c r="EF63" t="e">
        <f>AND(Bills!E157,"AAAAAHY9/Ic=")</f>
        <v>#VALUE!</v>
      </c>
      <c r="EG63" t="e">
        <f>AND(Bills!#REF!,"AAAAAHY9/Ig=")</f>
        <v>#REF!</v>
      </c>
      <c r="EH63" t="e">
        <f>AND(Bills!#REF!,"AAAAAHY9/Ik=")</f>
        <v>#REF!</v>
      </c>
      <c r="EI63" t="e">
        <f>AND(Bills!#REF!,"AAAAAHY9/Io=")</f>
        <v>#REF!</v>
      </c>
      <c r="EJ63" t="e">
        <f>AND(Bills!F157,"AAAAAHY9/Is=")</f>
        <v>#VALUE!</v>
      </c>
      <c r="EK63" t="e">
        <f>AND(Bills!#REF!,"AAAAAHY9/Iw=")</f>
        <v>#REF!</v>
      </c>
      <c r="EL63" t="e">
        <f>AND(Bills!G157,"AAAAAHY9/I0=")</f>
        <v>#VALUE!</v>
      </c>
      <c r="EM63" t="e">
        <f>AND(Bills!H157,"AAAAAHY9/I4=")</f>
        <v>#VALUE!</v>
      </c>
      <c r="EN63" t="e">
        <f>AND(Bills!I157,"AAAAAHY9/I8=")</f>
        <v>#VALUE!</v>
      </c>
      <c r="EO63" t="e">
        <f>AND(Bills!J157,"AAAAAHY9/JA=")</f>
        <v>#VALUE!</v>
      </c>
      <c r="EP63" t="e">
        <f>AND(Bills!K157,"AAAAAHY9/JE=")</f>
        <v>#VALUE!</v>
      </c>
      <c r="EQ63" t="e">
        <f>AND(Bills!L157,"AAAAAHY9/JI=")</f>
        <v>#VALUE!</v>
      </c>
      <c r="ER63" t="e">
        <f>AND(Bills!#REF!,"AAAAAHY9/JM=")</f>
        <v>#REF!</v>
      </c>
      <c r="ES63" t="e">
        <f>AND(Bills!M157,"AAAAAHY9/JQ=")</f>
        <v>#VALUE!</v>
      </c>
      <c r="ET63" t="e">
        <f>AND(Bills!N157,"AAAAAHY9/JU=")</f>
        <v>#VALUE!</v>
      </c>
      <c r="EU63" t="e">
        <f>AND(Bills!O157,"AAAAAHY9/JY=")</f>
        <v>#VALUE!</v>
      </c>
      <c r="EV63" t="e">
        <f>AND(Bills!P157,"AAAAAHY9/Jc=")</f>
        <v>#VALUE!</v>
      </c>
      <c r="EW63" t="e">
        <f>AND(Bills!Q157,"AAAAAHY9/Jg=")</f>
        <v>#VALUE!</v>
      </c>
      <c r="EX63" t="e">
        <f>AND(Bills!R157,"AAAAAHY9/Jk=")</f>
        <v>#VALUE!</v>
      </c>
      <c r="EY63" t="e">
        <f>AND(Bills!S157,"AAAAAHY9/Jo=")</f>
        <v>#VALUE!</v>
      </c>
      <c r="EZ63" t="e">
        <f>AND(Bills!T157,"AAAAAHY9/Js=")</f>
        <v>#VALUE!</v>
      </c>
      <c r="FA63" t="e">
        <f>AND(Bills!#REF!,"AAAAAHY9/Jw=")</f>
        <v>#REF!</v>
      </c>
      <c r="FB63" t="e">
        <f>AND(Bills!U157,"AAAAAHY9/J0=")</f>
        <v>#VALUE!</v>
      </c>
      <c r="FC63" t="e">
        <f>AND(Bills!V157,"AAAAAHY9/J4=")</f>
        <v>#VALUE!</v>
      </c>
      <c r="FD63" t="e">
        <f>AND(Bills!W157,"AAAAAHY9/J8=")</f>
        <v>#VALUE!</v>
      </c>
      <c r="FE63" t="e">
        <f>AND(Bills!#REF!,"AAAAAHY9/KA=")</f>
        <v>#REF!</v>
      </c>
      <c r="FF63" t="e">
        <f>AND(Bills!#REF!,"AAAAAHY9/KE=")</f>
        <v>#REF!</v>
      </c>
      <c r="FG63" t="e">
        <f>AND(Bills!Y157,"AAAAAHY9/KI=")</f>
        <v>#VALUE!</v>
      </c>
      <c r="FH63" t="e">
        <f>AND(Bills!Z157,"AAAAAHY9/KM=")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AND(Bills!AA157,"AAAAAHY9/K0=")</f>
        <v>#VALUE!</v>
      </c>
      <c r="FS63" t="e">
        <f>AND(Bills!AB157,"AAAAAHY9/K4=")</f>
        <v>#VALUE!</v>
      </c>
      <c r="FT63" t="e">
        <f>AND(Bills!#REF!,"AAAAAHY9/K8=")</f>
        <v>#REF!</v>
      </c>
      <c r="FU63" t="e">
        <f>AND(Bills!#REF!,"AAAAAHY9/LA=")</f>
        <v>#REF!</v>
      </c>
      <c r="FV63" t="e">
        <f>AND(Bills!#REF!,"AAAAAHY9/LE=")</f>
        <v>#REF!</v>
      </c>
      <c r="FW63" t="e">
        <f>AND(Bills!AC157,"AAAAAHY9/LI=")</f>
        <v>#VALUE!</v>
      </c>
      <c r="FX63" t="e">
        <f>AND(Bills!AD157,"AAAAAHY9/LM=")</f>
        <v>#VALUE!</v>
      </c>
      <c r="FY63" t="e">
        <f>AND(Bills!#REF!,"AAAAAHY9/LQ=")</f>
        <v>#REF!</v>
      </c>
      <c r="FZ63">
        <f>IF(Bills!158:158,"AAAAAHY9/LU=",0)</f>
        <v>0</v>
      </c>
      <c r="GA63" t="e">
        <f>AND(Bills!B158,"AAAAAHY9/LY=")</f>
        <v>#VALUE!</v>
      </c>
      <c r="GB63" t="e">
        <f>AND(Bills!#REF!,"AAAAAHY9/Lc=")</f>
        <v>#REF!</v>
      </c>
      <c r="GC63" t="e">
        <f>AND(Bills!C158,"AAAAAHY9/Lg=")</f>
        <v>#VALUE!</v>
      </c>
      <c r="GD63" t="e">
        <f>AND(Bills!D158,"AAAAAHY9/Lk=")</f>
        <v>#VALUE!</v>
      </c>
      <c r="GE63" t="e">
        <f>AND(Bills!E158,"AAAAAHY9/Lo=")</f>
        <v>#VALUE!</v>
      </c>
      <c r="GF63" t="e">
        <f>AND(Bills!#REF!,"AAAAAHY9/Ls=")</f>
        <v>#REF!</v>
      </c>
      <c r="GG63" t="e">
        <f>AND(Bills!#REF!,"AAAAAHY9/Lw=")</f>
        <v>#REF!</v>
      </c>
      <c r="GH63" t="e">
        <f>AND(Bills!#REF!,"AAAAAHY9/L0=")</f>
        <v>#REF!</v>
      </c>
      <c r="GI63" t="e">
        <f>AND(Bills!F158,"AAAAAHY9/L4=")</f>
        <v>#VALUE!</v>
      </c>
      <c r="GJ63" t="e">
        <f>AND(Bills!#REF!,"AAAAAHY9/L8=")</f>
        <v>#REF!</v>
      </c>
      <c r="GK63" t="e">
        <f>AND(Bills!G158,"AAAAAHY9/MA=")</f>
        <v>#VALUE!</v>
      </c>
      <c r="GL63" t="e">
        <f>AND(Bills!H158,"AAAAAHY9/ME=")</f>
        <v>#VALUE!</v>
      </c>
      <c r="GM63" t="e">
        <f>AND(Bills!I158,"AAAAAHY9/MI=")</f>
        <v>#VALUE!</v>
      </c>
      <c r="GN63" t="e">
        <f>AND(Bills!J158,"AAAAAHY9/MM=")</f>
        <v>#VALUE!</v>
      </c>
      <c r="GO63" t="e">
        <f>AND(Bills!K158,"AAAAAHY9/MQ=")</f>
        <v>#VALUE!</v>
      </c>
      <c r="GP63" t="e">
        <f>AND(Bills!L158,"AAAAAHY9/MU=")</f>
        <v>#VALUE!</v>
      </c>
      <c r="GQ63" t="e">
        <f>AND(Bills!#REF!,"AAAAAHY9/MY=")</f>
        <v>#REF!</v>
      </c>
      <c r="GR63" t="e">
        <f>AND(Bills!M158,"AAAAAHY9/Mc=")</f>
        <v>#VALUE!</v>
      </c>
      <c r="GS63" t="e">
        <f>AND(Bills!N158,"AAAAAHY9/Mg=")</f>
        <v>#VALUE!</v>
      </c>
      <c r="GT63" t="e">
        <f>AND(Bills!O158,"AAAAAHY9/Mk=")</f>
        <v>#VALUE!</v>
      </c>
      <c r="GU63" t="e">
        <f>AND(Bills!P158,"AAAAAHY9/Mo=")</f>
        <v>#VALUE!</v>
      </c>
      <c r="GV63" t="e">
        <f>AND(Bills!Q158,"AAAAAHY9/Ms=")</f>
        <v>#VALUE!</v>
      </c>
      <c r="GW63" t="e">
        <f>AND(Bills!R158,"AAAAAHY9/Mw=")</f>
        <v>#VALUE!</v>
      </c>
      <c r="GX63" t="e">
        <f>AND(Bills!S158,"AAAAAHY9/M0=")</f>
        <v>#VALUE!</v>
      </c>
      <c r="GY63" t="e">
        <f>AND(Bills!T158,"AAAAAHY9/M4=")</f>
        <v>#VALUE!</v>
      </c>
      <c r="GZ63" t="e">
        <f>AND(Bills!#REF!,"AAAAAHY9/M8=")</f>
        <v>#REF!</v>
      </c>
      <c r="HA63" t="e">
        <f>AND(Bills!U158,"AAAAAHY9/NA=")</f>
        <v>#VALUE!</v>
      </c>
      <c r="HB63" t="e">
        <f>AND(Bills!V158,"AAAAAHY9/NE=")</f>
        <v>#VALUE!</v>
      </c>
      <c r="HC63" t="e">
        <f>AND(Bills!W158,"AAAAAHY9/NI=")</f>
        <v>#VALUE!</v>
      </c>
      <c r="HD63" t="e">
        <f>AND(Bills!#REF!,"AAAAAHY9/NM=")</f>
        <v>#REF!</v>
      </c>
      <c r="HE63" t="e">
        <f>AND(Bills!#REF!,"AAAAAHY9/NQ=")</f>
        <v>#REF!</v>
      </c>
      <c r="HF63" t="e">
        <f>AND(Bills!Y158,"AAAAAHY9/NU=")</f>
        <v>#VALUE!</v>
      </c>
      <c r="HG63" t="e">
        <f>AND(Bills!Z158,"AAAAAHY9/NY=")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AND(Bills!AA158,"AAAAAHY9/OA=")</f>
        <v>#VALUE!</v>
      </c>
      <c r="HR63" t="e">
        <f>AND(Bills!AB158,"AAAAAHY9/OE=")</f>
        <v>#VALUE!</v>
      </c>
      <c r="HS63" t="e">
        <f>AND(Bills!#REF!,"AAAAAHY9/OI=")</f>
        <v>#REF!</v>
      </c>
      <c r="HT63" t="e">
        <f>AND(Bills!#REF!,"AAAAAHY9/OM=")</f>
        <v>#REF!</v>
      </c>
      <c r="HU63" t="e">
        <f>AND(Bills!#REF!,"AAAAAHY9/OQ=")</f>
        <v>#REF!</v>
      </c>
      <c r="HV63" t="e">
        <f>AND(Bills!AC158,"AAAAAHY9/OU=")</f>
        <v>#VALUE!</v>
      </c>
      <c r="HW63" t="e">
        <f>AND(Bills!AD158,"AAAAAHY9/OY=")</f>
        <v>#VALUE!</v>
      </c>
      <c r="HX63" t="e">
        <f>AND(Bills!#REF!,"AAAAAHY9/Oc=")</f>
        <v>#REF!</v>
      </c>
      <c r="HY63">
        <f>IF(Bills!159:159,"AAAAAHY9/Og=",0)</f>
        <v>0</v>
      </c>
      <c r="HZ63" t="e">
        <f>AND(Bills!B159,"AAAAAHY9/Ok=")</f>
        <v>#VALUE!</v>
      </c>
      <c r="IA63" t="e">
        <f>AND(Bills!#REF!,"AAAAAHY9/Oo=")</f>
        <v>#REF!</v>
      </c>
      <c r="IB63" t="e">
        <f>AND(Bills!C159,"AAAAAHY9/Os=")</f>
        <v>#VALUE!</v>
      </c>
      <c r="IC63" t="e">
        <f>AND(Bills!D159,"AAAAAHY9/Ow=")</f>
        <v>#VALUE!</v>
      </c>
      <c r="ID63" t="e">
        <f>AND(Bills!E159,"AAAAAHY9/O0=")</f>
        <v>#VALUE!</v>
      </c>
      <c r="IE63" t="e">
        <f>AND(Bills!#REF!,"AAAAAHY9/O4=")</f>
        <v>#REF!</v>
      </c>
      <c r="IF63" t="e">
        <f>AND(Bills!#REF!,"AAAAAHY9/O8=")</f>
        <v>#REF!</v>
      </c>
      <c r="IG63" t="e">
        <f>AND(Bills!#REF!,"AAAAAHY9/PA=")</f>
        <v>#REF!</v>
      </c>
      <c r="IH63" t="e">
        <f>AND(Bills!F159,"AAAAAHY9/PE=")</f>
        <v>#VALUE!</v>
      </c>
      <c r="II63" t="e">
        <f>AND(Bills!#REF!,"AAAAAHY9/PI=")</f>
        <v>#REF!</v>
      </c>
      <c r="IJ63" t="e">
        <f>AND(Bills!G159,"AAAAAHY9/PM=")</f>
        <v>#VALUE!</v>
      </c>
      <c r="IK63" t="e">
        <f>AND(Bills!H159,"AAAAAHY9/PQ=")</f>
        <v>#VALUE!</v>
      </c>
      <c r="IL63" t="e">
        <f>AND(Bills!I159,"AAAAAHY9/PU=")</f>
        <v>#VALUE!</v>
      </c>
      <c r="IM63" t="e">
        <f>AND(Bills!J159,"AAAAAHY9/PY=")</f>
        <v>#VALUE!</v>
      </c>
      <c r="IN63" t="e">
        <f>AND(Bills!K159,"AAAAAHY9/Pc=")</f>
        <v>#VALUE!</v>
      </c>
      <c r="IO63" t="e">
        <f>AND(Bills!L159,"AAAAAHY9/Pg=")</f>
        <v>#VALUE!</v>
      </c>
      <c r="IP63" t="e">
        <f>AND(Bills!#REF!,"AAAAAHY9/Pk=")</f>
        <v>#REF!</v>
      </c>
      <c r="IQ63" t="e">
        <f>AND(Bills!M159,"AAAAAHY9/Po=")</f>
        <v>#VALUE!</v>
      </c>
      <c r="IR63" t="e">
        <f>AND(Bills!N159,"AAAAAHY9/Ps=")</f>
        <v>#VALUE!</v>
      </c>
      <c r="IS63" t="e">
        <f>AND(Bills!O159,"AAAAAHY9/Pw=")</f>
        <v>#VALUE!</v>
      </c>
      <c r="IT63" t="e">
        <f>AND(Bills!P159,"AAAAAHY9/P0=")</f>
        <v>#VALUE!</v>
      </c>
      <c r="IU63" t="e">
        <f>AND(Bills!Q159,"AAAAAHY9/P4=")</f>
        <v>#VALUE!</v>
      </c>
      <c r="IV63" t="e">
        <f>AND(Bills!R159,"AAAAAHY9/P8=")</f>
        <v>#VALUE!</v>
      </c>
    </row>
    <row r="64" spans="1:256">
      <c r="A64" t="e">
        <f>AND(Bills!S159,"AAAAAHP7fgA=")</f>
        <v>#VALUE!</v>
      </c>
      <c r="B64" t="e">
        <f>AND(Bills!T159,"AAAAAHP7fgE=")</f>
        <v>#VALUE!</v>
      </c>
      <c r="C64" t="e">
        <f>AND(Bills!#REF!,"AAAAAHP7fgI=")</f>
        <v>#REF!</v>
      </c>
      <c r="D64" t="e">
        <f>AND(Bills!U159,"AAAAAHP7fgM=")</f>
        <v>#VALUE!</v>
      </c>
      <c r="E64" t="e">
        <f>AND(Bills!V159,"AAAAAHP7fgQ=")</f>
        <v>#VALUE!</v>
      </c>
      <c r="F64" t="e">
        <f>AND(Bills!W159,"AAAAAHP7fgU=")</f>
        <v>#VALUE!</v>
      </c>
      <c r="G64" t="e">
        <f>AND(Bills!#REF!,"AAAAAHP7fgY=")</f>
        <v>#REF!</v>
      </c>
      <c r="H64" t="e">
        <f>AND(Bills!#REF!,"AAAAAHP7fgc=")</f>
        <v>#REF!</v>
      </c>
      <c r="I64" t="e">
        <f>AND(Bills!Y159,"AAAAAHP7fgg=")</f>
        <v>#VALUE!</v>
      </c>
      <c r="J64" t="e">
        <f>AND(Bills!Z159,"AAAAAHP7fgk=")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AND(Bills!AA159,"AAAAAHP7fhM=")</f>
        <v>#VALUE!</v>
      </c>
      <c r="U64" t="e">
        <f>AND(Bills!AB159,"AAAAAHP7fhQ=")</f>
        <v>#VALUE!</v>
      </c>
      <c r="V64" t="e">
        <f>AND(Bills!#REF!,"AAAAAHP7fhU=")</f>
        <v>#REF!</v>
      </c>
      <c r="W64" t="e">
        <f>AND(Bills!#REF!,"AAAAAHP7fhY=")</f>
        <v>#REF!</v>
      </c>
      <c r="X64" t="e">
        <f>AND(Bills!#REF!,"AAAAAHP7fhc=")</f>
        <v>#REF!</v>
      </c>
      <c r="Y64" t="e">
        <f>AND(Bills!AC159,"AAAAAHP7fhg=")</f>
        <v>#VALUE!</v>
      </c>
      <c r="Z64" t="e">
        <f>AND(Bills!AD159,"AAAAAHP7fhk=")</f>
        <v>#VALUE!</v>
      </c>
      <c r="AA64" t="e">
        <f>AND(Bills!#REF!,"AAAAAHP7fho=")</f>
        <v>#REF!</v>
      </c>
      <c r="AB64">
        <f>IF(Bills!160:160,"AAAAAHP7fhs=",0)</f>
        <v>0</v>
      </c>
      <c r="AC64" t="e">
        <f>AND(Bills!B160,"AAAAAHP7fhw=")</f>
        <v>#VALUE!</v>
      </c>
      <c r="AD64" t="e">
        <f>AND(Bills!#REF!,"AAAAAHP7fh0=")</f>
        <v>#REF!</v>
      </c>
      <c r="AE64" t="e">
        <f>AND(Bills!C160,"AAAAAHP7fh4=")</f>
        <v>#VALUE!</v>
      </c>
      <c r="AF64" t="e">
        <f>AND(Bills!D160,"AAAAAHP7fh8=")</f>
        <v>#VALUE!</v>
      </c>
      <c r="AG64" t="e">
        <f>AND(Bills!E160,"AAAAAHP7fiA=")</f>
        <v>#VALUE!</v>
      </c>
      <c r="AH64" t="e">
        <f>AND(Bills!#REF!,"AAAAAHP7fiE=")</f>
        <v>#REF!</v>
      </c>
      <c r="AI64" t="e">
        <f>AND(Bills!#REF!,"AAAAAHP7fiI=")</f>
        <v>#REF!</v>
      </c>
      <c r="AJ64" t="e">
        <f>AND(Bills!#REF!,"AAAAAHP7fiM=")</f>
        <v>#REF!</v>
      </c>
      <c r="AK64" t="e">
        <f>AND(Bills!F160,"AAAAAHP7fiQ=")</f>
        <v>#VALUE!</v>
      </c>
      <c r="AL64" t="e">
        <f>AND(Bills!#REF!,"AAAAAHP7fiU=")</f>
        <v>#REF!</v>
      </c>
      <c r="AM64" t="e">
        <f>AND(Bills!G160,"AAAAAHP7fiY=")</f>
        <v>#VALUE!</v>
      </c>
      <c r="AN64" t="e">
        <f>AND(Bills!H160,"AAAAAHP7fic=")</f>
        <v>#VALUE!</v>
      </c>
      <c r="AO64" t="e">
        <f>AND(Bills!I160,"AAAAAHP7fig=")</f>
        <v>#VALUE!</v>
      </c>
      <c r="AP64" t="e">
        <f>AND(Bills!J160,"AAAAAHP7fik=")</f>
        <v>#VALUE!</v>
      </c>
      <c r="AQ64" t="e">
        <f>AND(Bills!K160,"AAAAAHP7fio=")</f>
        <v>#VALUE!</v>
      </c>
      <c r="AR64" t="e">
        <f>AND(Bills!L160,"AAAAAHP7fis=")</f>
        <v>#VALUE!</v>
      </c>
      <c r="AS64" t="e">
        <f>AND(Bills!#REF!,"AAAAAHP7fiw=")</f>
        <v>#REF!</v>
      </c>
      <c r="AT64" t="e">
        <f>AND(Bills!M160,"AAAAAHP7fi0=")</f>
        <v>#VALUE!</v>
      </c>
      <c r="AU64" t="e">
        <f>AND(Bills!N160,"AAAAAHP7fi4=")</f>
        <v>#VALUE!</v>
      </c>
      <c r="AV64" t="e">
        <f>AND(Bills!O160,"AAAAAHP7fi8=")</f>
        <v>#VALUE!</v>
      </c>
      <c r="AW64" t="e">
        <f>AND(Bills!P160,"AAAAAHP7fjA=")</f>
        <v>#VALUE!</v>
      </c>
      <c r="AX64" t="e">
        <f>AND(Bills!Q160,"AAAAAHP7fjE=")</f>
        <v>#VALUE!</v>
      </c>
      <c r="AY64" t="e">
        <f>AND(Bills!R160,"AAAAAHP7fjI=")</f>
        <v>#VALUE!</v>
      </c>
      <c r="AZ64" t="e">
        <f>AND(Bills!S160,"AAAAAHP7fjM=")</f>
        <v>#VALUE!</v>
      </c>
      <c r="BA64" t="e">
        <f>AND(Bills!T160,"AAAAAHP7fjQ=")</f>
        <v>#VALUE!</v>
      </c>
      <c r="BB64" t="e">
        <f>AND(Bills!#REF!,"AAAAAHP7fjU=")</f>
        <v>#REF!</v>
      </c>
      <c r="BC64" t="e">
        <f>AND(Bills!U160,"AAAAAHP7fjY=")</f>
        <v>#VALUE!</v>
      </c>
      <c r="BD64" t="e">
        <f>AND(Bills!V160,"AAAAAHP7fjc=")</f>
        <v>#VALUE!</v>
      </c>
      <c r="BE64" t="e">
        <f>AND(Bills!W160,"AAAAAHP7fjg=")</f>
        <v>#VALUE!</v>
      </c>
      <c r="BF64" t="e">
        <f>AND(Bills!#REF!,"AAAAAHP7fjk=")</f>
        <v>#REF!</v>
      </c>
      <c r="BG64" t="e">
        <f>AND(Bills!#REF!,"AAAAAHP7fjo=")</f>
        <v>#REF!</v>
      </c>
      <c r="BH64" t="e">
        <f>AND(Bills!Y160,"AAAAAHP7fjs=")</f>
        <v>#VALUE!</v>
      </c>
      <c r="BI64" t="e">
        <f>AND(Bills!Z160,"AAAAAHP7fjw=")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AND(Bills!AA160,"AAAAAHP7fkY=")</f>
        <v>#VALUE!</v>
      </c>
      <c r="BT64" t="e">
        <f>AND(Bills!AB160,"AAAAAHP7fkc=")</f>
        <v>#VALUE!</v>
      </c>
      <c r="BU64" t="e">
        <f>AND(Bills!#REF!,"AAAAAHP7fkg=")</f>
        <v>#REF!</v>
      </c>
      <c r="BV64" t="e">
        <f>AND(Bills!#REF!,"AAAAAHP7fkk=")</f>
        <v>#REF!</v>
      </c>
      <c r="BW64" t="e">
        <f>AND(Bills!#REF!,"AAAAAHP7fko=")</f>
        <v>#REF!</v>
      </c>
      <c r="BX64" t="e">
        <f>AND(Bills!AC160,"AAAAAHP7fks=")</f>
        <v>#VALUE!</v>
      </c>
      <c r="BY64" t="e">
        <f>AND(Bills!AD160,"AAAAAHP7fkw=")</f>
        <v>#VALUE!</v>
      </c>
      <c r="BZ64" t="e">
        <f>AND(Bills!#REF!,"AAAAAHP7fk0=")</f>
        <v>#REF!</v>
      </c>
      <c r="CA64">
        <f>IF(Bills!161:161,"AAAAAHP7fk4=",0)</f>
        <v>0</v>
      </c>
      <c r="CB64" t="e">
        <f>AND(Bills!B161,"AAAAAHP7fk8=")</f>
        <v>#VALUE!</v>
      </c>
      <c r="CC64" t="e">
        <f>AND(Bills!#REF!,"AAAAAHP7flA=")</f>
        <v>#REF!</v>
      </c>
      <c r="CD64" t="e">
        <f>AND(Bills!C161,"AAAAAHP7flE=")</f>
        <v>#VALUE!</v>
      </c>
      <c r="CE64" t="e">
        <f>AND(Bills!D161,"AAAAAHP7flI=")</f>
        <v>#VALUE!</v>
      </c>
      <c r="CF64" t="e">
        <f>AND(Bills!E161,"AAAAAHP7flM=")</f>
        <v>#VALUE!</v>
      </c>
      <c r="CG64" t="e">
        <f>AND(Bills!#REF!,"AAAAAHP7flQ=")</f>
        <v>#REF!</v>
      </c>
      <c r="CH64" t="e">
        <f>AND(Bills!#REF!,"AAAAAHP7flU=")</f>
        <v>#REF!</v>
      </c>
      <c r="CI64" t="e">
        <f>AND(Bills!#REF!,"AAAAAHP7flY=")</f>
        <v>#REF!</v>
      </c>
      <c r="CJ64" t="e">
        <f>AND(Bills!F161,"AAAAAHP7flc=")</f>
        <v>#VALUE!</v>
      </c>
      <c r="CK64" t="e">
        <f>AND(Bills!#REF!,"AAAAAHP7flg=")</f>
        <v>#REF!</v>
      </c>
      <c r="CL64" t="e">
        <f>AND(Bills!G161,"AAAAAHP7flk=")</f>
        <v>#VALUE!</v>
      </c>
      <c r="CM64" t="e">
        <f>AND(Bills!H161,"AAAAAHP7flo=")</f>
        <v>#VALUE!</v>
      </c>
      <c r="CN64" t="e">
        <f>AND(Bills!I161,"AAAAAHP7fls=")</f>
        <v>#VALUE!</v>
      </c>
      <c r="CO64" t="e">
        <f>AND(Bills!J161,"AAAAAHP7flw=")</f>
        <v>#VALUE!</v>
      </c>
      <c r="CP64" t="e">
        <f>AND(Bills!K161,"AAAAAHP7fl0=")</f>
        <v>#VALUE!</v>
      </c>
      <c r="CQ64" t="e">
        <f>AND(Bills!L161,"AAAAAHP7fl4=")</f>
        <v>#VALUE!</v>
      </c>
      <c r="CR64" t="e">
        <f>AND(Bills!#REF!,"AAAAAHP7fl8=")</f>
        <v>#REF!</v>
      </c>
      <c r="CS64" t="e">
        <f>AND(Bills!M161,"AAAAAHP7fmA=")</f>
        <v>#VALUE!</v>
      </c>
      <c r="CT64" t="e">
        <f>AND(Bills!N161,"AAAAAHP7fmE=")</f>
        <v>#VALUE!</v>
      </c>
      <c r="CU64" t="e">
        <f>AND(Bills!O161,"AAAAAHP7fmI=")</f>
        <v>#VALUE!</v>
      </c>
      <c r="CV64" t="e">
        <f>AND(Bills!P161,"AAAAAHP7fmM=")</f>
        <v>#VALUE!</v>
      </c>
      <c r="CW64" t="e">
        <f>AND(Bills!Q161,"AAAAAHP7fmQ=")</f>
        <v>#VALUE!</v>
      </c>
      <c r="CX64" t="e">
        <f>AND(Bills!R161,"AAAAAHP7fmU=")</f>
        <v>#VALUE!</v>
      </c>
      <c r="CY64" t="e">
        <f>AND(Bills!S161,"AAAAAHP7fmY=")</f>
        <v>#VALUE!</v>
      </c>
      <c r="CZ64" t="e">
        <f>AND(Bills!T161,"AAAAAHP7fmc=")</f>
        <v>#VALUE!</v>
      </c>
      <c r="DA64" t="e">
        <f>AND(Bills!#REF!,"AAAAAHP7fmg=")</f>
        <v>#REF!</v>
      </c>
      <c r="DB64" t="e">
        <f>AND(Bills!U161,"AAAAAHP7fmk=")</f>
        <v>#VALUE!</v>
      </c>
      <c r="DC64" t="e">
        <f>AND(Bills!V161,"AAAAAHP7fmo=")</f>
        <v>#VALUE!</v>
      </c>
      <c r="DD64" t="e">
        <f>AND(Bills!W161,"AAAAAHP7fms=")</f>
        <v>#VALUE!</v>
      </c>
      <c r="DE64" t="e">
        <f>AND(Bills!#REF!,"AAAAAHP7fmw=")</f>
        <v>#REF!</v>
      </c>
      <c r="DF64" t="e">
        <f>AND(Bills!#REF!,"AAAAAHP7fm0=")</f>
        <v>#REF!</v>
      </c>
      <c r="DG64" t="e">
        <f>AND(Bills!Y161,"AAAAAHP7fm4=")</f>
        <v>#VALUE!</v>
      </c>
      <c r="DH64" t="e">
        <f>AND(Bills!Z161,"AAAAAHP7fm8=")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AND(Bills!AA161,"AAAAAHP7fnk=")</f>
        <v>#VALUE!</v>
      </c>
      <c r="DS64" t="e">
        <f>AND(Bills!AB161,"AAAAAHP7fno=")</f>
        <v>#VALUE!</v>
      </c>
      <c r="DT64" t="e">
        <f>AND(Bills!#REF!,"AAAAAHP7fns=")</f>
        <v>#REF!</v>
      </c>
      <c r="DU64" t="e">
        <f>AND(Bills!#REF!,"AAAAAHP7fnw=")</f>
        <v>#REF!</v>
      </c>
      <c r="DV64" t="e">
        <f>AND(Bills!#REF!,"AAAAAHP7fn0=")</f>
        <v>#REF!</v>
      </c>
      <c r="DW64" t="e">
        <f>AND(Bills!AC161,"AAAAAHP7fn4=")</f>
        <v>#VALUE!</v>
      </c>
      <c r="DX64" t="e">
        <f>AND(Bills!AD161,"AAAAAHP7fn8=")</f>
        <v>#VALUE!</v>
      </c>
      <c r="DY64" t="e">
        <f>AND(Bills!#REF!,"AAAAAHP7foA=")</f>
        <v>#REF!</v>
      </c>
      <c r="DZ64">
        <f>IF(Bills!162:162,"AAAAAHP7foE=",0)</f>
        <v>0</v>
      </c>
      <c r="EA64" t="e">
        <f>AND(Bills!B162,"AAAAAHP7foI=")</f>
        <v>#VALUE!</v>
      </c>
      <c r="EB64" t="e">
        <f>AND(Bills!#REF!,"AAAAAHP7foM=")</f>
        <v>#REF!</v>
      </c>
      <c r="EC64" t="e">
        <f>AND(Bills!C162,"AAAAAHP7foQ=")</f>
        <v>#VALUE!</v>
      </c>
      <c r="ED64" t="e">
        <f>AND(Bills!D162,"AAAAAHP7foU=")</f>
        <v>#VALUE!</v>
      </c>
      <c r="EE64" t="e">
        <f>AND(Bills!E162,"AAAAAHP7foY=")</f>
        <v>#VALUE!</v>
      </c>
      <c r="EF64" t="e">
        <f>AND(Bills!#REF!,"AAAAAHP7foc=")</f>
        <v>#REF!</v>
      </c>
      <c r="EG64" t="e">
        <f>AND(Bills!#REF!,"AAAAAHP7fog=")</f>
        <v>#REF!</v>
      </c>
      <c r="EH64" t="e">
        <f>AND(Bills!#REF!,"AAAAAHP7fok=")</f>
        <v>#REF!</v>
      </c>
      <c r="EI64" t="e">
        <f>AND(Bills!F162,"AAAAAHP7foo=")</f>
        <v>#VALUE!</v>
      </c>
      <c r="EJ64" t="e">
        <f>AND(Bills!#REF!,"AAAAAHP7fos=")</f>
        <v>#REF!</v>
      </c>
      <c r="EK64" t="e">
        <f>AND(Bills!G162,"AAAAAHP7fow=")</f>
        <v>#VALUE!</v>
      </c>
      <c r="EL64" t="e">
        <f>AND(Bills!H162,"AAAAAHP7fo0=")</f>
        <v>#VALUE!</v>
      </c>
      <c r="EM64" t="e">
        <f>AND(Bills!I162,"AAAAAHP7fo4=")</f>
        <v>#VALUE!</v>
      </c>
      <c r="EN64" t="e">
        <f>AND(Bills!J162,"AAAAAHP7fo8=")</f>
        <v>#VALUE!</v>
      </c>
      <c r="EO64" t="e">
        <f>AND(Bills!K162,"AAAAAHP7fpA=")</f>
        <v>#VALUE!</v>
      </c>
      <c r="EP64" t="e">
        <f>AND(Bills!L162,"AAAAAHP7fpE=")</f>
        <v>#VALUE!</v>
      </c>
      <c r="EQ64" t="e">
        <f>AND(Bills!#REF!,"AAAAAHP7fpI=")</f>
        <v>#REF!</v>
      </c>
      <c r="ER64" t="e">
        <f>AND(Bills!M162,"AAAAAHP7fpM=")</f>
        <v>#VALUE!</v>
      </c>
      <c r="ES64" t="e">
        <f>AND(Bills!N162,"AAAAAHP7fpQ=")</f>
        <v>#VALUE!</v>
      </c>
      <c r="ET64" t="e">
        <f>AND(Bills!O162,"AAAAAHP7fpU=")</f>
        <v>#VALUE!</v>
      </c>
      <c r="EU64" t="e">
        <f>AND(Bills!P162,"AAAAAHP7fpY=")</f>
        <v>#VALUE!</v>
      </c>
      <c r="EV64" t="e">
        <f>AND(Bills!Q162,"AAAAAHP7fpc=")</f>
        <v>#VALUE!</v>
      </c>
      <c r="EW64" t="e">
        <f>AND(Bills!R162,"AAAAAHP7fpg=")</f>
        <v>#VALUE!</v>
      </c>
      <c r="EX64" t="e">
        <f>AND(Bills!S162,"AAAAAHP7fpk=")</f>
        <v>#VALUE!</v>
      </c>
      <c r="EY64" t="e">
        <f>AND(Bills!T162,"AAAAAHP7fpo=")</f>
        <v>#VALUE!</v>
      </c>
      <c r="EZ64" t="e">
        <f>AND(Bills!#REF!,"AAAAAHP7fps=")</f>
        <v>#REF!</v>
      </c>
      <c r="FA64" t="e">
        <f>AND(Bills!U162,"AAAAAHP7fpw=")</f>
        <v>#VALUE!</v>
      </c>
      <c r="FB64" t="e">
        <f>AND(Bills!V162,"AAAAAHP7fp0=")</f>
        <v>#VALUE!</v>
      </c>
      <c r="FC64" t="e">
        <f>AND(Bills!W162,"AAAAAHP7fp4=")</f>
        <v>#VALUE!</v>
      </c>
      <c r="FD64" t="e">
        <f>AND(Bills!#REF!,"AAAAAHP7fp8=")</f>
        <v>#REF!</v>
      </c>
      <c r="FE64" t="e">
        <f>AND(Bills!#REF!,"AAAAAHP7fqA=")</f>
        <v>#REF!</v>
      </c>
      <c r="FF64" t="e">
        <f>AND(Bills!Y162,"AAAAAHP7fqE=")</f>
        <v>#VALUE!</v>
      </c>
      <c r="FG64" t="e">
        <f>AND(Bills!Z162,"AAAAAHP7fqI=")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AND(Bills!AA162,"AAAAAHP7fqw=")</f>
        <v>#VALUE!</v>
      </c>
      <c r="FR64" t="e">
        <f>AND(Bills!AB162,"AAAAAHP7fq0=")</f>
        <v>#VALUE!</v>
      </c>
      <c r="FS64" t="e">
        <f>AND(Bills!#REF!,"AAAAAHP7fq4=")</f>
        <v>#REF!</v>
      </c>
      <c r="FT64" t="e">
        <f>AND(Bills!#REF!,"AAAAAHP7fq8=")</f>
        <v>#REF!</v>
      </c>
      <c r="FU64" t="e">
        <f>AND(Bills!#REF!,"AAAAAHP7frA=")</f>
        <v>#REF!</v>
      </c>
      <c r="FV64" t="e">
        <f>AND(Bills!AC162,"AAAAAHP7frE=")</f>
        <v>#VALUE!</v>
      </c>
      <c r="FW64" t="e">
        <f>AND(Bills!AD162,"AAAAAHP7frI=")</f>
        <v>#VALUE!</v>
      </c>
      <c r="FX64" t="e">
        <f>AND(Bills!#REF!,"AAAAAHP7frM=")</f>
        <v>#REF!</v>
      </c>
      <c r="FY64">
        <f>IF(Bills!163:163,"AAAAAHP7frQ=",0)</f>
        <v>0</v>
      </c>
      <c r="FZ64" t="e">
        <f>AND(Bills!B163,"AAAAAHP7frU=")</f>
        <v>#VALUE!</v>
      </c>
      <c r="GA64" t="e">
        <f>AND(Bills!#REF!,"AAAAAHP7frY=")</f>
        <v>#REF!</v>
      </c>
      <c r="GB64" t="e">
        <f>AND(Bills!C163,"AAAAAHP7frc=")</f>
        <v>#VALUE!</v>
      </c>
      <c r="GC64" t="e">
        <f>AND(Bills!D163,"AAAAAHP7frg=")</f>
        <v>#VALUE!</v>
      </c>
      <c r="GD64" t="e">
        <f>AND(Bills!E163,"AAAAAHP7frk=")</f>
        <v>#VALUE!</v>
      </c>
      <c r="GE64" t="e">
        <f>AND(Bills!#REF!,"AAAAAHP7fro=")</f>
        <v>#REF!</v>
      </c>
      <c r="GF64" t="e">
        <f>AND(Bills!#REF!,"AAAAAHP7frs=")</f>
        <v>#REF!</v>
      </c>
      <c r="GG64" t="e">
        <f>AND(Bills!#REF!,"AAAAAHP7frw=")</f>
        <v>#REF!</v>
      </c>
      <c r="GH64" t="e">
        <f>AND(Bills!F163,"AAAAAHP7fr0=")</f>
        <v>#VALUE!</v>
      </c>
      <c r="GI64" t="e">
        <f>AND(Bills!#REF!,"AAAAAHP7fr4=")</f>
        <v>#REF!</v>
      </c>
      <c r="GJ64" t="e">
        <f>AND(Bills!G163,"AAAAAHP7fr8=")</f>
        <v>#VALUE!</v>
      </c>
      <c r="GK64" t="e">
        <f>AND(Bills!H163,"AAAAAHP7fsA=")</f>
        <v>#VALUE!</v>
      </c>
      <c r="GL64" t="e">
        <f>AND(Bills!I163,"AAAAAHP7fsE=")</f>
        <v>#VALUE!</v>
      </c>
      <c r="GM64" t="e">
        <f>AND(Bills!J163,"AAAAAHP7fsI=")</f>
        <v>#VALUE!</v>
      </c>
      <c r="GN64" t="e">
        <f>AND(Bills!K163,"AAAAAHP7fsM=")</f>
        <v>#VALUE!</v>
      </c>
      <c r="GO64" t="e">
        <f>AND(Bills!L163,"AAAAAHP7fsQ=")</f>
        <v>#VALUE!</v>
      </c>
      <c r="GP64" t="e">
        <f>AND(Bills!#REF!,"AAAAAHP7fsU=")</f>
        <v>#REF!</v>
      </c>
      <c r="GQ64" t="e">
        <f>AND(Bills!M163,"AAAAAHP7fsY=")</f>
        <v>#VALUE!</v>
      </c>
      <c r="GR64" t="e">
        <f>AND(Bills!N163,"AAAAAHP7fsc=")</f>
        <v>#VALUE!</v>
      </c>
      <c r="GS64" t="e">
        <f>AND(Bills!O163,"AAAAAHP7fsg=")</f>
        <v>#VALUE!</v>
      </c>
      <c r="GT64" t="e">
        <f>AND(Bills!P163,"AAAAAHP7fsk=")</f>
        <v>#VALUE!</v>
      </c>
      <c r="GU64" t="e">
        <f>AND(Bills!Q163,"AAAAAHP7fso=")</f>
        <v>#VALUE!</v>
      </c>
      <c r="GV64" t="e">
        <f>AND(Bills!R163,"AAAAAHP7fss=")</f>
        <v>#VALUE!</v>
      </c>
      <c r="GW64" t="e">
        <f>AND(Bills!S163,"AAAAAHP7fsw=")</f>
        <v>#VALUE!</v>
      </c>
      <c r="GX64" t="e">
        <f>AND(Bills!T163,"AAAAAHP7fs0=")</f>
        <v>#VALUE!</v>
      </c>
      <c r="GY64" t="e">
        <f>AND(Bills!#REF!,"AAAAAHP7fs4=")</f>
        <v>#REF!</v>
      </c>
      <c r="GZ64" t="e">
        <f>AND(Bills!U163,"AAAAAHP7fs8=")</f>
        <v>#VALUE!</v>
      </c>
      <c r="HA64" t="e">
        <f>AND(Bills!V163,"AAAAAHP7ftA=")</f>
        <v>#VALUE!</v>
      </c>
      <c r="HB64" t="e">
        <f>AND(Bills!W163,"AAAAAHP7ftE=")</f>
        <v>#VALUE!</v>
      </c>
      <c r="HC64" t="e">
        <f>AND(Bills!#REF!,"AAAAAHP7ftI=")</f>
        <v>#REF!</v>
      </c>
      <c r="HD64" t="e">
        <f>AND(Bills!#REF!,"AAAAAHP7ftM=")</f>
        <v>#REF!</v>
      </c>
      <c r="HE64" t="e">
        <f>AND(Bills!Y163,"AAAAAHP7ftQ=")</f>
        <v>#VALUE!</v>
      </c>
      <c r="HF64" t="e">
        <f>AND(Bills!Z163,"AAAAAHP7ftU=")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AND(Bills!AA163,"AAAAAHP7ft8=")</f>
        <v>#VALUE!</v>
      </c>
      <c r="HQ64" t="e">
        <f>AND(Bills!AB163,"AAAAAHP7fuA=")</f>
        <v>#VALUE!</v>
      </c>
      <c r="HR64" t="e">
        <f>AND(Bills!#REF!,"AAAAAHP7fuE=")</f>
        <v>#REF!</v>
      </c>
      <c r="HS64" t="e">
        <f>AND(Bills!#REF!,"AAAAAHP7fuI=")</f>
        <v>#REF!</v>
      </c>
      <c r="HT64" t="e">
        <f>AND(Bills!#REF!,"AAAAAHP7fuM=")</f>
        <v>#REF!</v>
      </c>
      <c r="HU64" t="e">
        <f>AND(Bills!AC163,"AAAAAHP7fuQ=")</f>
        <v>#VALUE!</v>
      </c>
      <c r="HV64" t="e">
        <f>AND(Bills!AD163,"AAAAAHP7fuU=")</f>
        <v>#VALUE!</v>
      </c>
      <c r="HW64" t="e">
        <f>AND(Bills!#REF!,"AAAAAHP7fuY=")</f>
        <v>#REF!</v>
      </c>
      <c r="HX64">
        <f>IF(Bills!164:164,"AAAAAHP7fuc=",0)</f>
        <v>0</v>
      </c>
      <c r="HY64" t="e">
        <f>AND(Bills!B164,"AAAAAHP7fug=")</f>
        <v>#VALUE!</v>
      </c>
      <c r="HZ64" t="e">
        <f>AND(Bills!#REF!,"AAAAAHP7fuk=")</f>
        <v>#REF!</v>
      </c>
      <c r="IA64" t="e">
        <f>AND(Bills!C164,"AAAAAHP7fuo=")</f>
        <v>#VALUE!</v>
      </c>
      <c r="IB64" t="e">
        <f>AND(Bills!D164,"AAAAAHP7fus=")</f>
        <v>#VALUE!</v>
      </c>
      <c r="IC64" t="e">
        <f>AND(Bills!E164,"AAAAAHP7fuw=")</f>
        <v>#VALUE!</v>
      </c>
      <c r="ID64" t="e">
        <f>AND(Bills!#REF!,"AAAAAHP7fu0=")</f>
        <v>#REF!</v>
      </c>
      <c r="IE64" t="e">
        <f>AND(Bills!#REF!,"AAAAAHP7fu4=")</f>
        <v>#REF!</v>
      </c>
      <c r="IF64" t="e">
        <f>AND(Bills!#REF!,"AAAAAHP7fu8=")</f>
        <v>#REF!</v>
      </c>
      <c r="IG64" t="e">
        <f>AND(Bills!F164,"AAAAAHP7fvA=")</f>
        <v>#VALUE!</v>
      </c>
      <c r="IH64" t="e">
        <f>AND(Bills!#REF!,"AAAAAHP7fvE=")</f>
        <v>#REF!</v>
      </c>
      <c r="II64" t="e">
        <f>AND(Bills!G164,"AAAAAHP7fvI=")</f>
        <v>#VALUE!</v>
      </c>
      <c r="IJ64" t="e">
        <f>AND(Bills!H164,"AAAAAHP7fvM=")</f>
        <v>#VALUE!</v>
      </c>
      <c r="IK64" t="e">
        <f>AND(Bills!I164,"AAAAAHP7fvQ=")</f>
        <v>#VALUE!</v>
      </c>
      <c r="IL64" t="e">
        <f>AND(Bills!J164,"AAAAAHP7fvU=")</f>
        <v>#VALUE!</v>
      </c>
      <c r="IM64" t="e">
        <f>AND(Bills!K164,"AAAAAHP7fvY=")</f>
        <v>#VALUE!</v>
      </c>
      <c r="IN64" t="e">
        <f>AND(Bills!L164,"AAAAAHP7fvc=")</f>
        <v>#VALUE!</v>
      </c>
      <c r="IO64" t="e">
        <f>AND(Bills!#REF!,"AAAAAHP7fvg=")</f>
        <v>#REF!</v>
      </c>
      <c r="IP64" t="e">
        <f>AND(Bills!M164,"AAAAAHP7fvk=")</f>
        <v>#VALUE!</v>
      </c>
      <c r="IQ64" t="e">
        <f>AND(Bills!N164,"AAAAAHP7fvo=")</f>
        <v>#VALUE!</v>
      </c>
      <c r="IR64" t="e">
        <f>AND(Bills!O164,"AAAAAHP7fvs=")</f>
        <v>#VALUE!</v>
      </c>
      <c r="IS64" t="e">
        <f>AND(Bills!P164,"AAAAAHP7fvw=")</f>
        <v>#VALUE!</v>
      </c>
      <c r="IT64" t="e">
        <f>AND(Bills!Q164,"AAAAAHP7fv0=")</f>
        <v>#VALUE!</v>
      </c>
      <c r="IU64" t="e">
        <f>AND(Bills!R164,"AAAAAHP7fv4=")</f>
        <v>#VALUE!</v>
      </c>
      <c r="IV64" t="e">
        <f>AND(Bills!S164,"AAAAAHP7fv8=")</f>
        <v>#VALUE!</v>
      </c>
    </row>
    <row r="65" spans="1:256">
      <c r="A65" t="e">
        <f>AND(Bills!T164,"AAAAAGN+1gA=")</f>
        <v>#VALUE!</v>
      </c>
      <c r="B65" t="e">
        <f>AND(Bills!#REF!,"AAAAAGN+1gE=")</f>
        <v>#REF!</v>
      </c>
      <c r="C65" t="e">
        <f>AND(Bills!U164,"AAAAAGN+1gI=")</f>
        <v>#VALUE!</v>
      </c>
      <c r="D65" t="e">
        <f>AND(Bills!V164,"AAAAAGN+1gM=")</f>
        <v>#VALUE!</v>
      </c>
      <c r="E65" t="e">
        <f>AND(Bills!W164,"AAAAAGN+1gQ=")</f>
        <v>#VALUE!</v>
      </c>
      <c r="F65" t="e">
        <f>AND(Bills!#REF!,"AAAAAGN+1gU=")</f>
        <v>#REF!</v>
      </c>
      <c r="G65" t="e">
        <f>AND(Bills!#REF!,"AAAAAGN+1gY=")</f>
        <v>#REF!</v>
      </c>
      <c r="H65" t="e">
        <f>AND(Bills!Y164,"AAAAAGN+1gc=")</f>
        <v>#VALUE!</v>
      </c>
      <c r="I65" t="e">
        <f>AND(Bills!Z164,"AAAAAGN+1gg=")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AND(Bills!AA164,"AAAAAGN+1hI=")</f>
        <v>#VALUE!</v>
      </c>
      <c r="T65" t="e">
        <f>AND(Bills!AB164,"AAAAAGN+1hM=")</f>
        <v>#VALUE!</v>
      </c>
      <c r="U65" t="e">
        <f>AND(Bills!#REF!,"AAAAAGN+1hQ=")</f>
        <v>#REF!</v>
      </c>
      <c r="V65" t="e">
        <f>AND(Bills!#REF!,"AAAAAGN+1hU=")</f>
        <v>#REF!</v>
      </c>
      <c r="W65" t="e">
        <f>AND(Bills!#REF!,"AAAAAGN+1hY=")</f>
        <v>#REF!</v>
      </c>
      <c r="X65" t="e">
        <f>AND(Bills!AC164,"AAAAAGN+1hc=")</f>
        <v>#VALUE!</v>
      </c>
      <c r="Y65" t="e">
        <f>AND(Bills!AD164,"AAAAAGN+1hg=")</f>
        <v>#VALUE!</v>
      </c>
      <c r="Z65" t="e">
        <f>AND(Bills!#REF!,"AAAAAGN+1hk=")</f>
        <v>#REF!</v>
      </c>
      <c r="AA65">
        <f>IF(Bills!165:165,"AAAAAGN+1ho=",0)</f>
        <v>0</v>
      </c>
      <c r="AB65" t="e">
        <f>AND(Bills!B165,"AAAAAGN+1hs=")</f>
        <v>#VALUE!</v>
      </c>
      <c r="AC65" t="e">
        <f>AND(Bills!#REF!,"AAAAAGN+1hw=")</f>
        <v>#REF!</v>
      </c>
      <c r="AD65" t="e">
        <f>AND(Bills!C165,"AAAAAGN+1h0=")</f>
        <v>#VALUE!</v>
      </c>
      <c r="AE65" t="e">
        <f>AND(Bills!D165,"AAAAAGN+1h4=")</f>
        <v>#VALUE!</v>
      </c>
      <c r="AF65" t="e">
        <f>AND(Bills!E165,"AAAAAGN+1h8=")</f>
        <v>#VALUE!</v>
      </c>
      <c r="AG65" t="e">
        <f>AND(Bills!#REF!,"AAAAAGN+1iA=")</f>
        <v>#REF!</v>
      </c>
      <c r="AH65" t="e">
        <f>AND(Bills!#REF!,"AAAAAGN+1iE=")</f>
        <v>#REF!</v>
      </c>
      <c r="AI65" t="e">
        <f>AND(Bills!#REF!,"AAAAAGN+1iI=")</f>
        <v>#REF!</v>
      </c>
      <c r="AJ65" t="e">
        <f>AND(Bills!F165,"AAAAAGN+1iM=")</f>
        <v>#VALUE!</v>
      </c>
      <c r="AK65" t="e">
        <f>AND(Bills!#REF!,"AAAAAGN+1iQ=")</f>
        <v>#REF!</v>
      </c>
      <c r="AL65" t="e">
        <f>AND(Bills!G165,"AAAAAGN+1iU=")</f>
        <v>#VALUE!</v>
      </c>
      <c r="AM65" t="e">
        <f>AND(Bills!H165,"AAAAAGN+1iY=")</f>
        <v>#VALUE!</v>
      </c>
      <c r="AN65" t="e">
        <f>AND(Bills!I165,"AAAAAGN+1ic=")</f>
        <v>#VALUE!</v>
      </c>
      <c r="AO65" t="e">
        <f>AND(Bills!J165,"AAAAAGN+1ig=")</f>
        <v>#VALUE!</v>
      </c>
      <c r="AP65" t="e">
        <f>AND(Bills!K165,"AAAAAGN+1ik=")</f>
        <v>#VALUE!</v>
      </c>
      <c r="AQ65" t="e">
        <f>AND(Bills!L165,"AAAAAGN+1io=")</f>
        <v>#VALUE!</v>
      </c>
      <c r="AR65" t="e">
        <f>AND(Bills!#REF!,"AAAAAGN+1is=")</f>
        <v>#REF!</v>
      </c>
      <c r="AS65" t="e">
        <f>AND(Bills!M165,"AAAAAGN+1iw=")</f>
        <v>#VALUE!</v>
      </c>
      <c r="AT65" t="e">
        <f>AND(Bills!N165,"AAAAAGN+1i0=")</f>
        <v>#VALUE!</v>
      </c>
      <c r="AU65" t="e">
        <f>AND(Bills!O165,"AAAAAGN+1i4=")</f>
        <v>#VALUE!</v>
      </c>
      <c r="AV65" t="e">
        <f>AND(Bills!P165,"AAAAAGN+1i8=")</f>
        <v>#VALUE!</v>
      </c>
      <c r="AW65" t="e">
        <f>AND(Bills!Q165,"AAAAAGN+1jA=")</f>
        <v>#VALUE!</v>
      </c>
      <c r="AX65" t="e">
        <f>AND(Bills!R165,"AAAAAGN+1jE=")</f>
        <v>#VALUE!</v>
      </c>
      <c r="AY65" t="e">
        <f>AND(Bills!S165,"AAAAAGN+1jI=")</f>
        <v>#VALUE!</v>
      </c>
      <c r="AZ65" t="e">
        <f>AND(Bills!T165,"AAAAAGN+1jM=")</f>
        <v>#VALUE!</v>
      </c>
      <c r="BA65" t="e">
        <f>AND(Bills!#REF!,"AAAAAGN+1jQ=")</f>
        <v>#REF!</v>
      </c>
      <c r="BB65" t="e">
        <f>AND(Bills!U165,"AAAAAGN+1jU=")</f>
        <v>#VALUE!</v>
      </c>
      <c r="BC65" t="e">
        <f>AND(Bills!V165,"AAAAAGN+1jY=")</f>
        <v>#VALUE!</v>
      </c>
      <c r="BD65" t="e">
        <f>AND(Bills!W165,"AAAAAGN+1jc=")</f>
        <v>#VALUE!</v>
      </c>
      <c r="BE65" t="e">
        <f>AND(Bills!#REF!,"AAAAAGN+1jg=")</f>
        <v>#REF!</v>
      </c>
      <c r="BF65" t="e">
        <f>AND(Bills!#REF!,"AAAAAGN+1jk=")</f>
        <v>#REF!</v>
      </c>
      <c r="BG65" t="e">
        <f>AND(Bills!Y165,"AAAAAGN+1jo=")</f>
        <v>#VALUE!</v>
      </c>
      <c r="BH65" t="e">
        <f>AND(Bills!Z165,"AAAAAGN+1js=")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AND(Bills!AA165,"AAAAAGN+1kU=")</f>
        <v>#VALUE!</v>
      </c>
      <c r="BS65" t="e">
        <f>AND(Bills!AB165,"AAAAAGN+1kY=")</f>
        <v>#VALUE!</v>
      </c>
      <c r="BT65" t="e">
        <f>AND(Bills!#REF!,"AAAAAGN+1kc=")</f>
        <v>#REF!</v>
      </c>
      <c r="BU65" t="e">
        <f>AND(Bills!#REF!,"AAAAAGN+1kg=")</f>
        <v>#REF!</v>
      </c>
      <c r="BV65" t="e">
        <f>AND(Bills!#REF!,"AAAAAGN+1kk=")</f>
        <v>#REF!</v>
      </c>
      <c r="BW65" t="e">
        <f>AND(Bills!AC165,"AAAAAGN+1ko=")</f>
        <v>#VALUE!</v>
      </c>
      <c r="BX65" t="e">
        <f>AND(Bills!AD165,"AAAAAGN+1ks=")</f>
        <v>#VALUE!</v>
      </c>
      <c r="BY65" t="e">
        <f>AND(Bills!#REF!,"AAAAAGN+1kw=")</f>
        <v>#REF!</v>
      </c>
      <c r="BZ65">
        <f>IF(Bills!166:166,"AAAAAGN+1k0=",0)</f>
        <v>0</v>
      </c>
      <c r="CA65" t="e">
        <f>AND(Bills!B166,"AAAAAGN+1k4=")</f>
        <v>#VALUE!</v>
      </c>
      <c r="CB65" t="e">
        <f>AND(Bills!#REF!,"AAAAAGN+1k8=")</f>
        <v>#REF!</v>
      </c>
      <c r="CC65" t="e">
        <f>AND(Bills!C166,"AAAAAGN+1lA=")</f>
        <v>#VALUE!</v>
      </c>
      <c r="CD65" t="e">
        <f>AND(Bills!D166,"AAAAAGN+1lE=")</f>
        <v>#VALUE!</v>
      </c>
      <c r="CE65" t="e">
        <f>AND(Bills!E166,"AAAAAGN+1lI=")</f>
        <v>#VALUE!</v>
      </c>
      <c r="CF65" t="e">
        <f>AND(Bills!#REF!,"AAAAAGN+1lM=")</f>
        <v>#REF!</v>
      </c>
      <c r="CG65" t="e">
        <f>AND(Bills!#REF!,"AAAAAGN+1lQ=")</f>
        <v>#REF!</v>
      </c>
      <c r="CH65" t="e">
        <f>AND(Bills!#REF!,"AAAAAGN+1lU=")</f>
        <v>#REF!</v>
      </c>
      <c r="CI65" t="e">
        <f>AND(Bills!F166,"AAAAAGN+1lY=")</f>
        <v>#VALUE!</v>
      </c>
      <c r="CJ65" t="e">
        <f>AND(Bills!#REF!,"AAAAAGN+1lc=")</f>
        <v>#REF!</v>
      </c>
      <c r="CK65" t="e">
        <f>AND(Bills!G166,"AAAAAGN+1lg=")</f>
        <v>#VALUE!</v>
      </c>
      <c r="CL65" t="e">
        <f>AND(Bills!H166,"AAAAAGN+1lk=")</f>
        <v>#VALUE!</v>
      </c>
      <c r="CM65" t="e">
        <f>AND(Bills!I166,"AAAAAGN+1lo=")</f>
        <v>#VALUE!</v>
      </c>
      <c r="CN65" t="e">
        <f>AND(Bills!J166,"AAAAAGN+1ls=")</f>
        <v>#VALUE!</v>
      </c>
      <c r="CO65" t="e">
        <f>AND(Bills!K166,"AAAAAGN+1lw=")</f>
        <v>#VALUE!</v>
      </c>
      <c r="CP65" t="e">
        <f>AND(Bills!L166,"AAAAAGN+1l0=")</f>
        <v>#VALUE!</v>
      </c>
      <c r="CQ65" t="e">
        <f>AND(Bills!#REF!,"AAAAAGN+1l4=")</f>
        <v>#REF!</v>
      </c>
      <c r="CR65" t="e">
        <f>AND(Bills!M166,"AAAAAGN+1l8=")</f>
        <v>#VALUE!</v>
      </c>
      <c r="CS65" t="e">
        <f>AND(Bills!N166,"AAAAAGN+1mA=")</f>
        <v>#VALUE!</v>
      </c>
      <c r="CT65" t="e">
        <f>AND(Bills!O166,"AAAAAGN+1mE=")</f>
        <v>#VALUE!</v>
      </c>
      <c r="CU65" t="e">
        <f>AND(Bills!P166,"AAAAAGN+1mI=")</f>
        <v>#VALUE!</v>
      </c>
      <c r="CV65" t="e">
        <f>AND(Bills!Q166,"AAAAAGN+1mM=")</f>
        <v>#VALUE!</v>
      </c>
      <c r="CW65" t="e">
        <f>AND(Bills!R166,"AAAAAGN+1mQ=")</f>
        <v>#VALUE!</v>
      </c>
      <c r="CX65" t="e">
        <f>AND(Bills!S166,"AAAAAGN+1mU=")</f>
        <v>#VALUE!</v>
      </c>
      <c r="CY65" t="e">
        <f>AND(Bills!T166,"AAAAAGN+1mY=")</f>
        <v>#VALUE!</v>
      </c>
      <c r="CZ65" t="e">
        <f>AND(Bills!#REF!,"AAAAAGN+1mc=")</f>
        <v>#REF!</v>
      </c>
      <c r="DA65" t="e">
        <f>AND(Bills!U166,"AAAAAGN+1mg=")</f>
        <v>#VALUE!</v>
      </c>
      <c r="DB65" t="e">
        <f>AND(Bills!V166,"AAAAAGN+1mk=")</f>
        <v>#VALUE!</v>
      </c>
      <c r="DC65" t="e">
        <f>AND(Bills!W166,"AAAAAGN+1mo=")</f>
        <v>#VALUE!</v>
      </c>
      <c r="DD65" t="e">
        <f>AND(Bills!#REF!,"AAAAAGN+1ms=")</f>
        <v>#REF!</v>
      </c>
      <c r="DE65" t="e">
        <f>AND(Bills!#REF!,"AAAAAGN+1mw=")</f>
        <v>#REF!</v>
      </c>
      <c r="DF65" t="e">
        <f>AND(Bills!Y166,"AAAAAGN+1m0=")</f>
        <v>#VALUE!</v>
      </c>
      <c r="DG65" t="e">
        <f>AND(Bills!Z166,"AAAAAGN+1m4=")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AND(Bills!AA166,"AAAAAGN+1ng=")</f>
        <v>#VALUE!</v>
      </c>
      <c r="DR65" t="e">
        <f>AND(Bills!AB166,"AAAAAGN+1nk=")</f>
        <v>#VALUE!</v>
      </c>
      <c r="DS65" t="e">
        <f>AND(Bills!#REF!,"AAAAAGN+1no=")</f>
        <v>#REF!</v>
      </c>
      <c r="DT65" t="e">
        <f>AND(Bills!#REF!,"AAAAAGN+1ns=")</f>
        <v>#REF!</v>
      </c>
      <c r="DU65" t="e">
        <f>AND(Bills!#REF!,"AAAAAGN+1nw=")</f>
        <v>#REF!</v>
      </c>
      <c r="DV65" t="e">
        <f>AND(Bills!AC166,"AAAAAGN+1n0=")</f>
        <v>#VALUE!</v>
      </c>
      <c r="DW65" t="e">
        <f>AND(Bills!AD166,"AAAAAGN+1n4=")</f>
        <v>#VALUE!</v>
      </c>
      <c r="DX65" t="e">
        <f>AND(Bills!#REF!,"AAAAAGN+1n8=")</f>
        <v>#REF!</v>
      </c>
      <c r="DY65">
        <f>IF(Bills!167:167,"AAAAAGN+1oA=",0)</f>
        <v>0</v>
      </c>
      <c r="DZ65" t="e">
        <f>AND(Bills!B167,"AAAAAGN+1oE=")</f>
        <v>#VALUE!</v>
      </c>
      <c r="EA65" t="e">
        <f>AND(Bills!#REF!,"AAAAAGN+1oI=")</f>
        <v>#REF!</v>
      </c>
      <c r="EB65" t="e">
        <f>AND(Bills!C167,"AAAAAGN+1oM=")</f>
        <v>#VALUE!</v>
      </c>
      <c r="EC65" t="e">
        <f>AND(Bills!D167,"AAAAAGN+1oQ=")</f>
        <v>#VALUE!</v>
      </c>
      <c r="ED65" t="e">
        <f>AND(Bills!E167,"AAAAAGN+1oU=")</f>
        <v>#VALUE!</v>
      </c>
      <c r="EE65" t="e">
        <f>AND(Bills!#REF!,"AAAAAGN+1oY=")</f>
        <v>#REF!</v>
      </c>
      <c r="EF65" t="e">
        <f>AND(Bills!#REF!,"AAAAAGN+1oc=")</f>
        <v>#REF!</v>
      </c>
      <c r="EG65" t="e">
        <f>AND(Bills!#REF!,"AAAAAGN+1og=")</f>
        <v>#REF!</v>
      </c>
      <c r="EH65" t="e">
        <f>AND(Bills!F167,"AAAAAGN+1ok=")</f>
        <v>#VALUE!</v>
      </c>
      <c r="EI65" t="e">
        <f>AND(Bills!#REF!,"AAAAAGN+1oo=")</f>
        <v>#REF!</v>
      </c>
      <c r="EJ65" t="e">
        <f>AND(Bills!G167,"AAAAAGN+1os=")</f>
        <v>#VALUE!</v>
      </c>
      <c r="EK65" t="e">
        <f>AND(Bills!H167,"AAAAAGN+1ow=")</f>
        <v>#VALUE!</v>
      </c>
      <c r="EL65" t="e">
        <f>AND(Bills!I167,"AAAAAGN+1o0=")</f>
        <v>#VALUE!</v>
      </c>
      <c r="EM65" t="e">
        <f>AND(Bills!J167,"AAAAAGN+1o4=")</f>
        <v>#VALUE!</v>
      </c>
      <c r="EN65" t="e">
        <f>AND(Bills!K167,"AAAAAGN+1o8=")</f>
        <v>#VALUE!</v>
      </c>
      <c r="EO65" t="e">
        <f>AND(Bills!L167,"AAAAAGN+1pA=")</f>
        <v>#VALUE!</v>
      </c>
      <c r="EP65" t="e">
        <f>AND(Bills!#REF!,"AAAAAGN+1pE=")</f>
        <v>#REF!</v>
      </c>
      <c r="EQ65" t="e">
        <f>AND(Bills!M167,"AAAAAGN+1pI=")</f>
        <v>#VALUE!</v>
      </c>
      <c r="ER65" t="e">
        <f>AND(Bills!N167,"AAAAAGN+1pM=")</f>
        <v>#VALUE!</v>
      </c>
      <c r="ES65" t="e">
        <f>AND(Bills!O167,"AAAAAGN+1pQ=")</f>
        <v>#VALUE!</v>
      </c>
      <c r="ET65" t="e">
        <f>AND(Bills!P167,"AAAAAGN+1pU=")</f>
        <v>#VALUE!</v>
      </c>
      <c r="EU65" t="e">
        <f>AND(Bills!Q167,"AAAAAGN+1pY=")</f>
        <v>#VALUE!</v>
      </c>
      <c r="EV65" t="e">
        <f>AND(Bills!R167,"AAAAAGN+1pc=")</f>
        <v>#VALUE!</v>
      </c>
      <c r="EW65" t="e">
        <f>AND(Bills!S167,"AAAAAGN+1pg=")</f>
        <v>#VALUE!</v>
      </c>
      <c r="EX65" t="e">
        <f>AND(Bills!T167,"AAAAAGN+1pk=")</f>
        <v>#VALUE!</v>
      </c>
      <c r="EY65" t="e">
        <f>AND(Bills!#REF!,"AAAAAGN+1po=")</f>
        <v>#REF!</v>
      </c>
      <c r="EZ65" t="e">
        <f>AND(Bills!U167,"AAAAAGN+1ps=")</f>
        <v>#VALUE!</v>
      </c>
      <c r="FA65" t="e">
        <f>AND(Bills!V167,"AAAAAGN+1pw=")</f>
        <v>#VALUE!</v>
      </c>
      <c r="FB65" t="e">
        <f>AND(Bills!W167,"AAAAAGN+1p0=")</f>
        <v>#VALUE!</v>
      </c>
      <c r="FC65" t="e">
        <f>AND(Bills!#REF!,"AAAAAGN+1p4=")</f>
        <v>#REF!</v>
      </c>
      <c r="FD65" t="e">
        <f>AND(Bills!#REF!,"AAAAAGN+1p8=")</f>
        <v>#REF!</v>
      </c>
      <c r="FE65" t="e">
        <f>AND(Bills!Y167,"AAAAAGN+1qA=")</f>
        <v>#VALUE!</v>
      </c>
      <c r="FF65" t="e">
        <f>AND(Bills!Z167,"AAAAAGN+1qE=")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AND(Bills!AA167,"AAAAAGN+1qs=")</f>
        <v>#VALUE!</v>
      </c>
      <c r="FQ65" t="e">
        <f>AND(Bills!AB167,"AAAAAGN+1qw=")</f>
        <v>#VALUE!</v>
      </c>
      <c r="FR65" t="e">
        <f>AND(Bills!#REF!,"AAAAAGN+1q0=")</f>
        <v>#REF!</v>
      </c>
      <c r="FS65" t="e">
        <f>AND(Bills!#REF!,"AAAAAGN+1q4=")</f>
        <v>#REF!</v>
      </c>
      <c r="FT65" t="e">
        <f>AND(Bills!#REF!,"AAAAAGN+1q8=")</f>
        <v>#REF!</v>
      </c>
      <c r="FU65" t="e">
        <f>AND(Bills!AC167,"AAAAAGN+1rA=")</f>
        <v>#VALUE!</v>
      </c>
      <c r="FV65" t="e">
        <f>AND(Bills!AD167,"AAAAAGN+1rE=")</f>
        <v>#VALUE!</v>
      </c>
      <c r="FW65" t="e">
        <f>AND(Bills!#REF!,"AAAAAGN+1rI=")</f>
        <v>#REF!</v>
      </c>
      <c r="FX65">
        <f>IF(Bills!168:168,"AAAAAGN+1rM=",0)</f>
        <v>0</v>
      </c>
      <c r="FY65" t="e">
        <f>AND(Bills!B168,"AAAAAGN+1rQ=")</f>
        <v>#VALUE!</v>
      </c>
      <c r="FZ65" t="e">
        <f>AND(Bills!#REF!,"AAAAAGN+1rU=")</f>
        <v>#REF!</v>
      </c>
      <c r="GA65" t="e">
        <f>AND(Bills!C168,"AAAAAGN+1rY=")</f>
        <v>#VALUE!</v>
      </c>
      <c r="GB65" t="e">
        <f>AND(Bills!D168,"AAAAAGN+1rc=")</f>
        <v>#VALUE!</v>
      </c>
      <c r="GC65" t="e">
        <f>AND(Bills!E168,"AAAAAGN+1rg=")</f>
        <v>#VALUE!</v>
      </c>
      <c r="GD65" t="e">
        <f>AND(Bills!#REF!,"AAAAAGN+1rk=")</f>
        <v>#REF!</v>
      </c>
      <c r="GE65" t="e">
        <f>AND(Bills!#REF!,"AAAAAGN+1ro=")</f>
        <v>#REF!</v>
      </c>
      <c r="GF65" t="e">
        <f>AND(Bills!#REF!,"AAAAAGN+1rs=")</f>
        <v>#REF!</v>
      </c>
      <c r="GG65" t="e">
        <f>AND(Bills!F168,"AAAAAGN+1rw=")</f>
        <v>#VALUE!</v>
      </c>
      <c r="GH65" t="e">
        <f>AND(Bills!#REF!,"AAAAAGN+1r0=")</f>
        <v>#REF!</v>
      </c>
      <c r="GI65" t="e">
        <f>AND(Bills!G168,"AAAAAGN+1r4=")</f>
        <v>#VALUE!</v>
      </c>
      <c r="GJ65" t="e">
        <f>AND(Bills!H168,"AAAAAGN+1r8=")</f>
        <v>#VALUE!</v>
      </c>
      <c r="GK65" t="e">
        <f>AND(Bills!I168,"AAAAAGN+1sA=")</f>
        <v>#VALUE!</v>
      </c>
      <c r="GL65" t="e">
        <f>AND(Bills!J168,"AAAAAGN+1sE=")</f>
        <v>#VALUE!</v>
      </c>
      <c r="GM65" t="e">
        <f>AND(Bills!K168,"AAAAAGN+1sI=")</f>
        <v>#VALUE!</v>
      </c>
      <c r="GN65" t="e">
        <f>AND(Bills!L168,"AAAAAGN+1sM=")</f>
        <v>#VALUE!</v>
      </c>
      <c r="GO65" t="e">
        <f>AND(Bills!#REF!,"AAAAAGN+1sQ=")</f>
        <v>#REF!</v>
      </c>
      <c r="GP65" t="e">
        <f>AND(Bills!M168,"AAAAAGN+1sU=")</f>
        <v>#VALUE!</v>
      </c>
      <c r="GQ65" t="e">
        <f>AND(Bills!N168,"AAAAAGN+1sY=")</f>
        <v>#VALUE!</v>
      </c>
      <c r="GR65" t="e">
        <f>AND(Bills!O168,"AAAAAGN+1sc=")</f>
        <v>#VALUE!</v>
      </c>
      <c r="GS65" t="e">
        <f>AND(Bills!P168,"AAAAAGN+1sg=")</f>
        <v>#VALUE!</v>
      </c>
      <c r="GT65" t="e">
        <f>AND(Bills!Q168,"AAAAAGN+1sk=")</f>
        <v>#VALUE!</v>
      </c>
      <c r="GU65" t="e">
        <f>AND(Bills!R168,"AAAAAGN+1so=")</f>
        <v>#VALUE!</v>
      </c>
      <c r="GV65" t="e">
        <f>AND(Bills!S168,"AAAAAGN+1ss=")</f>
        <v>#VALUE!</v>
      </c>
      <c r="GW65" t="e">
        <f>AND(Bills!T168,"AAAAAGN+1sw=")</f>
        <v>#VALUE!</v>
      </c>
      <c r="GX65" t="e">
        <f>AND(Bills!#REF!,"AAAAAGN+1s0=")</f>
        <v>#REF!</v>
      </c>
      <c r="GY65" t="e">
        <f>AND(Bills!U168,"AAAAAGN+1s4=")</f>
        <v>#VALUE!</v>
      </c>
      <c r="GZ65" t="e">
        <f>AND(Bills!V168,"AAAAAGN+1s8=")</f>
        <v>#VALUE!</v>
      </c>
      <c r="HA65" t="e">
        <f>AND(Bills!W168,"AAAAAGN+1tA=")</f>
        <v>#VALUE!</v>
      </c>
      <c r="HB65" t="e">
        <f>AND(Bills!#REF!,"AAAAAGN+1tE=")</f>
        <v>#REF!</v>
      </c>
      <c r="HC65" t="e">
        <f>AND(Bills!#REF!,"AAAAAGN+1tI=")</f>
        <v>#REF!</v>
      </c>
      <c r="HD65" t="e">
        <f>AND(Bills!Y168,"AAAAAGN+1tM=")</f>
        <v>#VALUE!</v>
      </c>
      <c r="HE65" t="e">
        <f>AND(Bills!Z168,"AAAAAGN+1tQ=")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AND(Bills!AA168,"AAAAAGN+1t4=")</f>
        <v>#VALUE!</v>
      </c>
      <c r="HP65" t="e">
        <f>AND(Bills!AB168,"AAAAAGN+1t8=")</f>
        <v>#VALUE!</v>
      </c>
      <c r="HQ65" t="e">
        <f>AND(Bills!#REF!,"AAAAAGN+1uA=")</f>
        <v>#REF!</v>
      </c>
      <c r="HR65" t="e">
        <f>AND(Bills!#REF!,"AAAAAGN+1uE=")</f>
        <v>#REF!</v>
      </c>
      <c r="HS65" t="e">
        <f>AND(Bills!#REF!,"AAAAAGN+1uI=")</f>
        <v>#REF!</v>
      </c>
      <c r="HT65" t="e">
        <f>AND(Bills!AC168,"AAAAAGN+1uM=")</f>
        <v>#VALUE!</v>
      </c>
      <c r="HU65" t="e">
        <f>AND(Bills!AD168,"AAAAAGN+1uQ=")</f>
        <v>#VALUE!</v>
      </c>
      <c r="HV65" t="e">
        <f>AND(Bills!#REF!,"AAAAAGN+1uU=")</f>
        <v>#REF!</v>
      </c>
      <c r="HW65">
        <f>IF(Bills!169:169,"AAAAAGN+1uY=",0)</f>
        <v>0</v>
      </c>
      <c r="HX65" t="e">
        <f>AND(Bills!B169,"AAAAAGN+1uc=")</f>
        <v>#VALUE!</v>
      </c>
      <c r="HY65" t="e">
        <f>AND(Bills!#REF!,"AAAAAGN+1ug=")</f>
        <v>#REF!</v>
      </c>
      <c r="HZ65" t="e">
        <f>AND(Bills!C169,"AAAAAGN+1uk=")</f>
        <v>#VALUE!</v>
      </c>
      <c r="IA65" t="e">
        <f>AND(Bills!D169,"AAAAAGN+1uo=")</f>
        <v>#VALUE!</v>
      </c>
      <c r="IB65" t="e">
        <f>AND(Bills!E169,"AAAAAGN+1us=")</f>
        <v>#VALUE!</v>
      </c>
      <c r="IC65" t="e">
        <f>AND(Bills!#REF!,"AAAAAGN+1uw=")</f>
        <v>#REF!</v>
      </c>
      <c r="ID65" t="e">
        <f>AND(Bills!#REF!,"AAAAAGN+1u0=")</f>
        <v>#REF!</v>
      </c>
      <c r="IE65" t="e">
        <f>AND(Bills!#REF!,"AAAAAGN+1u4=")</f>
        <v>#REF!</v>
      </c>
      <c r="IF65" t="e">
        <f>AND(Bills!F169,"AAAAAGN+1u8=")</f>
        <v>#VALUE!</v>
      </c>
      <c r="IG65" t="e">
        <f>AND(Bills!#REF!,"AAAAAGN+1vA=")</f>
        <v>#REF!</v>
      </c>
      <c r="IH65" t="e">
        <f>AND(Bills!G169,"AAAAAGN+1vE=")</f>
        <v>#VALUE!</v>
      </c>
      <c r="II65" t="e">
        <f>AND(Bills!H169,"AAAAAGN+1vI=")</f>
        <v>#VALUE!</v>
      </c>
      <c r="IJ65" t="e">
        <f>AND(Bills!I169,"AAAAAGN+1vM=")</f>
        <v>#VALUE!</v>
      </c>
      <c r="IK65" t="e">
        <f>AND(Bills!J169,"AAAAAGN+1vQ=")</f>
        <v>#VALUE!</v>
      </c>
      <c r="IL65" t="e">
        <f>AND(Bills!K169,"AAAAAGN+1vU=")</f>
        <v>#VALUE!</v>
      </c>
      <c r="IM65" t="e">
        <f>AND(Bills!L169,"AAAAAGN+1vY=")</f>
        <v>#VALUE!</v>
      </c>
      <c r="IN65" t="e">
        <f>AND(Bills!#REF!,"AAAAAGN+1vc=")</f>
        <v>#REF!</v>
      </c>
      <c r="IO65" t="e">
        <f>AND(Bills!M169,"AAAAAGN+1vg=")</f>
        <v>#VALUE!</v>
      </c>
      <c r="IP65" t="e">
        <f>AND(Bills!N169,"AAAAAGN+1vk=")</f>
        <v>#VALUE!</v>
      </c>
      <c r="IQ65" t="e">
        <f>AND(Bills!O169,"AAAAAGN+1vo=")</f>
        <v>#VALUE!</v>
      </c>
      <c r="IR65" t="e">
        <f>AND(Bills!P169,"AAAAAGN+1vs=")</f>
        <v>#VALUE!</v>
      </c>
      <c r="IS65" t="e">
        <f>AND(Bills!Q169,"AAAAAGN+1vw=")</f>
        <v>#VALUE!</v>
      </c>
      <c r="IT65" t="e">
        <f>AND(Bills!R169,"AAAAAGN+1v0=")</f>
        <v>#VALUE!</v>
      </c>
      <c r="IU65" t="e">
        <f>AND(Bills!S169,"AAAAAGN+1v4=")</f>
        <v>#VALUE!</v>
      </c>
      <c r="IV65" t="e">
        <f>AND(Bills!T169,"AAAAAGN+1v8=")</f>
        <v>#VALUE!</v>
      </c>
    </row>
    <row r="66" spans="1:256">
      <c r="A66" t="e">
        <f>AND(Bills!#REF!,"AAAAAD3/7gA=")</f>
        <v>#REF!</v>
      </c>
      <c r="B66" t="e">
        <f>AND(Bills!U169,"AAAAAD3/7gE=")</f>
        <v>#VALUE!</v>
      </c>
      <c r="C66" t="e">
        <f>AND(Bills!V169,"AAAAAD3/7gI=")</f>
        <v>#VALUE!</v>
      </c>
      <c r="D66" t="e">
        <f>AND(Bills!W169,"AAAAAD3/7gM=")</f>
        <v>#VALUE!</v>
      </c>
      <c r="E66" t="e">
        <f>AND(Bills!#REF!,"AAAAAD3/7gQ=")</f>
        <v>#REF!</v>
      </c>
      <c r="F66" t="e">
        <f>AND(Bills!#REF!,"AAAAAD3/7gU=")</f>
        <v>#REF!</v>
      </c>
      <c r="G66" t="e">
        <f>AND(Bills!Y169,"AAAAAD3/7gY=")</f>
        <v>#VALUE!</v>
      </c>
      <c r="H66" t="e">
        <f>AND(Bills!Z169,"AAAAAD3/7gc=")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AND(Bills!AA169,"AAAAAD3/7hE=")</f>
        <v>#VALUE!</v>
      </c>
      <c r="S66" t="e">
        <f>AND(Bills!AB169,"AAAAAD3/7hI=")</f>
        <v>#VALUE!</v>
      </c>
      <c r="T66" t="e">
        <f>AND(Bills!#REF!,"AAAAAD3/7hM=")</f>
        <v>#REF!</v>
      </c>
      <c r="U66" t="e">
        <f>AND(Bills!#REF!,"AAAAAD3/7hQ=")</f>
        <v>#REF!</v>
      </c>
      <c r="V66" t="e">
        <f>AND(Bills!#REF!,"AAAAAD3/7hU=")</f>
        <v>#REF!</v>
      </c>
      <c r="W66" t="e">
        <f>AND(Bills!AC169,"AAAAAD3/7hY=")</f>
        <v>#VALUE!</v>
      </c>
      <c r="X66" t="e">
        <f>AND(Bills!AD169,"AAAAAD3/7hc=")</f>
        <v>#VALUE!</v>
      </c>
      <c r="Y66" t="e">
        <f>AND(Bills!#REF!,"AAAAAD3/7hg=")</f>
        <v>#REF!</v>
      </c>
      <c r="Z66">
        <f>IF(Bills!170:170,"AAAAAD3/7hk=",0)</f>
        <v>0</v>
      </c>
      <c r="AA66" t="e">
        <f>AND(Bills!B170,"AAAAAD3/7ho=")</f>
        <v>#VALUE!</v>
      </c>
      <c r="AB66" t="e">
        <f>AND(Bills!#REF!,"AAAAAD3/7hs=")</f>
        <v>#REF!</v>
      </c>
      <c r="AC66" t="e">
        <f>AND(Bills!C170,"AAAAAD3/7hw=")</f>
        <v>#VALUE!</v>
      </c>
      <c r="AD66" t="e">
        <f>AND(Bills!D170,"AAAAAD3/7h0=")</f>
        <v>#VALUE!</v>
      </c>
      <c r="AE66" t="e">
        <f>AND(Bills!E170,"AAAAAD3/7h4=")</f>
        <v>#VALUE!</v>
      </c>
      <c r="AF66" t="e">
        <f>AND(Bills!#REF!,"AAAAAD3/7h8=")</f>
        <v>#REF!</v>
      </c>
      <c r="AG66" t="e">
        <f>AND(Bills!#REF!,"AAAAAD3/7iA=")</f>
        <v>#REF!</v>
      </c>
      <c r="AH66" t="e">
        <f>AND(Bills!#REF!,"AAAAAD3/7iE=")</f>
        <v>#REF!</v>
      </c>
      <c r="AI66" t="e">
        <f>AND(Bills!F170,"AAAAAD3/7iI=")</f>
        <v>#VALUE!</v>
      </c>
      <c r="AJ66" t="e">
        <f>AND(Bills!#REF!,"AAAAAD3/7iM=")</f>
        <v>#REF!</v>
      </c>
      <c r="AK66" t="e">
        <f>AND(Bills!G170,"AAAAAD3/7iQ=")</f>
        <v>#VALUE!</v>
      </c>
      <c r="AL66" t="e">
        <f>AND(Bills!H170,"AAAAAD3/7iU=")</f>
        <v>#VALUE!</v>
      </c>
      <c r="AM66" t="e">
        <f>AND(Bills!I170,"AAAAAD3/7iY=")</f>
        <v>#VALUE!</v>
      </c>
      <c r="AN66" t="e">
        <f>AND(Bills!J170,"AAAAAD3/7ic=")</f>
        <v>#VALUE!</v>
      </c>
      <c r="AO66" t="e">
        <f>AND(Bills!K170,"AAAAAD3/7ig=")</f>
        <v>#VALUE!</v>
      </c>
      <c r="AP66" t="e">
        <f>AND(Bills!L170,"AAAAAD3/7ik=")</f>
        <v>#VALUE!</v>
      </c>
      <c r="AQ66" t="e">
        <f>AND(Bills!#REF!,"AAAAAD3/7io=")</f>
        <v>#REF!</v>
      </c>
      <c r="AR66" t="e">
        <f>AND(Bills!M170,"AAAAAD3/7is=")</f>
        <v>#VALUE!</v>
      </c>
      <c r="AS66" t="e">
        <f>AND(Bills!N170,"AAAAAD3/7iw=")</f>
        <v>#VALUE!</v>
      </c>
      <c r="AT66" t="e">
        <f>AND(Bills!O170,"AAAAAD3/7i0=")</f>
        <v>#VALUE!</v>
      </c>
      <c r="AU66" t="e">
        <f>AND(Bills!P170,"AAAAAD3/7i4=")</f>
        <v>#VALUE!</v>
      </c>
      <c r="AV66" t="e">
        <f>AND(Bills!Q170,"AAAAAD3/7i8=")</f>
        <v>#VALUE!</v>
      </c>
      <c r="AW66" t="e">
        <f>AND(Bills!R170,"AAAAAD3/7jA=")</f>
        <v>#VALUE!</v>
      </c>
      <c r="AX66" t="e">
        <f>AND(Bills!S170,"AAAAAD3/7jE=")</f>
        <v>#VALUE!</v>
      </c>
      <c r="AY66" t="e">
        <f>AND(Bills!T170,"AAAAAD3/7jI=")</f>
        <v>#VALUE!</v>
      </c>
      <c r="AZ66" t="e">
        <f>AND(Bills!#REF!,"AAAAAD3/7jM=")</f>
        <v>#REF!</v>
      </c>
      <c r="BA66" t="e">
        <f>AND(Bills!U170,"AAAAAD3/7jQ=")</f>
        <v>#VALUE!</v>
      </c>
      <c r="BB66" t="e">
        <f>AND(Bills!V170,"AAAAAD3/7jU=")</f>
        <v>#VALUE!</v>
      </c>
      <c r="BC66" t="e">
        <f>AND(Bills!W170,"AAAAAD3/7jY=")</f>
        <v>#VALUE!</v>
      </c>
      <c r="BD66" t="e">
        <f>AND(Bills!#REF!,"AAAAAD3/7jc=")</f>
        <v>#REF!</v>
      </c>
      <c r="BE66" t="e">
        <f>AND(Bills!#REF!,"AAAAAD3/7jg=")</f>
        <v>#REF!</v>
      </c>
      <c r="BF66" t="e">
        <f>AND(Bills!Y170,"AAAAAD3/7jk=")</f>
        <v>#VALUE!</v>
      </c>
      <c r="BG66" t="e">
        <f>AND(Bills!Z170,"AAAAAD3/7jo=")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AND(Bills!AA170,"AAAAAD3/7kQ=")</f>
        <v>#VALUE!</v>
      </c>
      <c r="BR66" t="e">
        <f>AND(Bills!AB170,"AAAAAD3/7kU=")</f>
        <v>#VALUE!</v>
      </c>
      <c r="BS66" t="e">
        <f>AND(Bills!#REF!,"AAAAAD3/7kY=")</f>
        <v>#REF!</v>
      </c>
      <c r="BT66" t="e">
        <f>AND(Bills!#REF!,"AAAAAD3/7kc=")</f>
        <v>#REF!</v>
      </c>
      <c r="BU66" t="e">
        <f>AND(Bills!#REF!,"AAAAAD3/7kg=")</f>
        <v>#REF!</v>
      </c>
      <c r="BV66" t="e">
        <f>AND(Bills!AC170,"AAAAAD3/7kk=")</f>
        <v>#VALUE!</v>
      </c>
      <c r="BW66" t="e">
        <f>AND(Bills!AD170,"AAAAAD3/7ko=")</f>
        <v>#VALUE!</v>
      </c>
      <c r="BX66" t="e">
        <f>AND(Bills!#REF!,"AAAAAD3/7ks=")</f>
        <v>#REF!</v>
      </c>
      <c r="BY66">
        <f>IF(Bills!171:171,"AAAAAD3/7kw=",0)</f>
        <v>0</v>
      </c>
      <c r="BZ66" t="e">
        <f>AND(Bills!B171,"AAAAAD3/7k0=")</f>
        <v>#VALUE!</v>
      </c>
      <c r="CA66" t="e">
        <f>AND(Bills!#REF!,"AAAAAD3/7k4=")</f>
        <v>#REF!</v>
      </c>
      <c r="CB66" t="e">
        <f>AND(Bills!C171,"AAAAAD3/7k8=")</f>
        <v>#VALUE!</v>
      </c>
      <c r="CC66" t="e">
        <f>AND(Bills!D171,"AAAAAD3/7lA=")</f>
        <v>#VALUE!</v>
      </c>
      <c r="CD66" t="e">
        <f>AND(Bills!E171,"AAAAAD3/7lE=")</f>
        <v>#VALUE!</v>
      </c>
      <c r="CE66" t="e">
        <f>AND(Bills!#REF!,"AAAAAD3/7lI=")</f>
        <v>#REF!</v>
      </c>
      <c r="CF66" t="e">
        <f>AND(Bills!#REF!,"AAAAAD3/7lM=")</f>
        <v>#REF!</v>
      </c>
      <c r="CG66" t="e">
        <f>AND(Bills!#REF!,"AAAAAD3/7lQ=")</f>
        <v>#REF!</v>
      </c>
      <c r="CH66" t="e">
        <f>AND(Bills!F171,"AAAAAD3/7lU=")</f>
        <v>#VALUE!</v>
      </c>
      <c r="CI66" t="e">
        <f>AND(Bills!#REF!,"AAAAAD3/7lY=")</f>
        <v>#REF!</v>
      </c>
      <c r="CJ66" t="e">
        <f>AND(Bills!G171,"AAAAAD3/7lc=")</f>
        <v>#VALUE!</v>
      </c>
      <c r="CK66" t="e">
        <f>AND(Bills!H171,"AAAAAD3/7lg=")</f>
        <v>#VALUE!</v>
      </c>
      <c r="CL66" t="e">
        <f>AND(Bills!I171,"AAAAAD3/7lk=")</f>
        <v>#VALUE!</v>
      </c>
      <c r="CM66" t="e">
        <f>AND(Bills!J171,"AAAAAD3/7lo=")</f>
        <v>#VALUE!</v>
      </c>
      <c r="CN66" t="e">
        <f>AND(Bills!K171,"AAAAAD3/7ls=")</f>
        <v>#VALUE!</v>
      </c>
      <c r="CO66" t="e">
        <f>AND(Bills!L171,"AAAAAD3/7lw=")</f>
        <v>#VALUE!</v>
      </c>
      <c r="CP66" t="e">
        <f>AND(Bills!#REF!,"AAAAAD3/7l0=")</f>
        <v>#REF!</v>
      </c>
      <c r="CQ66" t="e">
        <f>AND(Bills!M171,"AAAAAD3/7l4=")</f>
        <v>#VALUE!</v>
      </c>
      <c r="CR66" t="e">
        <f>AND(Bills!N171,"AAAAAD3/7l8=")</f>
        <v>#VALUE!</v>
      </c>
      <c r="CS66" t="e">
        <f>AND(Bills!O171,"AAAAAD3/7mA=")</f>
        <v>#VALUE!</v>
      </c>
      <c r="CT66" t="e">
        <f>AND(Bills!P171,"AAAAAD3/7mE=")</f>
        <v>#VALUE!</v>
      </c>
      <c r="CU66" t="e">
        <f>AND(Bills!Q171,"AAAAAD3/7mI=")</f>
        <v>#VALUE!</v>
      </c>
      <c r="CV66" t="e">
        <f>AND(Bills!R171,"AAAAAD3/7mM=")</f>
        <v>#VALUE!</v>
      </c>
      <c r="CW66" t="e">
        <f>AND(Bills!S171,"AAAAAD3/7mQ=")</f>
        <v>#VALUE!</v>
      </c>
      <c r="CX66" t="e">
        <f>AND(Bills!T171,"AAAAAD3/7mU=")</f>
        <v>#VALUE!</v>
      </c>
      <c r="CY66" t="e">
        <f>AND(Bills!#REF!,"AAAAAD3/7mY=")</f>
        <v>#REF!</v>
      </c>
      <c r="CZ66" t="e">
        <f>AND(Bills!U171,"AAAAAD3/7mc=")</f>
        <v>#VALUE!</v>
      </c>
      <c r="DA66" t="e">
        <f>AND(Bills!V171,"AAAAAD3/7mg=")</f>
        <v>#VALUE!</v>
      </c>
      <c r="DB66" t="e">
        <f>AND(Bills!W171,"AAAAAD3/7mk=")</f>
        <v>#VALUE!</v>
      </c>
      <c r="DC66" t="e">
        <f>AND(Bills!#REF!,"AAAAAD3/7mo=")</f>
        <v>#REF!</v>
      </c>
      <c r="DD66" t="e">
        <f>AND(Bills!#REF!,"AAAAAD3/7ms=")</f>
        <v>#REF!</v>
      </c>
      <c r="DE66" t="e">
        <f>AND(Bills!Y171,"AAAAAD3/7mw=")</f>
        <v>#VALUE!</v>
      </c>
      <c r="DF66" t="e">
        <f>AND(Bills!Z171,"AAAAAD3/7m0=")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AND(Bills!AA171,"AAAAAD3/7nc=")</f>
        <v>#VALUE!</v>
      </c>
      <c r="DQ66" t="e">
        <f>AND(Bills!AB171,"AAAAAD3/7ng=")</f>
        <v>#VALUE!</v>
      </c>
      <c r="DR66" t="e">
        <f>AND(Bills!#REF!,"AAAAAD3/7nk=")</f>
        <v>#REF!</v>
      </c>
      <c r="DS66" t="e">
        <f>AND(Bills!#REF!,"AAAAAD3/7no=")</f>
        <v>#REF!</v>
      </c>
      <c r="DT66" t="e">
        <f>AND(Bills!#REF!,"AAAAAD3/7ns=")</f>
        <v>#REF!</v>
      </c>
      <c r="DU66" t="e">
        <f>AND(Bills!AC171,"AAAAAD3/7nw=")</f>
        <v>#VALUE!</v>
      </c>
      <c r="DV66" t="e">
        <f>AND(Bills!AD171,"AAAAAD3/7n0=")</f>
        <v>#VALUE!</v>
      </c>
      <c r="DW66" t="e">
        <f>AND(Bills!#REF!,"AAAAAD3/7n4=")</f>
        <v>#REF!</v>
      </c>
      <c r="DX66">
        <f>IF(Bills!172:172,"AAAAAD3/7n8=",0)</f>
        <v>0</v>
      </c>
      <c r="DY66" t="e">
        <f>AND(Bills!B172,"AAAAAD3/7oA=")</f>
        <v>#VALUE!</v>
      </c>
      <c r="DZ66" t="e">
        <f>AND(Bills!#REF!,"AAAAAD3/7oE=")</f>
        <v>#REF!</v>
      </c>
      <c r="EA66" t="e">
        <f>AND(Bills!C172,"AAAAAD3/7oI=")</f>
        <v>#VALUE!</v>
      </c>
      <c r="EB66" t="e">
        <f>AND(Bills!D172,"AAAAAD3/7oM=")</f>
        <v>#VALUE!</v>
      </c>
      <c r="EC66" t="e">
        <f>AND(Bills!E172,"AAAAAD3/7oQ=")</f>
        <v>#VALUE!</v>
      </c>
      <c r="ED66" t="e">
        <f>AND(Bills!#REF!,"AAAAAD3/7oU=")</f>
        <v>#REF!</v>
      </c>
      <c r="EE66" t="e">
        <f>AND(Bills!#REF!,"AAAAAD3/7oY=")</f>
        <v>#REF!</v>
      </c>
      <c r="EF66" t="e">
        <f>AND(Bills!#REF!,"AAAAAD3/7oc=")</f>
        <v>#REF!</v>
      </c>
      <c r="EG66" t="e">
        <f>AND(Bills!F172,"AAAAAD3/7og=")</f>
        <v>#VALUE!</v>
      </c>
      <c r="EH66" t="e">
        <f>AND(Bills!#REF!,"AAAAAD3/7ok=")</f>
        <v>#REF!</v>
      </c>
      <c r="EI66" t="e">
        <f>AND(Bills!G172,"AAAAAD3/7oo=")</f>
        <v>#VALUE!</v>
      </c>
      <c r="EJ66" t="e">
        <f>AND(Bills!H172,"AAAAAD3/7os=")</f>
        <v>#VALUE!</v>
      </c>
      <c r="EK66" t="e">
        <f>AND(Bills!I172,"AAAAAD3/7ow=")</f>
        <v>#VALUE!</v>
      </c>
      <c r="EL66" t="e">
        <f>AND(Bills!J172,"AAAAAD3/7o0=")</f>
        <v>#VALUE!</v>
      </c>
      <c r="EM66" t="e">
        <f>AND(Bills!K172,"AAAAAD3/7o4=")</f>
        <v>#VALUE!</v>
      </c>
      <c r="EN66" t="e">
        <f>AND(Bills!L172,"AAAAAD3/7o8=")</f>
        <v>#VALUE!</v>
      </c>
      <c r="EO66" t="e">
        <f>AND(Bills!#REF!,"AAAAAD3/7pA=")</f>
        <v>#REF!</v>
      </c>
      <c r="EP66" t="e">
        <f>AND(Bills!M172,"AAAAAD3/7pE=")</f>
        <v>#VALUE!</v>
      </c>
      <c r="EQ66" t="e">
        <f>AND(Bills!N172,"AAAAAD3/7pI=")</f>
        <v>#VALUE!</v>
      </c>
      <c r="ER66" t="e">
        <f>AND(Bills!O172,"AAAAAD3/7pM=")</f>
        <v>#VALUE!</v>
      </c>
      <c r="ES66" t="e">
        <f>AND(Bills!P172,"AAAAAD3/7pQ=")</f>
        <v>#VALUE!</v>
      </c>
      <c r="ET66" t="e">
        <f>AND(Bills!Q172,"AAAAAD3/7pU=")</f>
        <v>#VALUE!</v>
      </c>
      <c r="EU66" t="e">
        <f>AND(Bills!R172,"AAAAAD3/7pY=")</f>
        <v>#VALUE!</v>
      </c>
      <c r="EV66" t="e">
        <f>AND(Bills!S172,"AAAAAD3/7pc=")</f>
        <v>#VALUE!</v>
      </c>
      <c r="EW66" t="e">
        <f>AND(Bills!T172,"AAAAAD3/7pg=")</f>
        <v>#VALUE!</v>
      </c>
      <c r="EX66" t="e">
        <f>AND(Bills!#REF!,"AAAAAD3/7pk=")</f>
        <v>#REF!</v>
      </c>
      <c r="EY66" t="e">
        <f>AND(Bills!U172,"AAAAAD3/7po=")</f>
        <v>#VALUE!</v>
      </c>
      <c r="EZ66" t="e">
        <f>AND(Bills!V172,"AAAAAD3/7ps=")</f>
        <v>#VALUE!</v>
      </c>
      <c r="FA66" t="e">
        <f>AND(Bills!W172,"AAAAAD3/7pw=")</f>
        <v>#VALUE!</v>
      </c>
      <c r="FB66" t="e">
        <f>AND(Bills!#REF!,"AAAAAD3/7p0=")</f>
        <v>#REF!</v>
      </c>
      <c r="FC66" t="e">
        <f>AND(Bills!#REF!,"AAAAAD3/7p4=")</f>
        <v>#REF!</v>
      </c>
      <c r="FD66" t="e">
        <f>AND(Bills!Y172,"AAAAAD3/7p8=")</f>
        <v>#VALUE!</v>
      </c>
      <c r="FE66" t="e">
        <f>AND(Bills!Z172,"AAAAAD3/7qA=")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AND(Bills!AA172,"AAAAAD3/7qo=")</f>
        <v>#VALUE!</v>
      </c>
      <c r="FP66" t="e">
        <f>AND(Bills!AB172,"AAAAAD3/7qs=")</f>
        <v>#VALUE!</v>
      </c>
      <c r="FQ66" t="e">
        <f>AND(Bills!#REF!,"AAAAAD3/7qw=")</f>
        <v>#REF!</v>
      </c>
      <c r="FR66" t="e">
        <f>AND(Bills!#REF!,"AAAAAD3/7q0=")</f>
        <v>#REF!</v>
      </c>
      <c r="FS66" t="e">
        <f>AND(Bills!#REF!,"AAAAAD3/7q4=")</f>
        <v>#REF!</v>
      </c>
      <c r="FT66" t="e">
        <f>AND(Bills!AC172,"AAAAAD3/7q8=")</f>
        <v>#VALUE!</v>
      </c>
      <c r="FU66" t="e">
        <f>AND(Bills!AD172,"AAAAAD3/7rA=")</f>
        <v>#VALUE!</v>
      </c>
      <c r="FV66" t="e">
        <f>AND(Bills!#REF!,"AAAAAD3/7rE=")</f>
        <v>#REF!</v>
      </c>
      <c r="FW66">
        <f>IF(Bills!173:173,"AAAAAD3/7rI=",0)</f>
        <v>0</v>
      </c>
      <c r="FX66" t="e">
        <f>AND(Bills!B173,"AAAAAD3/7rM=")</f>
        <v>#VALUE!</v>
      </c>
      <c r="FY66" t="e">
        <f>AND(Bills!#REF!,"AAAAAD3/7rQ=")</f>
        <v>#REF!</v>
      </c>
      <c r="FZ66" t="e">
        <f>AND(Bills!C173,"AAAAAD3/7rU=")</f>
        <v>#VALUE!</v>
      </c>
      <c r="GA66" t="e">
        <f>AND(Bills!D173,"AAAAAD3/7rY=")</f>
        <v>#VALUE!</v>
      </c>
      <c r="GB66" t="e">
        <f>AND(Bills!E173,"AAAAAD3/7rc=")</f>
        <v>#VALUE!</v>
      </c>
      <c r="GC66" t="e">
        <f>AND(Bills!#REF!,"AAAAAD3/7rg=")</f>
        <v>#REF!</v>
      </c>
      <c r="GD66" t="e">
        <f>AND(Bills!#REF!,"AAAAAD3/7rk=")</f>
        <v>#REF!</v>
      </c>
      <c r="GE66" t="e">
        <f>AND(Bills!#REF!,"AAAAAD3/7ro=")</f>
        <v>#REF!</v>
      </c>
      <c r="GF66" t="e">
        <f>AND(Bills!F173,"AAAAAD3/7rs=")</f>
        <v>#VALUE!</v>
      </c>
      <c r="GG66" t="e">
        <f>AND(Bills!#REF!,"AAAAAD3/7rw=")</f>
        <v>#REF!</v>
      </c>
      <c r="GH66" t="e">
        <f>AND(Bills!G173,"AAAAAD3/7r0=")</f>
        <v>#VALUE!</v>
      </c>
      <c r="GI66" t="e">
        <f>AND(Bills!H173,"AAAAAD3/7r4=")</f>
        <v>#VALUE!</v>
      </c>
      <c r="GJ66" t="e">
        <f>AND(Bills!I173,"AAAAAD3/7r8=")</f>
        <v>#VALUE!</v>
      </c>
      <c r="GK66" t="e">
        <f>AND(Bills!J173,"AAAAAD3/7sA=")</f>
        <v>#VALUE!</v>
      </c>
      <c r="GL66" t="e">
        <f>AND(Bills!K173,"AAAAAD3/7sE=")</f>
        <v>#VALUE!</v>
      </c>
      <c r="GM66" t="e">
        <f>AND(Bills!L173,"AAAAAD3/7sI=")</f>
        <v>#VALUE!</v>
      </c>
      <c r="GN66" t="e">
        <f>AND(Bills!#REF!,"AAAAAD3/7sM=")</f>
        <v>#REF!</v>
      </c>
      <c r="GO66" t="e">
        <f>AND(Bills!M173,"AAAAAD3/7sQ=")</f>
        <v>#VALUE!</v>
      </c>
      <c r="GP66" t="e">
        <f>AND(Bills!N173,"AAAAAD3/7sU=")</f>
        <v>#VALUE!</v>
      </c>
      <c r="GQ66" t="e">
        <f>AND(Bills!O173,"AAAAAD3/7sY=")</f>
        <v>#VALUE!</v>
      </c>
      <c r="GR66" t="e">
        <f>AND(Bills!P173,"AAAAAD3/7sc=")</f>
        <v>#VALUE!</v>
      </c>
      <c r="GS66" t="e">
        <f>AND(Bills!Q173,"AAAAAD3/7sg=")</f>
        <v>#VALUE!</v>
      </c>
      <c r="GT66" t="e">
        <f>AND(Bills!R173,"AAAAAD3/7sk=")</f>
        <v>#VALUE!</v>
      </c>
      <c r="GU66" t="e">
        <f>AND(Bills!S173,"AAAAAD3/7so=")</f>
        <v>#VALUE!</v>
      </c>
      <c r="GV66" t="e">
        <f>AND(Bills!T173,"AAAAAD3/7ss=")</f>
        <v>#VALUE!</v>
      </c>
      <c r="GW66" t="e">
        <f>AND(Bills!#REF!,"AAAAAD3/7sw=")</f>
        <v>#REF!</v>
      </c>
      <c r="GX66" t="e">
        <f>AND(Bills!U173,"AAAAAD3/7s0=")</f>
        <v>#VALUE!</v>
      </c>
      <c r="GY66" t="e">
        <f>AND(Bills!V173,"AAAAAD3/7s4=")</f>
        <v>#VALUE!</v>
      </c>
      <c r="GZ66" t="e">
        <f>AND(Bills!W173,"AAAAAD3/7s8=")</f>
        <v>#VALUE!</v>
      </c>
      <c r="HA66" t="e">
        <f>AND(Bills!#REF!,"AAAAAD3/7tA=")</f>
        <v>#REF!</v>
      </c>
      <c r="HB66" t="e">
        <f>AND(Bills!#REF!,"AAAAAD3/7tE=")</f>
        <v>#REF!</v>
      </c>
      <c r="HC66" t="e">
        <f>AND(Bills!Y173,"AAAAAD3/7tI=")</f>
        <v>#VALUE!</v>
      </c>
      <c r="HD66" t="e">
        <f>AND(Bills!Z173,"AAAAAD3/7tM=")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AND(Bills!AA173,"AAAAAD3/7t0=")</f>
        <v>#VALUE!</v>
      </c>
      <c r="HO66" t="e">
        <f>AND(Bills!AB173,"AAAAAD3/7t4=")</f>
        <v>#VALUE!</v>
      </c>
      <c r="HP66" t="e">
        <f>AND(Bills!#REF!,"AAAAAD3/7t8=")</f>
        <v>#REF!</v>
      </c>
      <c r="HQ66" t="e">
        <f>AND(Bills!#REF!,"AAAAAD3/7uA=")</f>
        <v>#REF!</v>
      </c>
      <c r="HR66" t="e">
        <f>AND(Bills!#REF!,"AAAAAD3/7uE=")</f>
        <v>#REF!</v>
      </c>
      <c r="HS66" t="e">
        <f>AND(Bills!AC173,"AAAAAD3/7uI=")</f>
        <v>#VALUE!</v>
      </c>
      <c r="HT66" t="e">
        <f>AND(Bills!AD173,"AAAAAD3/7uM=")</f>
        <v>#VALUE!</v>
      </c>
      <c r="HU66" t="e">
        <f>AND(Bills!#REF!,"AAAAAD3/7uQ=")</f>
        <v>#REF!</v>
      </c>
      <c r="HV66">
        <f>IF(Bills!174:174,"AAAAAD3/7uU=",0)</f>
        <v>0</v>
      </c>
      <c r="HW66" t="e">
        <f>AND(Bills!B174,"AAAAAD3/7uY=")</f>
        <v>#VALUE!</v>
      </c>
      <c r="HX66" t="e">
        <f>AND(Bills!#REF!,"AAAAAD3/7uc=")</f>
        <v>#REF!</v>
      </c>
      <c r="HY66" t="e">
        <f>AND(Bills!C174,"AAAAAD3/7ug=")</f>
        <v>#VALUE!</v>
      </c>
      <c r="HZ66" t="e">
        <f>AND(Bills!D174,"AAAAAD3/7uk=")</f>
        <v>#VALUE!</v>
      </c>
      <c r="IA66" t="e">
        <f>AND(Bills!E174,"AAAAAD3/7uo=")</f>
        <v>#VALUE!</v>
      </c>
      <c r="IB66" t="e">
        <f>AND(Bills!#REF!,"AAAAAD3/7us=")</f>
        <v>#REF!</v>
      </c>
      <c r="IC66" t="e">
        <f>AND(Bills!#REF!,"AAAAAD3/7uw=")</f>
        <v>#REF!</v>
      </c>
      <c r="ID66" t="e">
        <f>AND(Bills!#REF!,"AAAAAD3/7u0=")</f>
        <v>#REF!</v>
      </c>
      <c r="IE66" t="e">
        <f>AND(Bills!F174,"AAAAAD3/7u4=")</f>
        <v>#VALUE!</v>
      </c>
      <c r="IF66" t="e">
        <f>AND(Bills!#REF!,"AAAAAD3/7u8=")</f>
        <v>#REF!</v>
      </c>
      <c r="IG66" t="e">
        <f>AND(Bills!G174,"AAAAAD3/7vA=")</f>
        <v>#VALUE!</v>
      </c>
      <c r="IH66" t="e">
        <f>AND(Bills!H174,"AAAAAD3/7vE=")</f>
        <v>#VALUE!</v>
      </c>
      <c r="II66" t="e">
        <f>AND(Bills!I174,"AAAAAD3/7vI=")</f>
        <v>#VALUE!</v>
      </c>
      <c r="IJ66" t="e">
        <f>AND(Bills!J174,"AAAAAD3/7vM=")</f>
        <v>#VALUE!</v>
      </c>
      <c r="IK66" t="e">
        <f>AND(Bills!K174,"AAAAAD3/7vQ=")</f>
        <v>#VALUE!</v>
      </c>
      <c r="IL66" t="e">
        <f>AND(Bills!L174,"AAAAAD3/7vU=")</f>
        <v>#VALUE!</v>
      </c>
      <c r="IM66" t="e">
        <f>AND(Bills!#REF!,"AAAAAD3/7vY=")</f>
        <v>#REF!</v>
      </c>
      <c r="IN66" t="e">
        <f>AND(Bills!M174,"AAAAAD3/7vc=")</f>
        <v>#VALUE!</v>
      </c>
      <c r="IO66" t="e">
        <f>AND(Bills!N174,"AAAAAD3/7vg=")</f>
        <v>#VALUE!</v>
      </c>
      <c r="IP66" t="e">
        <f>AND(Bills!O174,"AAAAAD3/7vk=")</f>
        <v>#VALUE!</v>
      </c>
      <c r="IQ66" t="e">
        <f>AND(Bills!P174,"AAAAAD3/7vo=")</f>
        <v>#VALUE!</v>
      </c>
      <c r="IR66" t="e">
        <f>AND(Bills!Q174,"AAAAAD3/7vs=")</f>
        <v>#VALUE!</v>
      </c>
      <c r="IS66" t="e">
        <f>AND(Bills!R174,"AAAAAD3/7vw=")</f>
        <v>#VALUE!</v>
      </c>
      <c r="IT66" t="e">
        <f>AND(Bills!S174,"AAAAAD3/7v0=")</f>
        <v>#VALUE!</v>
      </c>
      <c r="IU66" t="e">
        <f>AND(Bills!T174,"AAAAAD3/7v4=")</f>
        <v>#VALUE!</v>
      </c>
      <c r="IV66" t="e">
        <f>AND(Bills!#REF!,"AAAAAD3/7v8=")</f>
        <v>#REF!</v>
      </c>
    </row>
    <row r="67" spans="1:256">
      <c r="A67" t="e">
        <f>AND(Bills!U174,"AAAAADu/TwA=")</f>
        <v>#VALUE!</v>
      </c>
      <c r="B67" t="e">
        <f>AND(Bills!V174,"AAAAADu/TwE=")</f>
        <v>#VALUE!</v>
      </c>
      <c r="C67" t="e">
        <f>AND(Bills!W174,"AAAAADu/TwI=")</f>
        <v>#VALUE!</v>
      </c>
      <c r="D67" t="e">
        <f>AND(Bills!#REF!,"AAAAADu/TwM=")</f>
        <v>#REF!</v>
      </c>
      <c r="E67" t="e">
        <f>AND(Bills!#REF!,"AAAAADu/TwQ=")</f>
        <v>#REF!</v>
      </c>
      <c r="F67" t="e">
        <f>AND(Bills!Y174,"AAAAADu/TwU=")</f>
        <v>#VALUE!</v>
      </c>
      <c r="G67" t="e">
        <f>AND(Bills!Z174,"AAAAADu/TwY=")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AND(Bills!AA174,"AAAAADu/TxA=")</f>
        <v>#VALUE!</v>
      </c>
      <c r="R67" t="e">
        <f>AND(Bills!AB174,"AAAAADu/TxE=")</f>
        <v>#VALUE!</v>
      </c>
      <c r="S67" t="e">
        <f>AND(Bills!#REF!,"AAAAADu/TxI=")</f>
        <v>#REF!</v>
      </c>
      <c r="T67" t="e">
        <f>AND(Bills!#REF!,"AAAAADu/TxM=")</f>
        <v>#REF!</v>
      </c>
      <c r="U67" t="e">
        <f>AND(Bills!#REF!,"AAAAADu/TxQ=")</f>
        <v>#REF!</v>
      </c>
      <c r="V67" t="e">
        <f>AND(Bills!AC174,"AAAAADu/TxU=")</f>
        <v>#VALUE!</v>
      </c>
      <c r="W67" t="e">
        <f>AND(Bills!AD174,"AAAAADu/TxY=")</f>
        <v>#VALUE!</v>
      </c>
      <c r="X67" t="e">
        <f>AND(Bills!#REF!,"AAAAADu/Txc=")</f>
        <v>#REF!</v>
      </c>
      <c r="Y67">
        <f>IF(Bills!175:175,"AAAAADu/Txg=",0)</f>
        <v>0</v>
      </c>
      <c r="Z67" t="e">
        <f>AND(Bills!B175,"AAAAADu/Txk=")</f>
        <v>#VALUE!</v>
      </c>
      <c r="AA67" t="e">
        <f>AND(Bills!#REF!,"AAAAADu/Txo=")</f>
        <v>#REF!</v>
      </c>
      <c r="AB67" t="e">
        <f>AND(Bills!C175,"AAAAADu/Txs=")</f>
        <v>#VALUE!</v>
      </c>
      <c r="AC67" t="e">
        <f>AND(Bills!D175,"AAAAADu/Txw=")</f>
        <v>#VALUE!</v>
      </c>
      <c r="AD67" t="e">
        <f>AND(Bills!E175,"AAAAADu/Tx0=")</f>
        <v>#VALUE!</v>
      </c>
      <c r="AE67" t="e">
        <f>AND(Bills!#REF!,"AAAAADu/Tx4=")</f>
        <v>#REF!</v>
      </c>
      <c r="AF67" t="e">
        <f>AND(Bills!#REF!,"AAAAADu/Tx8=")</f>
        <v>#REF!</v>
      </c>
      <c r="AG67" t="e">
        <f>AND(Bills!#REF!,"AAAAADu/TyA=")</f>
        <v>#REF!</v>
      </c>
      <c r="AH67" t="e">
        <f>AND(Bills!F175,"AAAAADu/TyE=")</f>
        <v>#VALUE!</v>
      </c>
      <c r="AI67" t="e">
        <f>AND(Bills!#REF!,"AAAAADu/TyI=")</f>
        <v>#REF!</v>
      </c>
      <c r="AJ67" t="e">
        <f>AND(Bills!G175,"AAAAADu/TyM=")</f>
        <v>#VALUE!</v>
      </c>
      <c r="AK67" t="e">
        <f>AND(Bills!H175,"AAAAADu/TyQ=")</f>
        <v>#VALUE!</v>
      </c>
      <c r="AL67" t="e">
        <f>AND(Bills!I175,"AAAAADu/TyU=")</f>
        <v>#VALUE!</v>
      </c>
      <c r="AM67" t="e">
        <f>AND(Bills!J175,"AAAAADu/TyY=")</f>
        <v>#VALUE!</v>
      </c>
      <c r="AN67" t="e">
        <f>AND(Bills!K175,"AAAAADu/Tyc=")</f>
        <v>#VALUE!</v>
      </c>
      <c r="AO67" t="e">
        <f>AND(Bills!L175,"AAAAADu/Tyg=")</f>
        <v>#VALUE!</v>
      </c>
      <c r="AP67" t="e">
        <f>AND(Bills!#REF!,"AAAAADu/Tyk=")</f>
        <v>#REF!</v>
      </c>
      <c r="AQ67" t="e">
        <f>AND(Bills!M175,"AAAAADu/Tyo=")</f>
        <v>#VALUE!</v>
      </c>
      <c r="AR67" t="e">
        <f>AND(Bills!N175,"AAAAADu/Tys=")</f>
        <v>#VALUE!</v>
      </c>
      <c r="AS67" t="e">
        <f>AND(Bills!O175,"AAAAADu/Tyw=")</f>
        <v>#VALUE!</v>
      </c>
      <c r="AT67" t="e">
        <f>AND(Bills!P175,"AAAAADu/Ty0=")</f>
        <v>#VALUE!</v>
      </c>
      <c r="AU67" t="e">
        <f>AND(Bills!Q175,"AAAAADu/Ty4=")</f>
        <v>#VALUE!</v>
      </c>
      <c r="AV67" t="e">
        <f>AND(Bills!R175,"AAAAADu/Ty8=")</f>
        <v>#VALUE!</v>
      </c>
      <c r="AW67" t="e">
        <f>AND(Bills!S175,"AAAAADu/TzA=")</f>
        <v>#VALUE!</v>
      </c>
      <c r="AX67" t="e">
        <f>AND(Bills!T175,"AAAAADu/TzE=")</f>
        <v>#VALUE!</v>
      </c>
      <c r="AY67" t="e">
        <f>AND(Bills!#REF!,"AAAAADu/TzI=")</f>
        <v>#REF!</v>
      </c>
      <c r="AZ67" t="e">
        <f>AND(Bills!U175,"AAAAADu/TzM=")</f>
        <v>#VALUE!</v>
      </c>
      <c r="BA67" t="e">
        <f>AND(Bills!V175,"AAAAADu/TzQ=")</f>
        <v>#VALUE!</v>
      </c>
      <c r="BB67" t="e">
        <f>AND(Bills!W175,"AAAAADu/TzU=")</f>
        <v>#VALUE!</v>
      </c>
      <c r="BC67" t="e">
        <f>AND(Bills!#REF!,"AAAAADu/TzY=")</f>
        <v>#REF!</v>
      </c>
      <c r="BD67" t="e">
        <f>AND(Bills!#REF!,"AAAAADu/Tzc=")</f>
        <v>#REF!</v>
      </c>
      <c r="BE67" t="e">
        <f>AND(Bills!Y175,"AAAAADu/Tzg=")</f>
        <v>#VALUE!</v>
      </c>
      <c r="BF67" t="e">
        <f>AND(Bills!Z175,"AAAAADu/Tzk=")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AND(Bills!AA175,"AAAAADu/T0M=")</f>
        <v>#VALUE!</v>
      </c>
      <c r="BQ67" t="e">
        <f>AND(Bills!AB175,"AAAAADu/T0Q=")</f>
        <v>#VALUE!</v>
      </c>
      <c r="BR67" t="e">
        <f>AND(Bills!#REF!,"AAAAADu/T0U=")</f>
        <v>#REF!</v>
      </c>
      <c r="BS67" t="e">
        <f>AND(Bills!#REF!,"AAAAADu/T0Y=")</f>
        <v>#REF!</v>
      </c>
      <c r="BT67" t="e">
        <f>AND(Bills!#REF!,"AAAAADu/T0c=")</f>
        <v>#REF!</v>
      </c>
      <c r="BU67" t="e">
        <f>AND(Bills!AC175,"AAAAADu/T0g=")</f>
        <v>#VALUE!</v>
      </c>
      <c r="BV67" t="e">
        <f>AND(Bills!AD175,"AAAAADu/T0k=")</f>
        <v>#VALUE!</v>
      </c>
      <c r="BW67" t="e">
        <f>AND(Bills!#REF!,"AAAAADu/T0o=")</f>
        <v>#REF!</v>
      </c>
      <c r="BX67">
        <f>IF(Bills!176:176,"AAAAADu/T0s=",0)</f>
        <v>0</v>
      </c>
      <c r="BY67" t="e">
        <f>AND(Bills!B176,"AAAAADu/T0w=")</f>
        <v>#VALUE!</v>
      </c>
      <c r="BZ67" t="e">
        <f>AND(Bills!#REF!,"AAAAADu/T00=")</f>
        <v>#REF!</v>
      </c>
      <c r="CA67" t="e">
        <f>AND(Bills!C176,"AAAAADu/T04=")</f>
        <v>#VALUE!</v>
      </c>
      <c r="CB67" t="e">
        <f>AND(Bills!D176,"AAAAADu/T08=")</f>
        <v>#VALUE!</v>
      </c>
      <c r="CC67" t="e">
        <f>AND(Bills!E176,"AAAAADu/T1A=")</f>
        <v>#VALUE!</v>
      </c>
      <c r="CD67" t="e">
        <f>AND(Bills!#REF!,"AAAAADu/T1E=")</f>
        <v>#REF!</v>
      </c>
      <c r="CE67" t="e">
        <f>AND(Bills!#REF!,"AAAAADu/T1I=")</f>
        <v>#REF!</v>
      </c>
      <c r="CF67" t="e">
        <f>AND(Bills!#REF!,"AAAAADu/T1M=")</f>
        <v>#REF!</v>
      </c>
      <c r="CG67" t="e">
        <f>AND(Bills!F176,"AAAAADu/T1Q=")</f>
        <v>#VALUE!</v>
      </c>
      <c r="CH67" t="e">
        <f>AND(Bills!#REF!,"AAAAADu/T1U=")</f>
        <v>#REF!</v>
      </c>
      <c r="CI67" t="e">
        <f>AND(Bills!G176,"AAAAADu/T1Y=")</f>
        <v>#VALUE!</v>
      </c>
      <c r="CJ67" t="e">
        <f>AND(Bills!H176,"AAAAADu/T1c=")</f>
        <v>#VALUE!</v>
      </c>
      <c r="CK67" t="e">
        <f>AND(Bills!I176,"AAAAADu/T1g=")</f>
        <v>#VALUE!</v>
      </c>
      <c r="CL67" t="e">
        <f>AND(Bills!J176,"AAAAADu/T1k=")</f>
        <v>#VALUE!</v>
      </c>
      <c r="CM67" t="e">
        <f>AND(Bills!K176,"AAAAADu/T1o=")</f>
        <v>#VALUE!</v>
      </c>
      <c r="CN67" t="e">
        <f>AND(Bills!L176,"AAAAADu/T1s=")</f>
        <v>#VALUE!</v>
      </c>
      <c r="CO67" t="e">
        <f>AND(Bills!#REF!,"AAAAADu/T1w=")</f>
        <v>#REF!</v>
      </c>
      <c r="CP67" t="e">
        <f>AND(Bills!M176,"AAAAADu/T10=")</f>
        <v>#VALUE!</v>
      </c>
      <c r="CQ67" t="e">
        <f>AND(Bills!N176,"AAAAADu/T14=")</f>
        <v>#VALUE!</v>
      </c>
      <c r="CR67" t="e">
        <f>AND(Bills!O176,"AAAAADu/T18=")</f>
        <v>#VALUE!</v>
      </c>
      <c r="CS67" t="e">
        <f>AND(Bills!P176,"AAAAADu/T2A=")</f>
        <v>#VALUE!</v>
      </c>
      <c r="CT67" t="e">
        <f>AND(Bills!Q176,"AAAAADu/T2E=")</f>
        <v>#VALUE!</v>
      </c>
      <c r="CU67" t="e">
        <f>AND(Bills!R176,"AAAAADu/T2I=")</f>
        <v>#VALUE!</v>
      </c>
      <c r="CV67" t="e">
        <f>AND(Bills!S176,"AAAAADu/T2M=")</f>
        <v>#VALUE!</v>
      </c>
      <c r="CW67" t="e">
        <f>AND(Bills!T176,"AAAAADu/T2Q=")</f>
        <v>#VALUE!</v>
      </c>
      <c r="CX67" t="e">
        <f>AND(Bills!#REF!,"AAAAADu/T2U=")</f>
        <v>#REF!</v>
      </c>
      <c r="CY67" t="e">
        <f>AND(Bills!U176,"AAAAADu/T2Y=")</f>
        <v>#VALUE!</v>
      </c>
      <c r="CZ67" t="e">
        <f>AND(Bills!V176,"AAAAADu/T2c=")</f>
        <v>#VALUE!</v>
      </c>
      <c r="DA67" t="e">
        <f>AND(Bills!W176,"AAAAADu/T2g=")</f>
        <v>#VALUE!</v>
      </c>
      <c r="DB67" t="e">
        <f>AND(Bills!#REF!,"AAAAADu/T2k=")</f>
        <v>#REF!</v>
      </c>
      <c r="DC67" t="e">
        <f>AND(Bills!#REF!,"AAAAADu/T2o=")</f>
        <v>#REF!</v>
      </c>
      <c r="DD67" t="e">
        <f>AND(Bills!Y176,"AAAAADu/T2s=")</f>
        <v>#VALUE!</v>
      </c>
      <c r="DE67" t="e">
        <f>AND(Bills!Z176,"AAAAADu/T2w=")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AND(Bills!AA176,"AAAAADu/T3Y=")</f>
        <v>#VALUE!</v>
      </c>
      <c r="DP67" t="e">
        <f>AND(Bills!AB176,"AAAAADu/T3c=")</f>
        <v>#VALUE!</v>
      </c>
      <c r="DQ67" t="e">
        <f>AND(Bills!#REF!,"AAAAADu/T3g=")</f>
        <v>#REF!</v>
      </c>
      <c r="DR67" t="e">
        <f>AND(Bills!#REF!,"AAAAADu/T3k=")</f>
        <v>#REF!</v>
      </c>
      <c r="DS67" t="e">
        <f>AND(Bills!#REF!,"AAAAADu/T3o=")</f>
        <v>#REF!</v>
      </c>
      <c r="DT67" t="e">
        <f>AND(Bills!AC176,"AAAAADu/T3s=")</f>
        <v>#VALUE!</v>
      </c>
      <c r="DU67" t="e">
        <f>AND(Bills!AD176,"AAAAADu/T3w=")</f>
        <v>#VALUE!</v>
      </c>
      <c r="DV67" t="e">
        <f>AND(Bills!#REF!,"AAAAADu/T30=")</f>
        <v>#REF!</v>
      </c>
      <c r="DW67">
        <f>IF(Bills!177:177,"AAAAADu/T34=",0)</f>
        <v>0</v>
      </c>
      <c r="DX67" t="e">
        <f>AND(Bills!B177,"AAAAADu/T38=")</f>
        <v>#VALUE!</v>
      </c>
      <c r="DY67" t="e">
        <f>AND(Bills!#REF!,"AAAAADu/T4A=")</f>
        <v>#REF!</v>
      </c>
      <c r="DZ67" t="e">
        <f>AND(Bills!C177,"AAAAADu/T4E=")</f>
        <v>#VALUE!</v>
      </c>
      <c r="EA67" t="e">
        <f>AND(Bills!D177,"AAAAADu/T4I=")</f>
        <v>#VALUE!</v>
      </c>
      <c r="EB67" t="e">
        <f>AND(Bills!E177,"AAAAADu/T4M=")</f>
        <v>#VALUE!</v>
      </c>
      <c r="EC67" t="e">
        <f>AND(Bills!#REF!,"AAAAADu/T4Q=")</f>
        <v>#REF!</v>
      </c>
      <c r="ED67" t="e">
        <f>AND(Bills!#REF!,"AAAAADu/T4U=")</f>
        <v>#REF!</v>
      </c>
      <c r="EE67" t="e">
        <f>AND(Bills!#REF!,"AAAAADu/T4Y=")</f>
        <v>#REF!</v>
      </c>
      <c r="EF67" t="e">
        <f>AND(Bills!F177,"AAAAADu/T4c=")</f>
        <v>#VALUE!</v>
      </c>
      <c r="EG67" t="e">
        <f>AND(Bills!#REF!,"AAAAADu/T4g=")</f>
        <v>#REF!</v>
      </c>
      <c r="EH67" t="e">
        <f>AND(Bills!G177,"AAAAADu/T4k=")</f>
        <v>#VALUE!</v>
      </c>
      <c r="EI67" t="e">
        <f>AND(Bills!H177,"AAAAADu/T4o=")</f>
        <v>#VALUE!</v>
      </c>
      <c r="EJ67" t="e">
        <f>AND(Bills!I177,"AAAAADu/T4s=")</f>
        <v>#VALUE!</v>
      </c>
      <c r="EK67" t="e">
        <f>AND(Bills!J177,"AAAAADu/T4w=")</f>
        <v>#VALUE!</v>
      </c>
      <c r="EL67" t="e">
        <f>AND(Bills!K177,"AAAAADu/T40=")</f>
        <v>#VALUE!</v>
      </c>
      <c r="EM67" t="e">
        <f>AND(Bills!L177,"AAAAADu/T44=")</f>
        <v>#VALUE!</v>
      </c>
      <c r="EN67" t="e">
        <f>AND(Bills!#REF!,"AAAAADu/T48=")</f>
        <v>#REF!</v>
      </c>
      <c r="EO67" t="e">
        <f>AND(Bills!M177,"AAAAADu/T5A=")</f>
        <v>#VALUE!</v>
      </c>
      <c r="EP67" t="e">
        <f>AND(Bills!N177,"AAAAADu/T5E=")</f>
        <v>#VALUE!</v>
      </c>
      <c r="EQ67" t="e">
        <f>AND(Bills!O177,"AAAAADu/T5I=")</f>
        <v>#VALUE!</v>
      </c>
      <c r="ER67" t="e">
        <f>AND(Bills!P177,"AAAAADu/T5M=")</f>
        <v>#VALUE!</v>
      </c>
      <c r="ES67" t="e">
        <f>AND(Bills!Q177,"AAAAADu/T5Q=")</f>
        <v>#VALUE!</v>
      </c>
      <c r="ET67" t="e">
        <f>AND(Bills!R177,"AAAAADu/T5U=")</f>
        <v>#VALUE!</v>
      </c>
      <c r="EU67" t="e">
        <f>AND(Bills!S177,"AAAAADu/T5Y=")</f>
        <v>#VALUE!</v>
      </c>
      <c r="EV67" t="e">
        <f>AND(Bills!T177,"AAAAADu/T5c=")</f>
        <v>#VALUE!</v>
      </c>
      <c r="EW67" t="e">
        <f>AND(Bills!#REF!,"AAAAADu/T5g=")</f>
        <v>#REF!</v>
      </c>
      <c r="EX67" t="e">
        <f>AND(Bills!U177,"AAAAADu/T5k=")</f>
        <v>#VALUE!</v>
      </c>
      <c r="EY67" t="e">
        <f>AND(Bills!V177,"AAAAADu/T5o=")</f>
        <v>#VALUE!</v>
      </c>
      <c r="EZ67" t="e">
        <f>AND(Bills!W177,"AAAAADu/T5s=")</f>
        <v>#VALUE!</v>
      </c>
      <c r="FA67" t="e">
        <f>AND(Bills!#REF!,"AAAAADu/T5w=")</f>
        <v>#REF!</v>
      </c>
      <c r="FB67" t="e">
        <f>AND(Bills!#REF!,"AAAAADu/T50=")</f>
        <v>#REF!</v>
      </c>
      <c r="FC67" t="e">
        <f>AND(Bills!Y177,"AAAAADu/T54=")</f>
        <v>#VALUE!</v>
      </c>
      <c r="FD67" t="e">
        <f>AND(Bills!Z177,"AAAAADu/T58=")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AND(Bills!AA177,"AAAAADu/T6k=")</f>
        <v>#VALUE!</v>
      </c>
      <c r="FO67" t="e">
        <f>AND(Bills!AB177,"AAAAADu/T6o=")</f>
        <v>#VALUE!</v>
      </c>
      <c r="FP67" t="e">
        <f>AND(Bills!#REF!,"AAAAADu/T6s=")</f>
        <v>#REF!</v>
      </c>
      <c r="FQ67" t="e">
        <f>AND(Bills!#REF!,"AAAAADu/T6w=")</f>
        <v>#REF!</v>
      </c>
      <c r="FR67" t="e">
        <f>AND(Bills!#REF!,"AAAAADu/T60=")</f>
        <v>#REF!</v>
      </c>
      <c r="FS67" t="e">
        <f>AND(Bills!AC177,"AAAAADu/T64=")</f>
        <v>#VALUE!</v>
      </c>
      <c r="FT67" t="e">
        <f>AND(Bills!AD177,"AAAAADu/T68=")</f>
        <v>#VALUE!</v>
      </c>
      <c r="FU67" t="e">
        <f>AND(Bills!#REF!,"AAAAADu/T7A=")</f>
        <v>#REF!</v>
      </c>
      <c r="FV67">
        <f>IF(Bills!178:178,"AAAAADu/T7E=",0)</f>
        <v>0</v>
      </c>
      <c r="FW67" t="e">
        <f>AND(Bills!B178,"AAAAADu/T7I=")</f>
        <v>#VALUE!</v>
      </c>
      <c r="FX67" t="e">
        <f>AND(Bills!#REF!,"AAAAADu/T7M=")</f>
        <v>#REF!</v>
      </c>
      <c r="FY67" t="e">
        <f>AND(Bills!C178,"AAAAADu/T7Q=")</f>
        <v>#VALUE!</v>
      </c>
      <c r="FZ67" t="e">
        <f>AND(Bills!D178,"AAAAADu/T7U=")</f>
        <v>#VALUE!</v>
      </c>
      <c r="GA67" t="e">
        <f>AND(Bills!E178,"AAAAADu/T7Y=")</f>
        <v>#VALUE!</v>
      </c>
      <c r="GB67" t="e">
        <f>AND(Bills!#REF!,"AAAAADu/T7c=")</f>
        <v>#REF!</v>
      </c>
      <c r="GC67" t="e">
        <f>AND(Bills!#REF!,"AAAAADu/T7g=")</f>
        <v>#REF!</v>
      </c>
      <c r="GD67" t="e">
        <f>AND(Bills!#REF!,"AAAAADu/T7k=")</f>
        <v>#REF!</v>
      </c>
      <c r="GE67" t="e">
        <f>AND(Bills!F178,"AAAAADu/T7o=")</f>
        <v>#VALUE!</v>
      </c>
      <c r="GF67" t="e">
        <f>AND(Bills!#REF!,"AAAAADu/T7s=")</f>
        <v>#REF!</v>
      </c>
      <c r="GG67" t="e">
        <f>AND(Bills!G178,"AAAAADu/T7w=")</f>
        <v>#VALUE!</v>
      </c>
      <c r="GH67" t="e">
        <f>AND(Bills!H178,"AAAAADu/T70=")</f>
        <v>#VALUE!</v>
      </c>
      <c r="GI67" t="e">
        <f>AND(Bills!I178,"AAAAADu/T74=")</f>
        <v>#VALUE!</v>
      </c>
      <c r="GJ67" t="e">
        <f>AND(Bills!J178,"AAAAADu/T78=")</f>
        <v>#VALUE!</v>
      </c>
      <c r="GK67" t="e">
        <f>AND(Bills!K178,"AAAAADu/T8A=")</f>
        <v>#VALUE!</v>
      </c>
      <c r="GL67" t="e">
        <f>AND(Bills!L178,"AAAAADu/T8E=")</f>
        <v>#VALUE!</v>
      </c>
      <c r="GM67" t="e">
        <f>AND(Bills!#REF!,"AAAAADu/T8I=")</f>
        <v>#REF!</v>
      </c>
      <c r="GN67" t="e">
        <f>AND(Bills!M178,"AAAAADu/T8M=")</f>
        <v>#VALUE!</v>
      </c>
      <c r="GO67" t="e">
        <f>AND(Bills!N178,"AAAAADu/T8Q=")</f>
        <v>#VALUE!</v>
      </c>
      <c r="GP67" t="e">
        <f>AND(Bills!O178,"AAAAADu/T8U=")</f>
        <v>#VALUE!</v>
      </c>
      <c r="GQ67" t="e">
        <f>AND(Bills!P178,"AAAAADu/T8Y=")</f>
        <v>#VALUE!</v>
      </c>
      <c r="GR67" t="e">
        <f>AND(Bills!Q178,"AAAAADu/T8c=")</f>
        <v>#VALUE!</v>
      </c>
      <c r="GS67" t="e">
        <f>AND(Bills!R178,"AAAAADu/T8g=")</f>
        <v>#VALUE!</v>
      </c>
      <c r="GT67" t="e">
        <f>AND(Bills!S178,"AAAAADu/T8k=")</f>
        <v>#VALUE!</v>
      </c>
      <c r="GU67" t="e">
        <f>AND(Bills!T178,"AAAAADu/T8o=")</f>
        <v>#VALUE!</v>
      </c>
      <c r="GV67" t="e">
        <f>AND(Bills!#REF!,"AAAAADu/T8s=")</f>
        <v>#REF!</v>
      </c>
      <c r="GW67" t="e">
        <f>AND(Bills!U178,"AAAAADu/T8w=")</f>
        <v>#VALUE!</v>
      </c>
      <c r="GX67" t="e">
        <f>AND(Bills!V178,"AAAAADu/T80=")</f>
        <v>#VALUE!</v>
      </c>
      <c r="GY67" t="e">
        <f>AND(Bills!W178,"AAAAADu/T84=")</f>
        <v>#VALUE!</v>
      </c>
      <c r="GZ67" t="e">
        <f>AND(Bills!#REF!,"AAAAADu/T88=")</f>
        <v>#REF!</v>
      </c>
      <c r="HA67" t="e">
        <f>AND(Bills!#REF!,"AAAAADu/T9A=")</f>
        <v>#REF!</v>
      </c>
      <c r="HB67" t="e">
        <f>AND(Bills!Y178,"AAAAADu/T9E=")</f>
        <v>#VALUE!</v>
      </c>
      <c r="HC67" t="e">
        <f>AND(Bills!Z178,"AAAAADu/T9I=")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AND(Bills!AA178,"AAAAADu/T9w=")</f>
        <v>#VALUE!</v>
      </c>
      <c r="HN67" t="e">
        <f>AND(Bills!AB178,"AAAAADu/T90=")</f>
        <v>#VALUE!</v>
      </c>
      <c r="HO67" t="e">
        <f>AND(Bills!#REF!,"AAAAADu/T94=")</f>
        <v>#REF!</v>
      </c>
      <c r="HP67" t="e">
        <f>AND(Bills!#REF!,"AAAAADu/T98=")</f>
        <v>#REF!</v>
      </c>
      <c r="HQ67" t="e">
        <f>AND(Bills!#REF!,"AAAAADu/T+A=")</f>
        <v>#REF!</v>
      </c>
      <c r="HR67" t="e">
        <f>AND(Bills!AC178,"AAAAADu/T+E=")</f>
        <v>#VALUE!</v>
      </c>
      <c r="HS67" t="e">
        <f>AND(Bills!AD178,"AAAAADu/T+I=")</f>
        <v>#VALUE!</v>
      </c>
      <c r="HT67" t="e">
        <f>AND(Bills!#REF!,"AAAAADu/T+M=")</f>
        <v>#REF!</v>
      </c>
      <c r="HU67">
        <f>IF(Bills!179:179,"AAAAADu/T+Q=",0)</f>
        <v>0</v>
      </c>
      <c r="HV67" t="e">
        <f>AND(Bills!B179,"AAAAADu/T+U=")</f>
        <v>#VALUE!</v>
      </c>
      <c r="HW67" t="e">
        <f>AND(Bills!#REF!,"AAAAADu/T+Y=")</f>
        <v>#REF!</v>
      </c>
      <c r="HX67" t="e">
        <f>AND(Bills!C179,"AAAAADu/T+c=")</f>
        <v>#VALUE!</v>
      </c>
      <c r="HY67" t="e">
        <f>AND(Bills!D179,"AAAAADu/T+g=")</f>
        <v>#VALUE!</v>
      </c>
      <c r="HZ67" t="e">
        <f>AND(Bills!E179,"AAAAADu/T+k=")</f>
        <v>#VALUE!</v>
      </c>
      <c r="IA67" t="e">
        <f>AND(Bills!#REF!,"AAAAADu/T+o=")</f>
        <v>#REF!</v>
      </c>
      <c r="IB67" t="e">
        <f>AND(Bills!#REF!,"AAAAADu/T+s=")</f>
        <v>#REF!</v>
      </c>
      <c r="IC67" t="e">
        <f>AND(Bills!#REF!,"AAAAADu/T+w=")</f>
        <v>#REF!</v>
      </c>
      <c r="ID67" t="e">
        <f>AND(Bills!F179,"AAAAADu/T+0=")</f>
        <v>#VALUE!</v>
      </c>
      <c r="IE67" t="e">
        <f>AND(Bills!#REF!,"AAAAADu/T+4=")</f>
        <v>#REF!</v>
      </c>
      <c r="IF67" t="e">
        <f>AND(Bills!G179,"AAAAADu/T+8=")</f>
        <v>#VALUE!</v>
      </c>
      <c r="IG67" t="e">
        <f>AND(Bills!H179,"AAAAADu/T/A=")</f>
        <v>#VALUE!</v>
      </c>
      <c r="IH67" t="e">
        <f>AND(Bills!I179,"AAAAADu/T/E=")</f>
        <v>#VALUE!</v>
      </c>
      <c r="II67" t="e">
        <f>AND(Bills!J179,"AAAAADu/T/I=")</f>
        <v>#VALUE!</v>
      </c>
      <c r="IJ67" t="e">
        <f>AND(Bills!K179,"AAAAADu/T/M=")</f>
        <v>#VALUE!</v>
      </c>
      <c r="IK67" t="e">
        <f>AND(Bills!L179,"AAAAADu/T/Q=")</f>
        <v>#VALUE!</v>
      </c>
      <c r="IL67" t="e">
        <f>AND(Bills!#REF!,"AAAAADu/T/U=")</f>
        <v>#REF!</v>
      </c>
      <c r="IM67" t="e">
        <f>AND(Bills!M179,"AAAAADu/T/Y=")</f>
        <v>#VALUE!</v>
      </c>
      <c r="IN67" t="e">
        <f>AND(Bills!N179,"AAAAADu/T/c=")</f>
        <v>#VALUE!</v>
      </c>
      <c r="IO67" t="e">
        <f>AND(Bills!O179,"AAAAADu/T/g=")</f>
        <v>#VALUE!</v>
      </c>
      <c r="IP67" t="e">
        <f>AND(Bills!P179,"AAAAADu/T/k=")</f>
        <v>#VALUE!</v>
      </c>
      <c r="IQ67" t="e">
        <f>AND(Bills!Q179,"AAAAADu/T/o=")</f>
        <v>#VALUE!</v>
      </c>
      <c r="IR67" t="e">
        <f>AND(Bills!R179,"AAAAADu/T/s=")</f>
        <v>#VALUE!</v>
      </c>
      <c r="IS67" t="e">
        <f>AND(Bills!S179,"AAAAADu/T/w=")</f>
        <v>#VALUE!</v>
      </c>
      <c r="IT67" t="e">
        <f>AND(Bills!T179,"AAAAADu/T/0=")</f>
        <v>#VALUE!</v>
      </c>
      <c r="IU67" t="e">
        <f>AND(Bills!#REF!,"AAAAADu/T/4=")</f>
        <v>#REF!</v>
      </c>
      <c r="IV67" t="e">
        <f>AND(Bills!U179,"AAAAADu/T/8=")</f>
        <v>#VALUE!</v>
      </c>
    </row>
    <row r="68" spans="1:256">
      <c r="A68" t="e">
        <f>AND(Bills!V179,"AAAAAH//PwA=")</f>
        <v>#VALUE!</v>
      </c>
      <c r="B68" t="e">
        <f>AND(Bills!W179,"AAAAAH//PwE=")</f>
        <v>#VALUE!</v>
      </c>
      <c r="C68" t="e">
        <f>AND(Bills!#REF!,"AAAAAH//PwI=")</f>
        <v>#REF!</v>
      </c>
      <c r="D68" t="e">
        <f>AND(Bills!#REF!,"AAAAAH//PwM=")</f>
        <v>#REF!</v>
      </c>
      <c r="E68" t="e">
        <f>AND(Bills!Y179,"AAAAAH//PwQ=")</f>
        <v>#VALUE!</v>
      </c>
      <c r="F68" t="e">
        <f>AND(Bills!Z179,"AAAAAH//PwU=")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AND(Bills!AA179,"AAAAAH//Pw8=")</f>
        <v>#VALUE!</v>
      </c>
      <c r="Q68" t="e">
        <f>AND(Bills!AB179,"AAAAAH//PxA=")</f>
        <v>#VALUE!</v>
      </c>
      <c r="R68" t="e">
        <f>AND(Bills!#REF!,"AAAAAH//PxE=")</f>
        <v>#REF!</v>
      </c>
      <c r="S68" t="e">
        <f>AND(Bills!#REF!,"AAAAAH//PxI=")</f>
        <v>#REF!</v>
      </c>
      <c r="T68" t="e">
        <f>AND(Bills!#REF!,"AAAAAH//PxM=")</f>
        <v>#REF!</v>
      </c>
      <c r="U68" t="e">
        <f>AND(Bills!AC179,"AAAAAH//PxQ=")</f>
        <v>#VALUE!</v>
      </c>
      <c r="V68" t="e">
        <f>AND(Bills!AD179,"AAAAAH//PxU=")</f>
        <v>#VALUE!</v>
      </c>
      <c r="W68" t="e">
        <f>AND(Bills!#REF!,"AAAAAH//PxY=")</f>
        <v>#REF!</v>
      </c>
      <c r="X68">
        <f>IF(Bills!180:180,"AAAAAH//Pxc=",0)</f>
        <v>0</v>
      </c>
      <c r="Y68" t="e">
        <f>AND(Bills!B180,"AAAAAH//Pxg=")</f>
        <v>#VALUE!</v>
      </c>
      <c r="Z68" t="e">
        <f>AND(Bills!#REF!,"AAAAAH//Pxk=")</f>
        <v>#REF!</v>
      </c>
      <c r="AA68" t="e">
        <f>AND(Bills!C180,"AAAAAH//Pxo=")</f>
        <v>#VALUE!</v>
      </c>
      <c r="AB68" t="e">
        <f>AND(Bills!D180,"AAAAAH//Pxs=")</f>
        <v>#VALUE!</v>
      </c>
      <c r="AC68" t="e">
        <f>AND(Bills!E180,"AAAAAH//Pxw=")</f>
        <v>#VALUE!</v>
      </c>
      <c r="AD68" t="e">
        <f>AND(Bills!#REF!,"AAAAAH//Px0=")</f>
        <v>#REF!</v>
      </c>
      <c r="AE68" t="e">
        <f>AND(Bills!#REF!,"AAAAAH//Px4=")</f>
        <v>#REF!</v>
      </c>
      <c r="AF68" t="e">
        <f>AND(Bills!#REF!,"AAAAAH//Px8=")</f>
        <v>#REF!</v>
      </c>
      <c r="AG68" t="e">
        <f>AND(Bills!F180,"AAAAAH//PyA=")</f>
        <v>#VALUE!</v>
      </c>
      <c r="AH68" t="e">
        <f>AND(Bills!#REF!,"AAAAAH//PyE=")</f>
        <v>#REF!</v>
      </c>
      <c r="AI68" t="e">
        <f>AND(Bills!G180,"AAAAAH//PyI=")</f>
        <v>#VALUE!</v>
      </c>
      <c r="AJ68" t="e">
        <f>AND(Bills!H180,"AAAAAH//PyM=")</f>
        <v>#VALUE!</v>
      </c>
      <c r="AK68" t="e">
        <f>AND(Bills!I180,"AAAAAH//PyQ=")</f>
        <v>#VALUE!</v>
      </c>
      <c r="AL68" t="e">
        <f>AND(Bills!J180,"AAAAAH//PyU=")</f>
        <v>#VALUE!</v>
      </c>
      <c r="AM68" t="e">
        <f>AND(Bills!K180,"AAAAAH//PyY=")</f>
        <v>#VALUE!</v>
      </c>
      <c r="AN68" t="e">
        <f>AND(Bills!L180,"AAAAAH//Pyc=")</f>
        <v>#VALUE!</v>
      </c>
      <c r="AO68" t="e">
        <f>AND(Bills!#REF!,"AAAAAH//Pyg=")</f>
        <v>#REF!</v>
      </c>
      <c r="AP68" t="e">
        <f>AND(Bills!M180,"AAAAAH//Pyk=")</f>
        <v>#VALUE!</v>
      </c>
      <c r="AQ68" t="e">
        <f>AND(Bills!N180,"AAAAAH//Pyo=")</f>
        <v>#VALUE!</v>
      </c>
      <c r="AR68" t="e">
        <f>AND(Bills!O180,"AAAAAH//Pys=")</f>
        <v>#VALUE!</v>
      </c>
      <c r="AS68" t="e">
        <f>AND(Bills!P180,"AAAAAH//Pyw=")</f>
        <v>#VALUE!</v>
      </c>
      <c r="AT68" t="e">
        <f>AND(Bills!Q180,"AAAAAH//Py0=")</f>
        <v>#VALUE!</v>
      </c>
      <c r="AU68" t="e">
        <f>AND(Bills!R180,"AAAAAH//Py4=")</f>
        <v>#VALUE!</v>
      </c>
      <c r="AV68" t="e">
        <f>AND(Bills!S180,"AAAAAH//Py8=")</f>
        <v>#VALUE!</v>
      </c>
      <c r="AW68" t="e">
        <f>AND(Bills!T180,"AAAAAH//PzA=")</f>
        <v>#VALUE!</v>
      </c>
      <c r="AX68" t="e">
        <f>AND(Bills!#REF!,"AAAAAH//PzE=")</f>
        <v>#REF!</v>
      </c>
      <c r="AY68" t="e">
        <f>AND(Bills!U180,"AAAAAH//PzI=")</f>
        <v>#VALUE!</v>
      </c>
      <c r="AZ68" t="e">
        <f>AND(Bills!V180,"AAAAAH//PzM=")</f>
        <v>#VALUE!</v>
      </c>
      <c r="BA68" t="e">
        <f>AND(Bills!W180,"AAAAAH//PzQ=")</f>
        <v>#VALUE!</v>
      </c>
      <c r="BB68" t="e">
        <f>AND(Bills!#REF!,"AAAAAH//PzU=")</f>
        <v>#REF!</v>
      </c>
      <c r="BC68" t="e">
        <f>AND(Bills!#REF!,"AAAAAH//PzY=")</f>
        <v>#REF!</v>
      </c>
      <c r="BD68" t="e">
        <f>AND(Bills!Y180,"AAAAAH//Pzc=")</f>
        <v>#VALUE!</v>
      </c>
      <c r="BE68" t="e">
        <f>AND(Bills!Z180,"AAAAAH//Pzg=")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AND(Bills!AA180,"AAAAAH//P0I=")</f>
        <v>#VALUE!</v>
      </c>
      <c r="BP68" t="e">
        <f>AND(Bills!AB180,"AAAAAH//P0M=")</f>
        <v>#VALUE!</v>
      </c>
      <c r="BQ68" t="e">
        <f>AND(Bills!#REF!,"AAAAAH//P0Q=")</f>
        <v>#REF!</v>
      </c>
      <c r="BR68" t="e">
        <f>AND(Bills!#REF!,"AAAAAH//P0U=")</f>
        <v>#REF!</v>
      </c>
      <c r="BS68" t="e">
        <f>AND(Bills!#REF!,"AAAAAH//P0Y=")</f>
        <v>#REF!</v>
      </c>
      <c r="BT68" t="e">
        <f>AND(Bills!AC180,"AAAAAH//P0c=")</f>
        <v>#VALUE!</v>
      </c>
      <c r="BU68" t="e">
        <f>AND(Bills!AD180,"AAAAAH//P0g=")</f>
        <v>#VALUE!</v>
      </c>
      <c r="BV68" t="e">
        <f>AND(Bills!#REF!,"AAAAAH//P0k=")</f>
        <v>#REF!</v>
      </c>
      <c r="BW68">
        <f>IF(Bills!181:181,"AAAAAH//P0o=",0)</f>
        <v>0</v>
      </c>
      <c r="BX68" t="e">
        <f>AND(Bills!B181,"AAAAAH//P0s=")</f>
        <v>#VALUE!</v>
      </c>
      <c r="BY68" t="e">
        <f>AND(Bills!#REF!,"AAAAAH//P0w=")</f>
        <v>#REF!</v>
      </c>
      <c r="BZ68" t="e">
        <f>AND(Bills!C181,"AAAAAH//P00=")</f>
        <v>#VALUE!</v>
      </c>
      <c r="CA68" t="e">
        <f>AND(Bills!D181,"AAAAAH//P04=")</f>
        <v>#VALUE!</v>
      </c>
      <c r="CB68" t="e">
        <f>AND(Bills!E181,"AAAAAH//P08=")</f>
        <v>#VALUE!</v>
      </c>
      <c r="CC68" t="e">
        <f>AND(Bills!#REF!,"AAAAAH//P1A=")</f>
        <v>#REF!</v>
      </c>
      <c r="CD68" t="e">
        <f>AND(Bills!#REF!,"AAAAAH//P1E=")</f>
        <v>#REF!</v>
      </c>
      <c r="CE68" t="e">
        <f>AND(Bills!#REF!,"AAAAAH//P1I=")</f>
        <v>#REF!</v>
      </c>
      <c r="CF68" t="e">
        <f>AND(Bills!F181,"AAAAAH//P1M=")</f>
        <v>#VALUE!</v>
      </c>
      <c r="CG68" t="e">
        <f>AND(Bills!#REF!,"AAAAAH//P1Q=")</f>
        <v>#REF!</v>
      </c>
      <c r="CH68" t="e">
        <f>AND(Bills!G181,"AAAAAH//P1U=")</f>
        <v>#VALUE!</v>
      </c>
      <c r="CI68" t="e">
        <f>AND(Bills!H181,"AAAAAH//P1Y=")</f>
        <v>#VALUE!</v>
      </c>
      <c r="CJ68" t="e">
        <f>AND(Bills!I181,"AAAAAH//P1c=")</f>
        <v>#VALUE!</v>
      </c>
      <c r="CK68" t="e">
        <f>AND(Bills!J181,"AAAAAH//P1g=")</f>
        <v>#VALUE!</v>
      </c>
      <c r="CL68" t="e">
        <f>AND(Bills!K181,"AAAAAH//P1k=")</f>
        <v>#VALUE!</v>
      </c>
      <c r="CM68" t="e">
        <f>AND(Bills!L181,"AAAAAH//P1o=")</f>
        <v>#VALUE!</v>
      </c>
      <c r="CN68" t="e">
        <f>AND(Bills!#REF!,"AAAAAH//P1s=")</f>
        <v>#REF!</v>
      </c>
      <c r="CO68" t="e">
        <f>AND(Bills!M181,"AAAAAH//P1w=")</f>
        <v>#VALUE!</v>
      </c>
      <c r="CP68" t="e">
        <f>AND(Bills!N181,"AAAAAH//P10=")</f>
        <v>#VALUE!</v>
      </c>
      <c r="CQ68" t="e">
        <f>AND(Bills!O181,"AAAAAH//P14=")</f>
        <v>#VALUE!</v>
      </c>
      <c r="CR68" t="e">
        <f>AND(Bills!P181,"AAAAAH//P18=")</f>
        <v>#VALUE!</v>
      </c>
      <c r="CS68" t="e">
        <f>AND(Bills!Q181,"AAAAAH//P2A=")</f>
        <v>#VALUE!</v>
      </c>
      <c r="CT68" t="e">
        <f>AND(Bills!R181,"AAAAAH//P2E=")</f>
        <v>#VALUE!</v>
      </c>
      <c r="CU68" t="e">
        <f>AND(Bills!S181,"AAAAAH//P2I=")</f>
        <v>#VALUE!</v>
      </c>
      <c r="CV68" t="e">
        <f>AND(Bills!T181,"AAAAAH//P2M=")</f>
        <v>#VALUE!</v>
      </c>
      <c r="CW68" t="e">
        <f>AND(Bills!#REF!,"AAAAAH//P2Q=")</f>
        <v>#REF!</v>
      </c>
      <c r="CX68" t="e">
        <f>AND(Bills!U181,"AAAAAH//P2U=")</f>
        <v>#VALUE!</v>
      </c>
      <c r="CY68" t="e">
        <f>AND(Bills!V181,"AAAAAH//P2Y=")</f>
        <v>#VALUE!</v>
      </c>
      <c r="CZ68" t="e">
        <f>AND(Bills!W181,"AAAAAH//P2c=")</f>
        <v>#VALUE!</v>
      </c>
      <c r="DA68" t="e">
        <f>AND(Bills!#REF!,"AAAAAH//P2g=")</f>
        <v>#REF!</v>
      </c>
      <c r="DB68" t="e">
        <f>AND(Bills!#REF!,"AAAAAH//P2k=")</f>
        <v>#REF!</v>
      </c>
      <c r="DC68" t="e">
        <f>AND(Bills!Y181,"AAAAAH//P2o=")</f>
        <v>#VALUE!</v>
      </c>
      <c r="DD68" t="e">
        <f>AND(Bills!Z181,"AAAAAH//P2s=")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AND(Bills!AA181,"AAAAAH//P3U=")</f>
        <v>#VALUE!</v>
      </c>
      <c r="DO68" t="e">
        <f>AND(Bills!AB181,"AAAAAH//P3Y=")</f>
        <v>#VALUE!</v>
      </c>
      <c r="DP68" t="e">
        <f>AND(Bills!#REF!,"AAAAAH//P3c=")</f>
        <v>#REF!</v>
      </c>
      <c r="DQ68" t="e">
        <f>AND(Bills!#REF!,"AAAAAH//P3g=")</f>
        <v>#REF!</v>
      </c>
      <c r="DR68" t="e">
        <f>AND(Bills!#REF!,"AAAAAH//P3k=")</f>
        <v>#REF!</v>
      </c>
      <c r="DS68" t="e">
        <f>AND(Bills!AC181,"AAAAAH//P3o=")</f>
        <v>#VALUE!</v>
      </c>
      <c r="DT68" t="e">
        <f>AND(Bills!AD181,"AAAAAH//P3s=")</f>
        <v>#VALUE!</v>
      </c>
      <c r="DU68" t="e">
        <f>AND(Bills!#REF!,"AAAAAH//P3w=")</f>
        <v>#REF!</v>
      </c>
      <c r="DV68">
        <f>IF(Bills!182:182,"AAAAAH//P30=",0)</f>
        <v>0</v>
      </c>
      <c r="DW68" t="e">
        <f>AND(Bills!B182,"AAAAAH//P34=")</f>
        <v>#VALUE!</v>
      </c>
      <c r="DX68" t="e">
        <f>AND(Bills!#REF!,"AAAAAH//P38=")</f>
        <v>#REF!</v>
      </c>
      <c r="DY68" t="e">
        <f>AND(Bills!C182,"AAAAAH//P4A=")</f>
        <v>#VALUE!</v>
      </c>
      <c r="DZ68" t="e">
        <f>AND(Bills!D182,"AAAAAH//P4E=")</f>
        <v>#VALUE!</v>
      </c>
      <c r="EA68" t="e">
        <f>AND(Bills!E182,"AAAAAH//P4I=")</f>
        <v>#VALUE!</v>
      </c>
      <c r="EB68" t="e">
        <f>AND(Bills!#REF!,"AAAAAH//P4M=")</f>
        <v>#REF!</v>
      </c>
      <c r="EC68" t="e">
        <f>AND(Bills!#REF!,"AAAAAH//P4Q=")</f>
        <v>#REF!</v>
      </c>
      <c r="ED68" t="e">
        <f>AND(Bills!#REF!,"AAAAAH//P4U=")</f>
        <v>#REF!</v>
      </c>
      <c r="EE68" t="e">
        <f>AND(Bills!F182,"AAAAAH//P4Y=")</f>
        <v>#VALUE!</v>
      </c>
      <c r="EF68" t="e">
        <f>AND(Bills!#REF!,"AAAAAH//P4c=")</f>
        <v>#REF!</v>
      </c>
      <c r="EG68" t="e">
        <f>AND(Bills!G182,"AAAAAH//P4g=")</f>
        <v>#VALUE!</v>
      </c>
      <c r="EH68" t="e">
        <f>AND(Bills!H182,"AAAAAH//P4k=")</f>
        <v>#VALUE!</v>
      </c>
      <c r="EI68" t="e">
        <f>AND(Bills!I182,"AAAAAH//P4o=")</f>
        <v>#VALUE!</v>
      </c>
      <c r="EJ68" t="e">
        <f>AND(Bills!J182,"AAAAAH//P4s=")</f>
        <v>#VALUE!</v>
      </c>
      <c r="EK68" t="e">
        <f>AND(Bills!K182,"AAAAAH//P4w=")</f>
        <v>#VALUE!</v>
      </c>
      <c r="EL68" t="e">
        <f>AND(Bills!L182,"AAAAAH//P40=")</f>
        <v>#VALUE!</v>
      </c>
      <c r="EM68" t="e">
        <f>AND(Bills!#REF!,"AAAAAH//P44=")</f>
        <v>#REF!</v>
      </c>
      <c r="EN68" t="e">
        <f>AND(Bills!M182,"AAAAAH//P48=")</f>
        <v>#VALUE!</v>
      </c>
      <c r="EO68" t="e">
        <f>AND(Bills!N182,"AAAAAH//P5A=")</f>
        <v>#VALUE!</v>
      </c>
      <c r="EP68" t="e">
        <f>AND(Bills!O182,"AAAAAH//P5E=")</f>
        <v>#VALUE!</v>
      </c>
      <c r="EQ68" t="e">
        <f>AND(Bills!P182,"AAAAAH//P5I=")</f>
        <v>#VALUE!</v>
      </c>
      <c r="ER68" t="e">
        <f>AND(Bills!Q182,"AAAAAH//P5M=")</f>
        <v>#VALUE!</v>
      </c>
      <c r="ES68" t="e">
        <f>AND(Bills!R182,"AAAAAH//P5Q=")</f>
        <v>#VALUE!</v>
      </c>
      <c r="ET68" t="e">
        <f>AND(Bills!S182,"AAAAAH//P5U=")</f>
        <v>#VALUE!</v>
      </c>
      <c r="EU68" t="e">
        <f>AND(Bills!T182,"AAAAAH//P5Y=")</f>
        <v>#VALUE!</v>
      </c>
      <c r="EV68" t="e">
        <f>AND(Bills!#REF!,"AAAAAH//P5c=")</f>
        <v>#REF!</v>
      </c>
      <c r="EW68" t="e">
        <f>AND(Bills!U182,"AAAAAH//P5g=")</f>
        <v>#VALUE!</v>
      </c>
      <c r="EX68" t="e">
        <f>AND(Bills!V182,"AAAAAH//P5k=")</f>
        <v>#VALUE!</v>
      </c>
      <c r="EY68" t="e">
        <f>AND(Bills!W182,"AAAAAH//P5o=")</f>
        <v>#VALUE!</v>
      </c>
      <c r="EZ68" t="e">
        <f>AND(Bills!#REF!,"AAAAAH//P5s=")</f>
        <v>#REF!</v>
      </c>
      <c r="FA68" t="e">
        <f>AND(Bills!#REF!,"AAAAAH//P5w=")</f>
        <v>#REF!</v>
      </c>
      <c r="FB68" t="e">
        <f>AND(Bills!Y182,"AAAAAH//P50=")</f>
        <v>#VALUE!</v>
      </c>
      <c r="FC68" t="e">
        <f>AND(Bills!Z182,"AAAAAH//P54=")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AND(Bills!AA182,"AAAAAH//P6g=")</f>
        <v>#VALUE!</v>
      </c>
      <c r="FN68" t="e">
        <f>AND(Bills!AB182,"AAAAAH//P6k=")</f>
        <v>#VALUE!</v>
      </c>
      <c r="FO68" t="e">
        <f>AND(Bills!#REF!,"AAAAAH//P6o=")</f>
        <v>#REF!</v>
      </c>
      <c r="FP68" t="e">
        <f>AND(Bills!#REF!,"AAAAAH//P6s=")</f>
        <v>#REF!</v>
      </c>
      <c r="FQ68" t="e">
        <f>AND(Bills!#REF!,"AAAAAH//P6w=")</f>
        <v>#REF!</v>
      </c>
      <c r="FR68" t="e">
        <f>AND(Bills!AC182,"AAAAAH//P60=")</f>
        <v>#VALUE!</v>
      </c>
      <c r="FS68" t="e">
        <f>AND(Bills!AD182,"AAAAAH//P64=")</f>
        <v>#VALUE!</v>
      </c>
      <c r="FT68" t="e">
        <f>AND(Bills!#REF!,"AAAAAH//P68=")</f>
        <v>#REF!</v>
      </c>
      <c r="FU68">
        <f>IF(Bills!183:183,"AAAAAH//P7A=",0)</f>
        <v>0</v>
      </c>
      <c r="FV68" t="e">
        <f>AND(Bills!B183,"AAAAAH//P7E=")</f>
        <v>#VALUE!</v>
      </c>
      <c r="FW68" t="e">
        <f>AND(Bills!#REF!,"AAAAAH//P7I=")</f>
        <v>#REF!</v>
      </c>
      <c r="FX68" t="e">
        <f>AND(Bills!C183,"AAAAAH//P7M=")</f>
        <v>#VALUE!</v>
      </c>
      <c r="FY68" t="e">
        <f>AND(Bills!D183,"AAAAAH//P7Q=")</f>
        <v>#VALUE!</v>
      </c>
      <c r="FZ68" t="e">
        <f>AND(Bills!E183,"AAAAAH//P7U=")</f>
        <v>#VALUE!</v>
      </c>
      <c r="GA68" t="e">
        <f>AND(Bills!#REF!,"AAAAAH//P7Y=")</f>
        <v>#REF!</v>
      </c>
      <c r="GB68" t="e">
        <f>AND(Bills!#REF!,"AAAAAH//P7c=")</f>
        <v>#REF!</v>
      </c>
      <c r="GC68" t="e">
        <f>AND(Bills!#REF!,"AAAAAH//P7g=")</f>
        <v>#REF!</v>
      </c>
      <c r="GD68" t="e">
        <f>AND(Bills!F183,"AAAAAH//P7k=")</f>
        <v>#VALUE!</v>
      </c>
      <c r="GE68" t="e">
        <f>AND(Bills!#REF!,"AAAAAH//P7o=")</f>
        <v>#REF!</v>
      </c>
      <c r="GF68" t="e">
        <f>AND(Bills!G183,"AAAAAH//P7s=")</f>
        <v>#VALUE!</v>
      </c>
      <c r="GG68" t="e">
        <f>AND(Bills!H183,"AAAAAH//P7w=")</f>
        <v>#VALUE!</v>
      </c>
      <c r="GH68" t="e">
        <f>AND(Bills!I183,"AAAAAH//P70=")</f>
        <v>#VALUE!</v>
      </c>
      <c r="GI68" t="e">
        <f>AND(Bills!J183,"AAAAAH//P74=")</f>
        <v>#VALUE!</v>
      </c>
      <c r="GJ68" t="e">
        <f>AND(Bills!K183,"AAAAAH//P78=")</f>
        <v>#VALUE!</v>
      </c>
      <c r="GK68" t="e">
        <f>AND(Bills!L183,"AAAAAH//P8A=")</f>
        <v>#VALUE!</v>
      </c>
      <c r="GL68" t="e">
        <f>AND(Bills!#REF!,"AAAAAH//P8E=")</f>
        <v>#REF!</v>
      </c>
      <c r="GM68" t="e">
        <f>AND(Bills!M183,"AAAAAH//P8I=")</f>
        <v>#VALUE!</v>
      </c>
      <c r="GN68" t="e">
        <f>AND(Bills!N183,"AAAAAH//P8M=")</f>
        <v>#VALUE!</v>
      </c>
      <c r="GO68" t="e">
        <f>AND(Bills!O183,"AAAAAH//P8Q=")</f>
        <v>#VALUE!</v>
      </c>
      <c r="GP68" t="e">
        <f>AND(Bills!P183,"AAAAAH//P8U=")</f>
        <v>#VALUE!</v>
      </c>
      <c r="GQ68" t="e">
        <f>AND(Bills!Q183,"AAAAAH//P8Y=")</f>
        <v>#VALUE!</v>
      </c>
      <c r="GR68" t="e">
        <f>AND(Bills!R183,"AAAAAH//P8c=")</f>
        <v>#VALUE!</v>
      </c>
      <c r="GS68" t="e">
        <f>AND(Bills!S183,"AAAAAH//P8g=")</f>
        <v>#VALUE!</v>
      </c>
      <c r="GT68" t="e">
        <f>AND(Bills!T183,"AAAAAH//P8k=")</f>
        <v>#VALUE!</v>
      </c>
      <c r="GU68" t="e">
        <f>AND(Bills!#REF!,"AAAAAH//P8o=")</f>
        <v>#REF!</v>
      </c>
      <c r="GV68" t="e">
        <f>AND(Bills!U183,"AAAAAH//P8s=")</f>
        <v>#VALUE!</v>
      </c>
      <c r="GW68" t="e">
        <f>AND(Bills!V183,"AAAAAH//P8w=")</f>
        <v>#VALUE!</v>
      </c>
      <c r="GX68" t="e">
        <f>AND(Bills!W183,"AAAAAH//P80=")</f>
        <v>#VALUE!</v>
      </c>
      <c r="GY68" t="e">
        <f>AND(Bills!#REF!,"AAAAAH//P84=")</f>
        <v>#REF!</v>
      </c>
      <c r="GZ68" t="e">
        <f>AND(Bills!#REF!,"AAAAAH//P88=")</f>
        <v>#REF!</v>
      </c>
      <c r="HA68" t="e">
        <f>AND(Bills!Y183,"AAAAAH//P9A=")</f>
        <v>#VALUE!</v>
      </c>
      <c r="HB68" t="e">
        <f>AND(Bills!Z183,"AAAAAH//P9E=")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AND(Bills!AA183,"AAAAAH//P9s=")</f>
        <v>#VALUE!</v>
      </c>
      <c r="HM68" t="e">
        <f>AND(Bills!AB183,"AAAAAH//P9w=")</f>
        <v>#VALUE!</v>
      </c>
      <c r="HN68" t="e">
        <f>AND(Bills!#REF!,"AAAAAH//P90=")</f>
        <v>#REF!</v>
      </c>
      <c r="HO68" t="e">
        <f>AND(Bills!#REF!,"AAAAAH//P94=")</f>
        <v>#REF!</v>
      </c>
      <c r="HP68" t="e">
        <f>AND(Bills!#REF!,"AAAAAH//P98=")</f>
        <v>#REF!</v>
      </c>
      <c r="HQ68" t="e">
        <f>AND(Bills!AC183,"AAAAAH//P+A=")</f>
        <v>#VALUE!</v>
      </c>
      <c r="HR68" t="e">
        <f>AND(Bills!AD183,"AAAAAH//P+E=")</f>
        <v>#VALUE!</v>
      </c>
      <c r="HS68" t="e">
        <f>AND(Bills!#REF!,"AAAAAH//P+I=")</f>
        <v>#REF!</v>
      </c>
      <c r="HT68">
        <f>IF(Bills!184:184,"AAAAAH//P+M=",0)</f>
        <v>0</v>
      </c>
      <c r="HU68" t="e">
        <f>AND(Bills!B184,"AAAAAH//P+Q=")</f>
        <v>#VALUE!</v>
      </c>
      <c r="HV68" t="e">
        <f>AND(Bills!#REF!,"AAAAAH//P+U=")</f>
        <v>#REF!</v>
      </c>
      <c r="HW68" t="e">
        <f>AND(Bills!C184,"AAAAAH//P+Y=")</f>
        <v>#VALUE!</v>
      </c>
      <c r="HX68" t="e">
        <f>AND(Bills!D184,"AAAAAH//P+c=")</f>
        <v>#VALUE!</v>
      </c>
      <c r="HY68" t="e">
        <f>AND(Bills!E184,"AAAAAH//P+g=")</f>
        <v>#VALUE!</v>
      </c>
      <c r="HZ68" t="e">
        <f>AND(Bills!#REF!,"AAAAAH//P+k=")</f>
        <v>#REF!</v>
      </c>
      <c r="IA68" t="e">
        <f>AND(Bills!#REF!,"AAAAAH//P+o=")</f>
        <v>#REF!</v>
      </c>
      <c r="IB68" t="e">
        <f>AND(Bills!#REF!,"AAAAAH//P+s=")</f>
        <v>#REF!</v>
      </c>
      <c r="IC68" t="e">
        <f>AND(Bills!F184,"AAAAAH//P+w=")</f>
        <v>#VALUE!</v>
      </c>
      <c r="ID68" t="e">
        <f>AND(Bills!#REF!,"AAAAAH//P+0=")</f>
        <v>#REF!</v>
      </c>
      <c r="IE68" t="e">
        <f>AND(Bills!G184,"AAAAAH//P+4=")</f>
        <v>#VALUE!</v>
      </c>
      <c r="IF68" t="e">
        <f>AND(Bills!H184,"AAAAAH//P+8=")</f>
        <v>#VALUE!</v>
      </c>
      <c r="IG68" t="e">
        <f>AND(Bills!I184,"AAAAAH//P/A=")</f>
        <v>#VALUE!</v>
      </c>
      <c r="IH68" t="e">
        <f>AND(Bills!J184,"AAAAAH//P/E=")</f>
        <v>#VALUE!</v>
      </c>
      <c r="II68" t="e">
        <f>AND(Bills!K184,"AAAAAH//P/I=")</f>
        <v>#VALUE!</v>
      </c>
      <c r="IJ68" t="e">
        <f>AND(Bills!L184,"AAAAAH//P/M=")</f>
        <v>#VALUE!</v>
      </c>
      <c r="IK68" t="e">
        <f>AND(Bills!#REF!,"AAAAAH//P/Q=")</f>
        <v>#REF!</v>
      </c>
      <c r="IL68" t="e">
        <f>AND(Bills!M184,"AAAAAH//P/U=")</f>
        <v>#VALUE!</v>
      </c>
      <c r="IM68" t="e">
        <f>AND(Bills!N184,"AAAAAH//P/Y=")</f>
        <v>#VALUE!</v>
      </c>
      <c r="IN68" t="e">
        <f>AND(Bills!O184,"AAAAAH//P/c=")</f>
        <v>#VALUE!</v>
      </c>
      <c r="IO68" t="e">
        <f>AND(Bills!P184,"AAAAAH//P/g=")</f>
        <v>#VALUE!</v>
      </c>
      <c r="IP68" t="e">
        <f>AND(Bills!Q184,"AAAAAH//P/k=")</f>
        <v>#VALUE!</v>
      </c>
      <c r="IQ68" t="e">
        <f>AND(Bills!R184,"AAAAAH//P/o=")</f>
        <v>#VALUE!</v>
      </c>
      <c r="IR68" t="e">
        <f>AND(Bills!S184,"AAAAAH//P/s=")</f>
        <v>#VALUE!</v>
      </c>
      <c r="IS68" t="e">
        <f>AND(Bills!T184,"AAAAAH//P/w=")</f>
        <v>#VALUE!</v>
      </c>
      <c r="IT68" t="e">
        <f>AND(Bills!#REF!,"AAAAAH//P/0=")</f>
        <v>#REF!</v>
      </c>
      <c r="IU68" t="e">
        <f>AND(Bills!U184,"AAAAAH//P/4=")</f>
        <v>#VALUE!</v>
      </c>
      <c r="IV68" t="e">
        <f>AND(Bills!V184,"AAAAAH//P/8=")</f>
        <v>#VALUE!</v>
      </c>
    </row>
    <row r="69" spans="1:256">
      <c r="A69" t="e">
        <f>AND(Bills!W184,"AAAAAG/+5wA=")</f>
        <v>#VALUE!</v>
      </c>
      <c r="B69" t="e">
        <f>AND(Bills!#REF!,"AAAAAG/+5wE=")</f>
        <v>#REF!</v>
      </c>
      <c r="C69" t="e">
        <f>AND(Bills!#REF!,"AAAAAG/+5wI=")</f>
        <v>#REF!</v>
      </c>
      <c r="D69" t="e">
        <f>AND(Bills!Y184,"AAAAAG/+5wM=")</f>
        <v>#VALUE!</v>
      </c>
      <c r="E69" t="e">
        <f>AND(Bills!Z184,"AAAAAG/+5wQ=")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AND(Bills!AA184,"AAAAAG/+5w4=")</f>
        <v>#VALUE!</v>
      </c>
      <c r="P69" t="e">
        <f>AND(Bills!AB184,"AAAAAG/+5w8=")</f>
        <v>#VALUE!</v>
      </c>
      <c r="Q69" t="e">
        <f>AND(Bills!#REF!,"AAAAAG/+5xA=")</f>
        <v>#REF!</v>
      </c>
      <c r="R69" t="e">
        <f>AND(Bills!#REF!,"AAAAAG/+5xE=")</f>
        <v>#REF!</v>
      </c>
      <c r="S69" t="e">
        <f>AND(Bills!#REF!,"AAAAAG/+5xI=")</f>
        <v>#REF!</v>
      </c>
      <c r="T69" t="e">
        <f>AND(Bills!AC184,"AAAAAG/+5xM=")</f>
        <v>#VALUE!</v>
      </c>
      <c r="U69" t="e">
        <f>AND(Bills!AD184,"AAAAAG/+5xQ=")</f>
        <v>#VALUE!</v>
      </c>
      <c r="V69" t="e">
        <f>AND(Bills!#REF!,"AAAAAG/+5xU=")</f>
        <v>#REF!</v>
      </c>
      <c r="W69">
        <f>IF(Bills!185:185,"AAAAAG/+5xY=",0)</f>
        <v>0</v>
      </c>
      <c r="X69" t="e">
        <f>AND(Bills!B185,"AAAAAG/+5xc=")</f>
        <v>#VALUE!</v>
      </c>
      <c r="Y69" t="e">
        <f>AND(Bills!#REF!,"AAAAAG/+5xg=")</f>
        <v>#REF!</v>
      </c>
      <c r="Z69" t="e">
        <f>AND(Bills!C185,"AAAAAG/+5xk=")</f>
        <v>#VALUE!</v>
      </c>
      <c r="AA69" t="e">
        <f>AND(Bills!D185,"AAAAAG/+5xo=")</f>
        <v>#VALUE!</v>
      </c>
      <c r="AB69" t="e">
        <f>AND(Bills!E185,"AAAAAG/+5xs=")</f>
        <v>#VALUE!</v>
      </c>
      <c r="AC69" t="e">
        <f>AND(Bills!#REF!,"AAAAAG/+5xw=")</f>
        <v>#REF!</v>
      </c>
      <c r="AD69" t="e">
        <f>AND(Bills!#REF!,"AAAAAG/+5x0=")</f>
        <v>#REF!</v>
      </c>
      <c r="AE69" t="e">
        <f>AND(Bills!#REF!,"AAAAAG/+5x4=")</f>
        <v>#REF!</v>
      </c>
      <c r="AF69" t="e">
        <f>AND(Bills!F185,"AAAAAG/+5x8=")</f>
        <v>#VALUE!</v>
      </c>
      <c r="AG69" t="e">
        <f>AND(Bills!#REF!,"AAAAAG/+5yA=")</f>
        <v>#REF!</v>
      </c>
      <c r="AH69" t="e">
        <f>AND(Bills!G185,"AAAAAG/+5yE=")</f>
        <v>#VALUE!</v>
      </c>
      <c r="AI69" t="e">
        <f>AND(Bills!H185,"AAAAAG/+5yI=")</f>
        <v>#VALUE!</v>
      </c>
      <c r="AJ69" t="e">
        <f>AND(Bills!I185,"AAAAAG/+5yM=")</f>
        <v>#VALUE!</v>
      </c>
      <c r="AK69" t="e">
        <f>AND(Bills!J185,"AAAAAG/+5yQ=")</f>
        <v>#VALUE!</v>
      </c>
      <c r="AL69" t="e">
        <f>AND(Bills!K185,"AAAAAG/+5yU=")</f>
        <v>#VALUE!</v>
      </c>
      <c r="AM69" t="e">
        <f>AND(Bills!L185,"AAAAAG/+5yY=")</f>
        <v>#VALUE!</v>
      </c>
      <c r="AN69" t="e">
        <f>AND(Bills!#REF!,"AAAAAG/+5yc=")</f>
        <v>#REF!</v>
      </c>
      <c r="AO69" t="e">
        <f>AND(Bills!M185,"AAAAAG/+5yg=")</f>
        <v>#VALUE!</v>
      </c>
      <c r="AP69" t="e">
        <f>AND(Bills!N185,"AAAAAG/+5yk=")</f>
        <v>#VALUE!</v>
      </c>
      <c r="AQ69" t="e">
        <f>AND(Bills!O185,"AAAAAG/+5yo=")</f>
        <v>#VALUE!</v>
      </c>
      <c r="AR69" t="e">
        <f>AND(Bills!P185,"AAAAAG/+5ys=")</f>
        <v>#VALUE!</v>
      </c>
      <c r="AS69" t="e">
        <f>AND(Bills!Q185,"AAAAAG/+5yw=")</f>
        <v>#VALUE!</v>
      </c>
      <c r="AT69" t="e">
        <f>AND(Bills!R185,"AAAAAG/+5y0=")</f>
        <v>#VALUE!</v>
      </c>
      <c r="AU69" t="e">
        <f>AND(Bills!S185,"AAAAAG/+5y4=")</f>
        <v>#VALUE!</v>
      </c>
      <c r="AV69" t="e">
        <f>AND(Bills!T185,"AAAAAG/+5y8=")</f>
        <v>#VALUE!</v>
      </c>
      <c r="AW69" t="e">
        <f>AND(Bills!#REF!,"AAAAAG/+5zA=")</f>
        <v>#REF!</v>
      </c>
      <c r="AX69" t="e">
        <f>AND(Bills!U185,"AAAAAG/+5zE=")</f>
        <v>#VALUE!</v>
      </c>
      <c r="AY69" t="e">
        <f>AND(Bills!V185,"AAAAAG/+5zI=")</f>
        <v>#VALUE!</v>
      </c>
      <c r="AZ69" t="e">
        <f>AND(Bills!W185,"AAAAAG/+5zM=")</f>
        <v>#VALUE!</v>
      </c>
      <c r="BA69" t="e">
        <f>AND(Bills!#REF!,"AAAAAG/+5zQ=")</f>
        <v>#REF!</v>
      </c>
      <c r="BB69" t="e">
        <f>AND(Bills!#REF!,"AAAAAG/+5zU=")</f>
        <v>#REF!</v>
      </c>
      <c r="BC69" t="e">
        <f>AND(Bills!Y185,"AAAAAG/+5zY=")</f>
        <v>#VALUE!</v>
      </c>
      <c r="BD69" t="e">
        <f>AND(Bills!Z185,"AAAAAG/+5zc=")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AND(Bills!AA185,"AAAAAG/+50E=")</f>
        <v>#VALUE!</v>
      </c>
      <c r="BO69" t="e">
        <f>AND(Bills!AB185,"AAAAAG/+50I=")</f>
        <v>#VALUE!</v>
      </c>
      <c r="BP69" t="e">
        <f>AND(Bills!#REF!,"AAAAAG/+50M=")</f>
        <v>#REF!</v>
      </c>
      <c r="BQ69" t="e">
        <f>AND(Bills!#REF!,"AAAAAG/+50Q=")</f>
        <v>#REF!</v>
      </c>
      <c r="BR69" t="e">
        <f>AND(Bills!#REF!,"AAAAAG/+50U=")</f>
        <v>#REF!</v>
      </c>
      <c r="BS69" t="e">
        <f>AND(Bills!AC185,"AAAAAG/+50Y=")</f>
        <v>#VALUE!</v>
      </c>
      <c r="BT69" t="e">
        <f>AND(Bills!AD185,"AAAAAG/+50c=")</f>
        <v>#VALUE!</v>
      </c>
      <c r="BU69" t="e">
        <f>AND(Bills!#REF!,"AAAAAG/+50g=")</f>
        <v>#REF!</v>
      </c>
      <c r="BV69">
        <f>IF(Bills!186:186,"AAAAAG/+50k=",0)</f>
        <v>0</v>
      </c>
      <c r="BW69" t="e">
        <f>AND(Bills!B186,"AAAAAG/+50o=")</f>
        <v>#VALUE!</v>
      </c>
      <c r="BX69" t="e">
        <f>AND(Bills!#REF!,"AAAAAG/+50s=")</f>
        <v>#REF!</v>
      </c>
      <c r="BY69" t="e">
        <f>AND(Bills!C186,"AAAAAG/+50w=")</f>
        <v>#VALUE!</v>
      </c>
      <c r="BZ69" t="e">
        <f>AND(Bills!D186,"AAAAAG/+500=")</f>
        <v>#VALUE!</v>
      </c>
      <c r="CA69" t="e">
        <f>AND(Bills!E186,"AAAAAG/+504=")</f>
        <v>#VALUE!</v>
      </c>
      <c r="CB69" t="e">
        <f>AND(Bills!#REF!,"AAAAAG/+508=")</f>
        <v>#REF!</v>
      </c>
      <c r="CC69" t="e">
        <f>AND(Bills!#REF!,"AAAAAG/+51A=")</f>
        <v>#REF!</v>
      </c>
      <c r="CD69" t="e">
        <f>AND(Bills!#REF!,"AAAAAG/+51E=")</f>
        <v>#REF!</v>
      </c>
      <c r="CE69" t="e">
        <f>AND(Bills!F186,"AAAAAG/+51I=")</f>
        <v>#VALUE!</v>
      </c>
      <c r="CF69" t="e">
        <f>AND(Bills!#REF!,"AAAAAG/+51M=")</f>
        <v>#REF!</v>
      </c>
      <c r="CG69" t="e">
        <f>AND(Bills!G186,"AAAAAG/+51Q=")</f>
        <v>#VALUE!</v>
      </c>
      <c r="CH69" t="e">
        <f>AND(Bills!H186,"AAAAAG/+51U=")</f>
        <v>#VALUE!</v>
      </c>
      <c r="CI69" t="e">
        <f>AND(Bills!I186,"AAAAAG/+51Y=")</f>
        <v>#VALUE!</v>
      </c>
      <c r="CJ69" t="e">
        <f>AND(Bills!J186,"AAAAAG/+51c=")</f>
        <v>#VALUE!</v>
      </c>
      <c r="CK69" t="e">
        <f>AND(Bills!K186,"AAAAAG/+51g=")</f>
        <v>#VALUE!</v>
      </c>
      <c r="CL69" t="e">
        <f>AND(Bills!L186,"AAAAAG/+51k=")</f>
        <v>#VALUE!</v>
      </c>
      <c r="CM69" t="e">
        <f>AND(Bills!#REF!,"AAAAAG/+51o=")</f>
        <v>#REF!</v>
      </c>
      <c r="CN69" t="e">
        <f>AND(Bills!M186,"AAAAAG/+51s=")</f>
        <v>#VALUE!</v>
      </c>
      <c r="CO69" t="e">
        <f>AND(Bills!N186,"AAAAAG/+51w=")</f>
        <v>#VALUE!</v>
      </c>
      <c r="CP69" t="e">
        <f>AND(Bills!O186,"AAAAAG/+510=")</f>
        <v>#VALUE!</v>
      </c>
      <c r="CQ69" t="e">
        <f>AND(Bills!P186,"AAAAAG/+514=")</f>
        <v>#VALUE!</v>
      </c>
      <c r="CR69" t="e">
        <f>AND(Bills!Q186,"AAAAAG/+518=")</f>
        <v>#VALUE!</v>
      </c>
      <c r="CS69" t="e">
        <f>AND(Bills!R186,"AAAAAG/+52A=")</f>
        <v>#VALUE!</v>
      </c>
      <c r="CT69" t="e">
        <f>AND(Bills!S186,"AAAAAG/+52E=")</f>
        <v>#VALUE!</v>
      </c>
      <c r="CU69" t="e">
        <f>AND(Bills!T186,"AAAAAG/+52I=")</f>
        <v>#VALUE!</v>
      </c>
      <c r="CV69" t="e">
        <f>AND(Bills!#REF!,"AAAAAG/+52M=")</f>
        <v>#REF!</v>
      </c>
      <c r="CW69" t="e">
        <f>AND(Bills!U186,"AAAAAG/+52Q=")</f>
        <v>#VALUE!</v>
      </c>
      <c r="CX69" t="e">
        <f>AND(Bills!V186,"AAAAAG/+52U=")</f>
        <v>#VALUE!</v>
      </c>
      <c r="CY69" t="e">
        <f>AND(Bills!W186,"AAAAAG/+52Y=")</f>
        <v>#VALUE!</v>
      </c>
      <c r="CZ69" t="e">
        <f>AND(Bills!#REF!,"AAAAAG/+52c=")</f>
        <v>#REF!</v>
      </c>
      <c r="DA69" t="e">
        <f>AND(Bills!#REF!,"AAAAAG/+52g=")</f>
        <v>#REF!</v>
      </c>
      <c r="DB69" t="e">
        <f>AND(Bills!Y186,"AAAAAG/+52k=")</f>
        <v>#VALUE!</v>
      </c>
      <c r="DC69" t="e">
        <f>AND(Bills!Z186,"AAAAAG/+52o=")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AND(Bills!AA186,"AAAAAG/+53Q=")</f>
        <v>#VALUE!</v>
      </c>
      <c r="DN69" t="e">
        <f>AND(Bills!AB186,"AAAAAG/+53U=")</f>
        <v>#VALUE!</v>
      </c>
      <c r="DO69" t="e">
        <f>AND(Bills!#REF!,"AAAAAG/+53Y=")</f>
        <v>#REF!</v>
      </c>
      <c r="DP69" t="e">
        <f>AND(Bills!#REF!,"AAAAAG/+53c=")</f>
        <v>#REF!</v>
      </c>
      <c r="DQ69" t="e">
        <f>AND(Bills!#REF!,"AAAAAG/+53g=")</f>
        <v>#REF!</v>
      </c>
      <c r="DR69" t="e">
        <f>AND(Bills!AC186,"AAAAAG/+53k=")</f>
        <v>#VALUE!</v>
      </c>
      <c r="DS69" t="e">
        <f>AND(Bills!AD186,"AAAAAG/+53o=")</f>
        <v>#VALUE!</v>
      </c>
      <c r="DT69" t="e">
        <f>AND(Bills!#REF!,"AAAAAG/+53s=")</f>
        <v>#REF!</v>
      </c>
      <c r="DU69">
        <f>IF(Bills!187:187,"AAAAAG/+53w=",0)</f>
        <v>0</v>
      </c>
      <c r="DV69" t="e">
        <f>AND(Bills!B187,"AAAAAG/+530=")</f>
        <v>#VALUE!</v>
      </c>
      <c r="DW69" t="e">
        <f>AND(Bills!#REF!,"AAAAAG/+534=")</f>
        <v>#REF!</v>
      </c>
      <c r="DX69" t="e">
        <f>AND(Bills!C187,"AAAAAG/+538=")</f>
        <v>#VALUE!</v>
      </c>
      <c r="DY69" t="e">
        <f>AND(Bills!D187,"AAAAAG/+54A=")</f>
        <v>#VALUE!</v>
      </c>
      <c r="DZ69" t="e">
        <f>AND(Bills!E187,"AAAAAG/+54E=")</f>
        <v>#VALUE!</v>
      </c>
      <c r="EA69" t="e">
        <f>AND(Bills!#REF!,"AAAAAG/+54I=")</f>
        <v>#REF!</v>
      </c>
      <c r="EB69" t="e">
        <f>AND(Bills!#REF!,"AAAAAG/+54M=")</f>
        <v>#REF!</v>
      </c>
      <c r="EC69" t="e">
        <f>AND(Bills!#REF!,"AAAAAG/+54Q=")</f>
        <v>#REF!</v>
      </c>
      <c r="ED69" t="e">
        <f>AND(Bills!F187,"AAAAAG/+54U=")</f>
        <v>#VALUE!</v>
      </c>
      <c r="EE69" t="e">
        <f>AND(Bills!#REF!,"AAAAAG/+54Y=")</f>
        <v>#REF!</v>
      </c>
      <c r="EF69" t="e">
        <f>AND(Bills!G187,"AAAAAG/+54c=")</f>
        <v>#VALUE!</v>
      </c>
      <c r="EG69" t="e">
        <f>AND(Bills!H187,"AAAAAG/+54g=")</f>
        <v>#VALUE!</v>
      </c>
      <c r="EH69" t="e">
        <f>AND(Bills!I187,"AAAAAG/+54k=")</f>
        <v>#VALUE!</v>
      </c>
      <c r="EI69" t="e">
        <f>AND(Bills!J187,"AAAAAG/+54o=")</f>
        <v>#VALUE!</v>
      </c>
      <c r="EJ69" t="e">
        <f>AND(Bills!K187,"AAAAAG/+54s=")</f>
        <v>#VALUE!</v>
      </c>
      <c r="EK69" t="e">
        <f>AND(Bills!L187,"AAAAAG/+54w=")</f>
        <v>#VALUE!</v>
      </c>
      <c r="EL69" t="e">
        <f>AND(Bills!#REF!,"AAAAAG/+540=")</f>
        <v>#REF!</v>
      </c>
      <c r="EM69" t="e">
        <f>AND(Bills!M187,"AAAAAG/+544=")</f>
        <v>#VALUE!</v>
      </c>
      <c r="EN69" t="e">
        <f>AND(Bills!N187,"AAAAAG/+548=")</f>
        <v>#VALUE!</v>
      </c>
      <c r="EO69" t="e">
        <f>AND(Bills!O187,"AAAAAG/+55A=")</f>
        <v>#VALUE!</v>
      </c>
      <c r="EP69" t="e">
        <f>AND(Bills!P187,"AAAAAG/+55E=")</f>
        <v>#VALUE!</v>
      </c>
      <c r="EQ69" t="e">
        <f>AND(Bills!Q187,"AAAAAG/+55I=")</f>
        <v>#VALUE!</v>
      </c>
      <c r="ER69" t="e">
        <f>AND(Bills!R187,"AAAAAG/+55M=")</f>
        <v>#VALUE!</v>
      </c>
      <c r="ES69" t="e">
        <f>AND(Bills!S187,"AAAAAG/+55Q=")</f>
        <v>#VALUE!</v>
      </c>
      <c r="ET69" t="e">
        <f>AND(Bills!T187,"AAAAAG/+55U=")</f>
        <v>#VALUE!</v>
      </c>
      <c r="EU69" t="e">
        <f>AND(Bills!#REF!,"AAAAAG/+55Y=")</f>
        <v>#REF!</v>
      </c>
      <c r="EV69" t="e">
        <f>AND(Bills!U187,"AAAAAG/+55c=")</f>
        <v>#VALUE!</v>
      </c>
      <c r="EW69" t="e">
        <f>AND(Bills!V187,"AAAAAG/+55g=")</f>
        <v>#VALUE!</v>
      </c>
      <c r="EX69" t="e">
        <f>AND(Bills!W187,"AAAAAG/+55k=")</f>
        <v>#VALUE!</v>
      </c>
      <c r="EY69" t="e">
        <f>AND(Bills!#REF!,"AAAAAG/+55o=")</f>
        <v>#REF!</v>
      </c>
      <c r="EZ69" t="e">
        <f>AND(Bills!#REF!,"AAAAAG/+55s=")</f>
        <v>#REF!</v>
      </c>
      <c r="FA69" t="e">
        <f>AND(Bills!Y187,"AAAAAG/+55w=")</f>
        <v>#VALUE!</v>
      </c>
      <c r="FB69" t="e">
        <f>AND(Bills!Z187,"AAAAAG/+550=")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AND(Bills!AA187,"AAAAAG/+56c=")</f>
        <v>#VALUE!</v>
      </c>
      <c r="FM69" t="e">
        <f>AND(Bills!AB187,"AAAAAG/+56g=")</f>
        <v>#VALUE!</v>
      </c>
      <c r="FN69" t="e">
        <f>AND(Bills!#REF!,"AAAAAG/+56k=")</f>
        <v>#REF!</v>
      </c>
      <c r="FO69" t="e">
        <f>AND(Bills!#REF!,"AAAAAG/+56o=")</f>
        <v>#REF!</v>
      </c>
      <c r="FP69" t="e">
        <f>AND(Bills!#REF!,"AAAAAG/+56s=")</f>
        <v>#REF!</v>
      </c>
      <c r="FQ69" t="e">
        <f>AND(Bills!AC187,"AAAAAG/+56w=")</f>
        <v>#VALUE!</v>
      </c>
      <c r="FR69" t="e">
        <f>AND(Bills!AD187,"AAAAAG/+560=")</f>
        <v>#VALUE!</v>
      </c>
      <c r="FS69" t="e">
        <f>AND(Bills!#REF!,"AAAAAG/+564=")</f>
        <v>#REF!</v>
      </c>
      <c r="FT69">
        <f>IF(Bills!188:188,"AAAAAG/+568=",0)</f>
        <v>0</v>
      </c>
      <c r="FU69" t="e">
        <f>AND(Bills!B188,"AAAAAG/+57A=")</f>
        <v>#VALUE!</v>
      </c>
      <c r="FV69" t="e">
        <f>AND(Bills!#REF!,"AAAAAG/+57E=")</f>
        <v>#REF!</v>
      </c>
      <c r="FW69" t="e">
        <f>AND(Bills!C188,"AAAAAG/+57I=")</f>
        <v>#VALUE!</v>
      </c>
      <c r="FX69" t="e">
        <f>AND(Bills!D188,"AAAAAG/+57M=")</f>
        <v>#VALUE!</v>
      </c>
      <c r="FY69" t="e">
        <f>AND(Bills!E188,"AAAAAG/+57Q=")</f>
        <v>#VALUE!</v>
      </c>
      <c r="FZ69" t="e">
        <f>AND(Bills!#REF!,"AAAAAG/+57U=")</f>
        <v>#REF!</v>
      </c>
      <c r="GA69" t="e">
        <f>AND(Bills!#REF!,"AAAAAG/+57Y=")</f>
        <v>#REF!</v>
      </c>
      <c r="GB69" t="e">
        <f>AND(Bills!#REF!,"AAAAAG/+57c=")</f>
        <v>#REF!</v>
      </c>
      <c r="GC69" t="e">
        <f>AND(Bills!F188,"AAAAAG/+57g=")</f>
        <v>#VALUE!</v>
      </c>
      <c r="GD69" t="e">
        <f>AND(Bills!#REF!,"AAAAAG/+57k=")</f>
        <v>#REF!</v>
      </c>
      <c r="GE69" t="e">
        <f>AND(Bills!G188,"AAAAAG/+57o=")</f>
        <v>#VALUE!</v>
      </c>
      <c r="GF69" t="e">
        <f>AND(Bills!H188,"AAAAAG/+57s=")</f>
        <v>#VALUE!</v>
      </c>
      <c r="GG69" t="e">
        <f>AND(Bills!I188,"AAAAAG/+57w=")</f>
        <v>#VALUE!</v>
      </c>
      <c r="GH69" t="e">
        <f>AND(Bills!J188,"AAAAAG/+570=")</f>
        <v>#VALUE!</v>
      </c>
      <c r="GI69" t="e">
        <f>AND(Bills!K188,"AAAAAG/+574=")</f>
        <v>#VALUE!</v>
      </c>
      <c r="GJ69" t="e">
        <f>AND(Bills!L188,"AAAAAG/+578=")</f>
        <v>#VALUE!</v>
      </c>
      <c r="GK69" t="e">
        <f>AND(Bills!#REF!,"AAAAAG/+58A=")</f>
        <v>#REF!</v>
      </c>
      <c r="GL69" t="e">
        <f>AND(Bills!M188,"AAAAAG/+58E=")</f>
        <v>#VALUE!</v>
      </c>
      <c r="GM69" t="e">
        <f>AND(Bills!N188,"AAAAAG/+58I=")</f>
        <v>#VALUE!</v>
      </c>
      <c r="GN69" t="e">
        <f>AND(Bills!O188,"AAAAAG/+58M=")</f>
        <v>#VALUE!</v>
      </c>
      <c r="GO69" t="e">
        <f>AND(Bills!P188,"AAAAAG/+58Q=")</f>
        <v>#VALUE!</v>
      </c>
      <c r="GP69" t="e">
        <f>AND(Bills!Q188,"AAAAAG/+58U=")</f>
        <v>#VALUE!</v>
      </c>
      <c r="GQ69" t="e">
        <f>AND(Bills!R188,"AAAAAG/+58Y=")</f>
        <v>#VALUE!</v>
      </c>
      <c r="GR69" t="e">
        <f>AND(Bills!S188,"AAAAAG/+58c=")</f>
        <v>#VALUE!</v>
      </c>
      <c r="GS69" t="e">
        <f>AND(Bills!T188,"AAAAAG/+58g=")</f>
        <v>#VALUE!</v>
      </c>
      <c r="GT69" t="e">
        <f>AND(Bills!#REF!,"AAAAAG/+58k=")</f>
        <v>#REF!</v>
      </c>
      <c r="GU69" t="e">
        <f>AND(Bills!U188,"AAAAAG/+58o=")</f>
        <v>#VALUE!</v>
      </c>
      <c r="GV69" t="e">
        <f>AND(Bills!V188,"AAAAAG/+58s=")</f>
        <v>#VALUE!</v>
      </c>
      <c r="GW69" t="e">
        <f>AND(Bills!W188,"AAAAAG/+58w=")</f>
        <v>#VALUE!</v>
      </c>
      <c r="GX69" t="e">
        <f>AND(Bills!#REF!,"AAAAAG/+580=")</f>
        <v>#REF!</v>
      </c>
      <c r="GY69" t="e">
        <f>AND(Bills!#REF!,"AAAAAG/+584=")</f>
        <v>#REF!</v>
      </c>
      <c r="GZ69" t="e">
        <f>AND(Bills!Y188,"AAAAAG/+588=")</f>
        <v>#VALUE!</v>
      </c>
      <c r="HA69" t="e">
        <f>AND(Bills!Z188,"AAAAAG/+59A=")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AND(Bills!AA188,"AAAAAG/+59o=")</f>
        <v>#VALUE!</v>
      </c>
      <c r="HL69" t="e">
        <f>AND(Bills!AB188,"AAAAAG/+59s=")</f>
        <v>#VALUE!</v>
      </c>
      <c r="HM69" t="e">
        <f>AND(Bills!#REF!,"AAAAAG/+59w=")</f>
        <v>#REF!</v>
      </c>
      <c r="HN69" t="e">
        <f>AND(Bills!#REF!,"AAAAAG/+590=")</f>
        <v>#REF!</v>
      </c>
      <c r="HO69" t="e">
        <f>AND(Bills!#REF!,"AAAAAG/+594=")</f>
        <v>#REF!</v>
      </c>
      <c r="HP69" t="e">
        <f>AND(Bills!AC188,"AAAAAG/+598=")</f>
        <v>#VALUE!</v>
      </c>
      <c r="HQ69" t="e">
        <f>AND(Bills!AD188,"AAAAAG/+5+A=")</f>
        <v>#VALUE!</v>
      </c>
      <c r="HR69" t="e">
        <f>AND(Bills!#REF!,"AAAAAG/+5+E=")</f>
        <v>#REF!</v>
      </c>
      <c r="HS69">
        <f>IF(Bills!189:189,"AAAAAG/+5+I=",0)</f>
        <v>0</v>
      </c>
      <c r="HT69" t="e">
        <f>AND(Bills!B189,"AAAAAG/+5+M=")</f>
        <v>#VALUE!</v>
      </c>
      <c r="HU69" t="e">
        <f>AND(Bills!#REF!,"AAAAAG/+5+Q=")</f>
        <v>#REF!</v>
      </c>
      <c r="HV69" t="e">
        <f>AND(Bills!C189,"AAAAAG/+5+U=")</f>
        <v>#VALUE!</v>
      </c>
      <c r="HW69" t="e">
        <f>AND(Bills!D189,"AAAAAG/+5+Y=")</f>
        <v>#VALUE!</v>
      </c>
      <c r="HX69" t="e">
        <f>AND(Bills!E189,"AAAAAG/+5+c=")</f>
        <v>#VALUE!</v>
      </c>
      <c r="HY69" t="e">
        <f>AND(Bills!#REF!,"AAAAAG/+5+g=")</f>
        <v>#REF!</v>
      </c>
      <c r="HZ69" t="e">
        <f>AND(Bills!#REF!,"AAAAAG/+5+k=")</f>
        <v>#REF!</v>
      </c>
      <c r="IA69" t="e">
        <f>AND(Bills!#REF!,"AAAAAG/+5+o=")</f>
        <v>#REF!</v>
      </c>
      <c r="IB69" t="e">
        <f>AND(Bills!F189,"AAAAAG/+5+s=")</f>
        <v>#VALUE!</v>
      </c>
      <c r="IC69" t="e">
        <f>AND(Bills!#REF!,"AAAAAG/+5+w=")</f>
        <v>#REF!</v>
      </c>
      <c r="ID69" t="e">
        <f>AND(Bills!G189,"AAAAAG/+5+0=")</f>
        <v>#VALUE!</v>
      </c>
      <c r="IE69" t="e">
        <f>AND(Bills!H189,"AAAAAG/+5+4=")</f>
        <v>#VALUE!</v>
      </c>
      <c r="IF69" t="e">
        <f>AND(Bills!I189,"AAAAAG/+5+8=")</f>
        <v>#VALUE!</v>
      </c>
      <c r="IG69" t="e">
        <f>AND(Bills!J189,"AAAAAG/+5/A=")</f>
        <v>#VALUE!</v>
      </c>
      <c r="IH69" t="e">
        <f>AND(Bills!K189,"AAAAAG/+5/E=")</f>
        <v>#VALUE!</v>
      </c>
      <c r="II69" t="e">
        <f>AND(Bills!L189,"AAAAAG/+5/I=")</f>
        <v>#VALUE!</v>
      </c>
      <c r="IJ69" t="e">
        <f>AND(Bills!#REF!,"AAAAAG/+5/M=")</f>
        <v>#REF!</v>
      </c>
      <c r="IK69" t="e">
        <f>AND(Bills!M189,"AAAAAG/+5/Q=")</f>
        <v>#VALUE!</v>
      </c>
      <c r="IL69" t="e">
        <f>AND(Bills!N189,"AAAAAG/+5/U=")</f>
        <v>#VALUE!</v>
      </c>
      <c r="IM69" t="e">
        <f>AND(Bills!O189,"AAAAAG/+5/Y=")</f>
        <v>#VALUE!</v>
      </c>
      <c r="IN69" t="e">
        <f>AND(Bills!P189,"AAAAAG/+5/c=")</f>
        <v>#VALUE!</v>
      </c>
      <c r="IO69" t="e">
        <f>AND(Bills!Q189,"AAAAAG/+5/g=")</f>
        <v>#VALUE!</v>
      </c>
      <c r="IP69" t="e">
        <f>AND(Bills!R189,"AAAAAG/+5/k=")</f>
        <v>#VALUE!</v>
      </c>
      <c r="IQ69" t="e">
        <f>AND(Bills!S189,"AAAAAG/+5/o=")</f>
        <v>#VALUE!</v>
      </c>
      <c r="IR69" t="e">
        <f>AND(Bills!T189,"AAAAAG/+5/s=")</f>
        <v>#VALUE!</v>
      </c>
      <c r="IS69" t="e">
        <f>AND(Bills!#REF!,"AAAAAG/+5/w=")</f>
        <v>#REF!</v>
      </c>
      <c r="IT69" t="e">
        <f>AND(Bills!U189,"AAAAAG/+5/0=")</f>
        <v>#VALUE!</v>
      </c>
      <c r="IU69" t="e">
        <f>AND(Bills!V189,"AAAAAG/+5/4=")</f>
        <v>#VALUE!</v>
      </c>
      <c r="IV69" t="e">
        <f>AND(Bills!W189,"AAAAAG/+5/8=")</f>
        <v>#VALUE!</v>
      </c>
    </row>
    <row r="70" spans="1:256">
      <c r="A70" t="e">
        <f>AND(Bills!#REF!,"AAAAAGOf3QA=")</f>
        <v>#REF!</v>
      </c>
      <c r="B70" t="e">
        <f>AND(Bills!#REF!,"AAAAAGOf3QE=")</f>
        <v>#REF!</v>
      </c>
      <c r="C70" t="e">
        <f>AND(Bills!Y189,"AAAAAGOf3QI=")</f>
        <v>#VALUE!</v>
      </c>
      <c r="D70" t="e">
        <f>AND(Bills!Z189,"AAAAAGOf3QM=")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AND(Bills!AA189,"AAAAAGOf3Q0=")</f>
        <v>#VALUE!</v>
      </c>
      <c r="O70" t="e">
        <f>AND(Bills!AB189,"AAAAAGOf3Q4=")</f>
        <v>#VALUE!</v>
      </c>
      <c r="P70" t="e">
        <f>AND(Bills!#REF!,"AAAAAGOf3Q8=")</f>
        <v>#REF!</v>
      </c>
      <c r="Q70" t="e">
        <f>AND(Bills!#REF!,"AAAAAGOf3RA=")</f>
        <v>#REF!</v>
      </c>
      <c r="R70" t="e">
        <f>AND(Bills!#REF!,"AAAAAGOf3RE=")</f>
        <v>#REF!</v>
      </c>
      <c r="S70" t="e">
        <f>AND(Bills!AC189,"AAAAAGOf3RI=")</f>
        <v>#VALUE!</v>
      </c>
      <c r="T70" t="e">
        <f>AND(Bills!AD189,"AAAAAGOf3RM=")</f>
        <v>#VALUE!</v>
      </c>
      <c r="U70" t="e">
        <f>AND(Bills!#REF!,"AAAAAGOf3RQ=")</f>
        <v>#REF!</v>
      </c>
      <c r="V70">
        <f>IF(Bills!190:190,"AAAAAGOf3RU=",0)</f>
        <v>0</v>
      </c>
      <c r="W70" t="e">
        <f>AND(Bills!B190,"AAAAAGOf3RY=")</f>
        <v>#VALUE!</v>
      </c>
      <c r="X70" t="e">
        <f>AND(Bills!#REF!,"AAAAAGOf3Rc=")</f>
        <v>#REF!</v>
      </c>
      <c r="Y70" t="e">
        <f>AND(Bills!C190,"AAAAAGOf3Rg=")</f>
        <v>#VALUE!</v>
      </c>
      <c r="Z70" t="e">
        <f>AND(Bills!D190,"AAAAAGOf3Rk=")</f>
        <v>#VALUE!</v>
      </c>
      <c r="AA70" t="e">
        <f>AND(Bills!E190,"AAAAAGOf3Ro=")</f>
        <v>#VALUE!</v>
      </c>
      <c r="AB70" t="e">
        <f>AND(Bills!#REF!,"AAAAAGOf3Rs=")</f>
        <v>#REF!</v>
      </c>
      <c r="AC70" t="e">
        <f>AND(Bills!#REF!,"AAAAAGOf3Rw=")</f>
        <v>#REF!</v>
      </c>
      <c r="AD70" t="e">
        <f>AND(Bills!#REF!,"AAAAAGOf3R0=")</f>
        <v>#REF!</v>
      </c>
      <c r="AE70" t="e">
        <f>AND(Bills!F190,"AAAAAGOf3R4=")</f>
        <v>#VALUE!</v>
      </c>
      <c r="AF70" t="e">
        <f>AND(Bills!#REF!,"AAAAAGOf3R8=")</f>
        <v>#REF!</v>
      </c>
      <c r="AG70" t="e">
        <f>AND(Bills!G190,"AAAAAGOf3SA=")</f>
        <v>#VALUE!</v>
      </c>
      <c r="AH70" t="e">
        <f>AND(Bills!H190,"AAAAAGOf3SE=")</f>
        <v>#VALUE!</v>
      </c>
      <c r="AI70" t="e">
        <f>AND(Bills!I190,"AAAAAGOf3SI=")</f>
        <v>#VALUE!</v>
      </c>
      <c r="AJ70" t="e">
        <f>AND(Bills!J190,"AAAAAGOf3SM=")</f>
        <v>#VALUE!</v>
      </c>
      <c r="AK70" t="e">
        <f>AND(Bills!K190,"AAAAAGOf3SQ=")</f>
        <v>#VALUE!</v>
      </c>
      <c r="AL70" t="e">
        <f>AND(Bills!L190,"AAAAAGOf3SU=")</f>
        <v>#VALUE!</v>
      </c>
      <c r="AM70" t="e">
        <f>AND(Bills!#REF!,"AAAAAGOf3SY=")</f>
        <v>#REF!</v>
      </c>
      <c r="AN70" t="e">
        <f>AND(Bills!M190,"AAAAAGOf3Sc=")</f>
        <v>#VALUE!</v>
      </c>
      <c r="AO70" t="e">
        <f>AND(Bills!N190,"AAAAAGOf3Sg=")</f>
        <v>#VALUE!</v>
      </c>
      <c r="AP70" t="e">
        <f>AND(Bills!O190,"AAAAAGOf3Sk=")</f>
        <v>#VALUE!</v>
      </c>
      <c r="AQ70" t="e">
        <f>AND(Bills!P190,"AAAAAGOf3So=")</f>
        <v>#VALUE!</v>
      </c>
      <c r="AR70" t="e">
        <f>AND(Bills!Q190,"AAAAAGOf3Ss=")</f>
        <v>#VALUE!</v>
      </c>
      <c r="AS70" t="e">
        <f>AND(Bills!R190,"AAAAAGOf3Sw=")</f>
        <v>#VALUE!</v>
      </c>
      <c r="AT70" t="e">
        <f>AND(Bills!S190,"AAAAAGOf3S0=")</f>
        <v>#VALUE!</v>
      </c>
      <c r="AU70" t="e">
        <f>AND(Bills!T190,"AAAAAGOf3S4=")</f>
        <v>#VALUE!</v>
      </c>
      <c r="AV70" t="e">
        <f>AND(Bills!#REF!,"AAAAAGOf3S8=")</f>
        <v>#REF!</v>
      </c>
      <c r="AW70" t="e">
        <f>AND(Bills!U190,"AAAAAGOf3TA=")</f>
        <v>#VALUE!</v>
      </c>
      <c r="AX70" t="e">
        <f>AND(Bills!V190,"AAAAAGOf3TE=")</f>
        <v>#VALUE!</v>
      </c>
      <c r="AY70" t="e">
        <f>AND(Bills!W190,"AAAAAGOf3TI=")</f>
        <v>#VALUE!</v>
      </c>
      <c r="AZ70" t="e">
        <f>AND(Bills!#REF!,"AAAAAGOf3TM=")</f>
        <v>#REF!</v>
      </c>
      <c r="BA70" t="e">
        <f>AND(Bills!#REF!,"AAAAAGOf3TQ=")</f>
        <v>#REF!</v>
      </c>
      <c r="BB70" t="e">
        <f>AND(Bills!Y190,"AAAAAGOf3TU=")</f>
        <v>#VALUE!</v>
      </c>
      <c r="BC70" t="e">
        <f>AND(Bills!Z190,"AAAAAGOf3TY=")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AND(Bills!AA190,"AAAAAGOf3UA=")</f>
        <v>#VALUE!</v>
      </c>
      <c r="BN70" t="e">
        <f>AND(Bills!AB190,"AAAAAGOf3UE=")</f>
        <v>#VALUE!</v>
      </c>
      <c r="BO70" t="e">
        <f>AND(Bills!#REF!,"AAAAAGOf3UI=")</f>
        <v>#REF!</v>
      </c>
      <c r="BP70" t="e">
        <f>AND(Bills!#REF!,"AAAAAGOf3UM=")</f>
        <v>#REF!</v>
      </c>
      <c r="BQ70" t="e">
        <f>AND(Bills!#REF!,"AAAAAGOf3UQ=")</f>
        <v>#REF!</v>
      </c>
      <c r="BR70" t="e">
        <f>AND(Bills!AC190,"AAAAAGOf3UU=")</f>
        <v>#VALUE!</v>
      </c>
      <c r="BS70" t="e">
        <f>AND(Bills!AD190,"AAAAAGOf3UY=")</f>
        <v>#VALUE!</v>
      </c>
      <c r="BT70" t="e">
        <f>AND(Bills!#REF!,"AAAAAGOf3Uc=")</f>
        <v>#REF!</v>
      </c>
      <c r="BU70">
        <f>IF(Bills!191:191,"AAAAAGOf3Ug=",0)</f>
        <v>0</v>
      </c>
      <c r="BV70" t="e">
        <f>AND(Bills!B191,"AAAAAGOf3Uk=")</f>
        <v>#VALUE!</v>
      </c>
      <c r="BW70" t="e">
        <f>AND(Bills!#REF!,"AAAAAGOf3Uo=")</f>
        <v>#REF!</v>
      </c>
      <c r="BX70" t="e">
        <f>AND(Bills!C191,"AAAAAGOf3Us=")</f>
        <v>#VALUE!</v>
      </c>
      <c r="BY70" t="e">
        <f>AND(Bills!D191,"AAAAAGOf3Uw=")</f>
        <v>#VALUE!</v>
      </c>
      <c r="BZ70" t="e">
        <f>AND(Bills!E191,"AAAAAGOf3U0=")</f>
        <v>#VALUE!</v>
      </c>
      <c r="CA70" t="e">
        <f>AND(Bills!#REF!,"AAAAAGOf3U4=")</f>
        <v>#REF!</v>
      </c>
      <c r="CB70" t="e">
        <f>AND(Bills!#REF!,"AAAAAGOf3U8=")</f>
        <v>#REF!</v>
      </c>
      <c r="CC70" t="e">
        <f>AND(Bills!#REF!,"AAAAAGOf3VA=")</f>
        <v>#REF!</v>
      </c>
      <c r="CD70" t="e">
        <f>AND(Bills!F191,"AAAAAGOf3VE=")</f>
        <v>#VALUE!</v>
      </c>
      <c r="CE70" t="e">
        <f>AND(Bills!#REF!,"AAAAAGOf3VI=")</f>
        <v>#REF!</v>
      </c>
      <c r="CF70" t="e">
        <f>AND(Bills!G191,"AAAAAGOf3VM=")</f>
        <v>#VALUE!</v>
      </c>
      <c r="CG70" t="e">
        <f>AND(Bills!H191,"AAAAAGOf3VQ=")</f>
        <v>#VALUE!</v>
      </c>
      <c r="CH70" t="e">
        <f>AND(Bills!I191,"AAAAAGOf3VU=")</f>
        <v>#VALUE!</v>
      </c>
      <c r="CI70" t="e">
        <f>AND(Bills!J191,"AAAAAGOf3VY=")</f>
        <v>#VALUE!</v>
      </c>
      <c r="CJ70" t="e">
        <f>AND(Bills!K191,"AAAAAGOf3Vc=")</f>
        <v>#VALUE!</v>
      </c>
      <c r="CK70" t="e">
        <f>AND(Bills!L191,"AAAAAGOf3Vg=")</f>
        <v>#VALUE!</v>
      </c>
      <c r="CL70" t="e">
        <f>AND(Bills!#REF!,"AAAAAGOf3Vk=")</f>
        <v>#REF!</v>
      </c>
      <c r="CM70" t="e">
        <f>AND(Bills!M191,"AAAAAGOf3Vo=")</f>
        <v>#VALUE!</v>
      </c>
      <c r="CN70" t="e">
        <f>AND(Bills!N191,"AAAAAGOf3Vs=")</f>
        <v>#VALUE!</v>
      </c>
      <c r="CO70" t="e">
        <f>AND(Bills!O191,"AAAAAGOf3Vw=")</f>
        <v>#VALUE!</v>
      </c>
      <c r="CP70" t="e">
        <f>AND(Bills!P191,"AAAAAGOf3V0=")</f>
        <v>#VALUE!</v>
      </c>
      <c r="CQ70" t="e">
        <f>AND(Bills!Q191,"AAAAAGOf3V4=")</f>
        <v>#VALUE!</v>
      </c>
      <c r="CR70" t="e">
        <f>AND(Bills!R191,"AAAAAGOf3V8=")</f>
        <v>#VALUE!</v>
      </c>
      <c r="CS70" t="e">
        <f>AND(Bills!S191,"AAAAAGOf3WA=")</f>
        <v>#VALUE!</v>
      </c>
      <c r="CT70" t="e">
        <f>AND(Bills!T191,"AAAAAGOf3WE=")</f>
        <v>#VALUE!</v>
      </c>
      <c r="CU70" t="e">
        <f>AND(Bills!#REF!,"AAAAAGOf3WI=")</f>
        <v>#REF!</v>
      </c>
      <c r="CV70" t="e">
        <f>AND(Bills!U191,"AAAAAGOf3WM=")</f>
        <v>#VALUE!</v>
      </c>
      <c r="CW70" t="e">
        <f>AND(Bills!V191,"AAAAAGOf3WQ=")</f>
        <v>#VALUE!</v>
      </c>
      <c r="CX70" t="e">
        <f>AND(Bills!W191,"AAAAAGOf3WU=")</f>
        <v>#VALUE!</v>
      </c>
      <c r="CY70" t="e">
        <f>AND(Bills!#REF!,"AAAAAGOf3WY=")</f>
        <v>#REF!</v>
      </c>
      <c r="CZ70" t="e">
        <f>AND(Bills!#REF!,"AAAAAGOf3Wc=")</f>
        <v>#REF!</v>
      </c>
      <c r="DA70" t="e">
        <f>AND(Bills!Y191,"AAAAAGOf3Wg=")</f>
        <v>#VALUE!</v>
      </c>
      <c r="DB70" t="e">
        <f>AND(Bills!Z191,"AAAAAGOf3Wk=")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AND(Bills!AA191,"AAAAAGOf3XM=")</f>
        <v>#VALUE!</v>
      </c>
      <c r="DM70" t="e">
        <f>AND(Bills!AB191,"AAAAAGOf3XQ=")</f>
        <v>#VALUE!</v>
      </c>
      <c r="DN70" t="e">
        <f>AND(Bills!#REF!,"AAAAAGOf3XU=")</f>
        <v>#REF!</v>
      </c>
      <c r="DO70" t="e">
        <f>AND(Bills!#REF!,"AAAAAGOf3XY=")</f>
        <v>#REF!</v>
      </c>
      <c r="DP70" t="e">
        <f>AND(Bills!#REF!,"AAAAAGOf3Xc=")</f>
        <v>#REF!</v>
      </c>
      <c r="DQ70" t="e">
        <f>AND(Bills!AC191,"AAAAAGOf3Xg=")</f>
        <v>#VALUE!</v>
      </c>
      <c r="DR70" t="e">
        <f>AND(Bills!AD191,"AAAAAGOf3Xk=")</f>
        <v>#VALUE!</v>
      </c>
      <c r="DS70" t="e">
        <f>AND(Bills!#REF!,"AAAAAGOf3Xo=")</f>
        <v>#REF!</v>
      </c>
      <c r="DT70">
        <f>IF(Bills!192:192,"AAAAAGOf3Xs=",0)</f>
        <v>0</v>
      </c>
      <c r="DU70" t="e">
        <f>AND(Bills!B192,"AAAAAGOf3Xw=")</f>
        <v>#VALUE!</v>
      </c>
      <c r="DV70" t="e">
        <f>AND(Bills!#REF!,"AAAAAGOf3X0=")</f>
        <v>#REF!</v>
      </c>
      <c r="DW70" t="e">
        <f>AND(Bills!C192,"AAAAAGOf3X4=")</f>
        <v>#VALUE!</v>
      </c>
      <c r="DX70" t="e">
        <f>AND(Bills!D192,"AAAAAGOf3X8=")</f>
        <v>#VALUE!</v>
      </c>
      <c r="DY70" t="e">
        <f>AND(Bills!E192,"AAAAAGOf3YA=")</f>
        <v>#VALUE!</v>
      </c>
      <c r="DZ70" t="e">
        <f>AND(Bills!#REF!,"AAAAAGOf3YE=")</f>
        <v>#REF!</v>
      </c>
      <c r="EA70" t="e">
        <f>AND(Bills!#REF!,"AAAAAGOf3YI=")</f>
        <v>#REF!</v>
      </c>
      <c r="EB70" t="e">
        <f>AND(Bills!#REF!,"AAAAAGOf3YM=")</f>
        <v>#REF!</v>
      </c>
      <c r="EC70" t="e">
        <f>AND(Bills!F192,"AAAAAGOf3YQ=")</f>
        <v>#VALUE!</v>
      </c>
      <c r="ED70" t="e">
        <f>AND(Bills!#REF!,"AAAAAGOf3YU=")</f>
        <v>#REF!</v>
      </c>
      <c r="EE70" t="e">
        <f>AND(Bills!G192,"AAAAAGOf3YY=")</f>
        <v>#VALUE!</v>
      </c>
      <c r="EF70" t="e">
        <f>AND(Bills!H192,"AAAAAGOf3Yc=")</f>
        <v>#VALUE!</v>
      </c>
      <c r="EG70" t="e">
        <f>AND(Bills!I192,"AAAAAGOf3Yg=")</f>
        <v>#VALUE!</v>
      </c>
      <c r="EH70" t="e">
        <f>AND(Bills!J192,"AAAAAGOf3Yk=")</f>
        <v>#VALUE!</v>
      </c>
      <c r="EI70" t="e">
        <f>AND(Bills!K192,"AAAAAGOf3Yo=")</f>
        <v>#VALUE!</v>
      </c>
      <c r="EJ70" t="e">
        <f>AND(Bills!L192,"AAAAAGOf3Ys=")</f>
        <v>#VALUE!</v>
      </c>
      <c r="EK70" t="e">
        <f>AND(Bills!#REF!,"AAAAAGOf3Yw=")</f>
        <v>#REF!</v>
      </c>
      <c r="EL70" t="e">
        <f>AND(Bills!M192,"AAAAAGOf3Y0=")</f>
        <v>#VALUE!</v>
      </c>
      <c r="EM70" t="e">
        <f>AND(Bills!N192,"AAAAAGOf3Y4=")</f>
        <v>#VALUE!</v>
      </c>
      <c r="EN70" t="e">
        <f>AND(Bills!O192,"AAAAAGOf3Y8=")</f>
        <v>#VALUE!</v>
      </c>
      <c r="EO70" t="e">
        <f>AND(Bills!P192,"AAAAAGOf3ZA=")</f>
        <v>#VALUE!</v>
      </c>
      <c r="EP70" t="e">
        <f>AND(Bills!Q192,"AAAAAGOf3ZE=")</f>
        <v>#VALUE!</v>
      </c>
      <c r="EQ70" t="e">
        <f>AND(Bills!R192,"AAAAAGOf3ZI=")</f>
        <v>#VALUE!</v>
      </c>
      <c r="ER70" t="e">
        <f>AND(Bills!S192,"AAAAAGOf3ZM=")</f>
        <v>#VALUE!</v>
      </c>
      <c r="ES70" t="e">
        <f>AND(Bills!T192,"AAAAAGOf3ZQ=")</f>
        <v>#VALUE!</v>
      </c>
      <c r="ET70" t="e">
        <f>AND(Bills!#REF!,"AAAAAGOf3ZU=")</f>
        <v>#REF!</v>
      </c>
      <c r="EU70" t="e">
        <f>AND(Bills!U192,"AAAAAGOf3ZY=")</f>
        <v>#VALUE!</v>
      </c>
      <c r="EV70" t="e">
        <f>AND(Bills!V192,"AAAAAGOf3Zc=")</f>
        <v>#VALUE!</v>
      </c>
      <c r="EW70" t="e">
        <f>AND(Bills!W192,"AAAAAGOf3Zg=")</f>
        <v>#VALUE!</v>
      </c>
      <c r="EX70" t="e">
        <f>AND(Bills!#REF!,"AAAAAGOf3Zk=")</f>
        <v>#REF!</v>
      </c>
      <c r="EY70" t="e">
        <f>AND(Bills!#REF!,"AAAAAGOf3Zo=")</f>
        <v>#REF!</v>
      </c>
      <c r="EZ70" t="e">
        <f>AND(Bills!Y192,"AAAAAGOf3Zs=")</f>
        <v>#VALUE!</v>
      </c>
      <c r="FA70" t="e">
        <f>AND(Bills!Z192,"AAAAAGOf3Zw=")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AND(Bills!AA192,"AAAAAGOf3aY=")</f>
        <v>#VALUE!</v>
      </c>
      <c r="FL70" t="e">
        <f>AND(Bills!AB192,"AAAAAGOf3ac=")</f>
        <v>#VALUE!</v>
      </c>
      <c r="FM70" t="e">
        <f>AND(Bills!#REF!,"AAAAAGOf3ag=")</f>
        <v>#REF!</v>
      </c>
      <c r="FN70" t="e">
        <f>AND(Bills!#REF!,"AAAAAGOf3ak=")</f>
        <v>#REF!</v>
      </c>
      <c r="FO70" t="e">
        <f>AND(Bills!#REF!,"AAAAAGOf3ao=")</f>
        <v>#REF!</v>
      </c>
      <c r="FP70" t="e">
        <f>AND(Bills!AC192,"AAAAAGOf3as=")</f>
        <v>#VALUE!</v>
      </c>
      <c r="FQ70" t="e">
        <f>AND(Bills!AD192,"AAAAAGOf3aw=")</f>
        <v>#VALUE!</v>
      </c>
      <c r="FR70" t="e">
        <f>AND(Bills!#REF!,"AAAAAGOf3a0=")</f>
        <v>#REF!</v>
      </c>
      <c r="FS70">
        <f>IF(Bills!193:193,"AAAAAGOf3a4=",0)</f>
        <v>0</v>
      </c>
      <c r="FT70" t="e">
        <f>AND(Bills!B193,"AAAAAGOf3a8=")</f>
        <v>#VALUE!</v>
      </c>
      <c r="FU70" t="e">
        <f>AND(Bills!#REF!,"AAAAAGOf3bA=")</f>
        <v>#REF!</v>
      </c>
      <c r="FV70" t="e">
        <f>AND(Bills!C193,"AAAAAGOf3bE=")</f>
        <v>#VALUE!</v>
      </c>
      <c r="FW70" t="e">
        <f>AND(Bills!D193,"AAAAAGOf3bI=")</f>
        <v>#VALUE!</v>
      </c>
      <c r="FX70" t="e">
        <f>AND(Bills!E193,"AAAAAGOf3bM=")</f>
        <v>#VALUE!</v>
      </c>
      <c r="FY70" t="e">
        <f>AND(Bills!#REF!,"AAAAAGOf3bQ=")</f>
        <v>#REF!</v>
      </c>
      <c r="FZ70" t="e">
        <f>AND(Bills!#REF!,"AAAAAGOf3bU=")</f>
        <v>#REF!</v>
      </c>
      <c r="GA70" t="e">
        <f>AND(Bills!#REF!,"AAAAAGOf3bY=")</f>
        <v>#REF!</v>
      </c>
      <c r="GB70" t="e">
        <f>AND(Bills!F193,"AAAAAGOf3bc=")</f>
        <v>#VALUE!</v>
      </c>
      <c r="GC70" t="e">
        <f>AND(Bills!#REF!,"AAAAAGOf3bg=")</f>
        <v>#REF!</v>
      </c>
      <c r="GD70" t="e">
        <f>AND(Bills!G193,"AAAAAGOf3bk=")</f>
        <v>#VALUE!</v>
      </c>
      <c r="GE70" t="e">
        <f>AND(Bills!H193,"AAAAAGOf3bo=")</f>
        <v>#VALUE!</v>
      </c>
      <c r="GF70" t="e">
        <f>AND(Bills!I193,"AAAAAGOf3bs=")</f>
        <v>#VALUE!</v>
      </c>
      <c r="GG70" t="e">
        <f>AND(Bills!J193,"AAAAAGOf3bw=")</f>
        <v>#VALUE!</v>
      </c>
      <c r="GH70" t="e">
        <f>AND(Bills!K193,"AAAAAGOf3b0=")</f>
        <v>#VALUE!</v>
      </c>
      <c r="GI70" t="e">
        <f>AND(Bills!L193,"AAAAAGOf3b4=")</f>
        <v>#VALUE!</v>
      </c>
      <c r="GJ70" t="e">
        <f>AND(Bills!#REF!,"AAAAAGOf3b8=")</f>
        <v>#REF!</v>
      </c>
      <c r="GK70" t="e">
        <f>AND(Bills!M193,"AAAAAGOf3cA=")</f>
        <v>#VALUE!</v>
      </c>
      <c r="GL70" t="e">
        <f>AND(Bills!N193,"AAAAAGOf3cE=")</f>
        <v>#VALUE!</v>
      </c>
      <c r="GM70" t="e">
        <f>AND(Bills!O193,"AAAAAGOf3cI=")</f>
        <v>#VALUE!</v>
      </c>
      <c r="GN70" t="e">
        <f>AND(Bills!P193,"AAAAAGOf3cM=")</f>
        <v>#VALUE!</v>
      </c>
      <c r="GO70" t="e">
        <f>AND(Bills!Q193,"AAAAAGOf3cQ=")</f>
        <v>#VALUE!</v>
      </c>
      <c r="GP70" t="e">
        <f>AND(Bills!R193,"AAAAAGOf3cU=")</f>
        <v>#VALUE!</v>
      </c>
      <c r="GQ70" t="e">
        <f>AND(Bills!S193,"AAAAAGOf3cY=")</f>
        <v>#VALUE!</v>
      </c>
      <c r="GR70" t="e">
        <f>AND(Bills!T193,"AAAAAGOf3cc=")</f>
        <v>#VALUE!</v>
      </c>
      <c r="GS70" t="e">
        <f>AND(Bills!#REF!,"AAAAAGOf3cg=")</f>
        <v>#REF!</v>
      </c>
      <c r="GT70" t="e">
        <f>AND(Bills!U193,"AAAAAGOf3ck=")</f>
        <v>#VALUE!</v>
      </c>
      <c r="GU70" t="e">
        <f>AND(Bills!V193,"AAAAAGOf3co=")</f>
        <v>#VALUE!</v>
      </c>
      <c r="GV70" t="e">
        <f>AND(Bills!W193,"AAAAAGOf3cs=")</f>
        <v>#VALUE!</v>
      </c>
      <c r="GW70" t="e">
        <f>AND(Bills!#REF!,"AAAAAGOf3cw=")</f>
        <v>#REF!</v>
      </c>
      <c r="GX70" t="e">
        <f>AND(Bills!#REF!,"AAAAAGOf3c0=")</f>
        <v>#REF!</v>
      </c>
      <c r="GY70" t="e">
        <f>AND(Bills!Y193,"AAAAAGOf3c4=")</f>
        <v>#VALUE!</v>
      </c>
      <c r="GZ70" t="e">
        <f>AND(Bills!Z193,"AAAAAGOf3c8=")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AND(Bills!AA193,"AAAAAGOf3dk=")</f>
        <v>#VALUE!</v>
      </c>
      <c r="HK70" t="e">
        <f>AND(Bills!AB193,"AAAAAGOf3do=")</f>
        <v>#VALUE!</v>
      </c>
      <c r="HL70" t="e">
        <f>AND(Bills!#REF!,"AAAAAGOf3ds=")</f>
        <v>#REF!</v>
      </c>
      <c r="HM70" t="e">
        <f>AND(Bills!#REF!,"AAAAAGOf3dw=")</f>
        <v>#REF!</v>
      </c>
      <c r="HN70" t="e">
        <f>AND(Bills!#REF!,"AAAAAGOf3d0=")</f>
        <v>#REF!</v>
      </c>
      <c r="HO70" t="e">
        <f>AND(Bills!AC193,"AAAAAGOf3d4=")</f>
        <v>#VALUE!</v>
      </c>
      <c r="HP70" t="e">
        <f>AND(Bills!AD193,"AAAAAGOf3d8=")</f>
        <v>#VALUE!</v>
      </c>
      <c r="HQ70" t="e">
        <f>AND(Bills!#REF!,"AAAAAGOf3eA=")</f>
        <v>#REF!</v>
      </c>
      <c r="HR70">
        <f>IF(Bills!194:194,"AAAAAGOf3eE=",0)</f>
        <v>0</v>
      </c>
      <c r="HS70" t="e">
        <f>AND(Bills!B194,"AAAAAGOf3eI=")</f>
        <v>#VALUE!</v>
      </c>
      <c r="HT70" t="e">
        <f>AND(Bills!#REF!,"AAAAAGOf3eM=")</f>
        <v>#REF!</v>
      </c>
      <c r="HU70" t="e">
        <f>AND(Bills!C194,"AAAAAGOf3eQ=")</f>
        <v>#VALUE!</v>
      </c>
      <c r="HV70" t="e">
        <f>AND(Bills!D194,"AAAAAGOf3eU=")</f>
        <v>#VALUE!</v>
      </c>
      <c r="HW70" t="e">
        <f>AND(Bills!E194,"AAAAAGOf3eY=")</f>
        <v>#VALUE!</v>
      </c>
      <c r="HX70" t="e">
        <f>AND(Bills!#REF!,"AAAAAGOf3ec=")</f>
        <v>#REF!</v>
      </c>
      <c r="HY70" t="e">
        <f>AND(Bills!#REF!,"AAAAAGOf3eg=")</f>
        <v>#REF!</v>
      </c>
      <c r="HZ70" t="e">
        <f>AND(Bills!#REF!,"AAAAAGOf3ek=")</f>
        <v>#REF!</v>
      </c>
      <c r="IA70" t="e">
        <f>AND(Bills!F194,"AAAAAGOf3eo=")</f>
        <v>#VALUE!</v>
      </c>
      <c r="IB70" t="e">
        <f>AND(Bills!#REF!,"AAAAAGOf3es=")</f>
        <v>#REF!</v>
      </c>
      <c r="IC70" t="e">
        <f>AND(Bills!G194,"AAAAAGOf3ew=")</f>
        <v>#VALUE!</v>
      </c>
      <c r="ID70" t="e">
        <f>AND(Bills!H194,"AAAAAGOf3e0=")</f>
        <v>#VALUE!</v>
      </c>
      <c r="IE70" t="e">
        <f>AND(Bills!I194,"AAAAAGOf3e4=")</f>
        <v>#VALUE!</v>
      </c>
      <c r="IF70" t="e">
        <f>AND(Bills!J194,"AAAAAGOf3e8=")</f>
        <v>#VALUE!</v>
      </c>
      <c r="IG70" t="e">
        <f>AND(Bills!K194,"AAAAAGOf3fA=")</f>
        <v>#VALUE!</v>
      </c>
      <c r="IH70" t="e">
        <f>AND(Bills!L194,"AAAAAGOf3fE=")</f>
        <v>#VALUE!</v>
      </c>
      <c r="II70" t="e">
        <f>AND(Bills!#REF!,"AAAAAGOf3fI=")</f>
        <v>#REF!</v>
      </c>
      <c r="IJ70" t="e">
        <f>AND(Bills!M194,"AAAAAGOf3fM=")</f>
        <v>#VALUE!</v>
      </c>
      <c r="IK70" t="e">
        <f>AND(Bills!N194,"AAAAAGOf3fQ=")</f>
        <v>#VALUE!</v>
      </c>
      <c r="IL70" t="e">
        <f>AND(Bills!O194,"AAAAAGOf3fU=")</f>
        <v>#VALUE!</v>
      </c>
      <c r="IM70" t="e">
        <f>AND(Bills!P194,"AAAAAGOf3fY=")</f>
        <v>#VALUE!</v>
      </c>
      <c r="IN70" t="e">
        <f>AND(Bills!Q194,"AAAAAGOf3fc=")</f>
        <v>#VALUE!</v>
      </c>
      <c r="IO70" t="e">
        <f>AND(Bills!R194,"AAAAAGOf3fg=")</f>
        <v>#VALUE!</v>
      </c>
      <c r="IP70" t="e">
        <f>AND(Bills!S194,"AAAAAGOf3fk=")</f>
        <v>#VALUE!</v>
      </c>
      <c r="IQ70" t="e">
        <f>AND(Bills!T194,"AAAAAGOf3fo=")</f>
        <v>#VALUE!</v>
      </c>
      <c r="IR70" t="e">
        <f>AND(Bills!#REF!,"AAAAAGOf3fs=")</f>
        <v>#REF!</v>
      </c>
      <c r="IS70" t="e">
        <f>AND(Bills!U194,"AAAAAGOf3fw=")</f>
        <v>#VALUE!</v>
      </c>
      <c r="IT70" t="e">
        <f>AND(Bills!V194,"AAAAAGOf3f0=")</f>
        <v>#VALUE!</v>
      </c>
      <c r="IU70" t="e">
        <f>AND(Bills!W194,"AAAAAGOf3f4=")</f>
        <v>#VALUE!</v>
      </c>
      <c r="IV70" t="e">
        <f>AND(Bills!#REF!,"AAAAAGOf3f8=")</f>
        <v>#REF!</v>
      </c>
    </row>
    <row r="71" spans="1:256">
      <c r="A71" t="e">
        <f>AND(Bills!#REF!,"AAAAAHxvvwA=")</f>
        <v>#REF!</v>
      </c>
      <c r="B71" t="e">
        <f>AND(Bills!Y194,"AAAAAHxvvwE=")</f>
        <v>#VALUE!</v>
      </c>
      <c r="C71" t="e">
        <f>AND(Bills!Z194,"AAAAAHxvvwI=")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AND(Bills!AA194,"AAAAAHxvvww=")</f>
        <v>#VALUE!</v>
      </c>
      <c r="N71" t="e">
        <f>AND(Bills!AB194,"AAAAAHxvvw0=")</f>
        <v>#VALUE!</v>
      </c>
      <c r="O71" t="e">
        <f>AND(Bills!#REF!,"AAAAAHxvvw4=")</f>
        <v>#REF!</v>
      </c>
      <c r="P71" t="e">
        <f>AND(Bills!#REF!,"AAAAAHxvvw8=")</f>
        <v>#REF!</v>
      </c>
      <c r="Q71" t="e">
        <f>AND(Bills!#REF!,"AAAAAHxvvxA=")</f>
        <v>#REF!</v>
      </c>
      <c r="R71" t="e">
        <f>AND(Bills!AC194,"AAAAAHxvvxE=")</f>
        <v>#VALUE!</v>
      </c>
      <c r="S71" t="e">
        <f>AND(Bills!AD194,"AAAAAHxvvxI=")</f>
        <v>#VALUE!</v>
      </c>
      <c r="T71" t="e">
        <f>AND(Bills!#REF!,"AAAAAHxvvxM=")</f>
        <v>#REF!</v>
      </c>
      <c r="U71">
        <f>IF(Bills!195:195,"AAAAAHxvvxQ=",0)</f>
        <v>0</v>
      </c>
      <c r="V71" t="e">
        <f>AND(Bills!B195,"AAAAAHxvvxU=")</f>
        <v>#VALUE!</v>
      </c>
      <c r="W71" t="e">
        <f>AND(Bills!#REF!,"AAAAAHxvvxY=")</f>
        <v>#REF!</v>
      </c>
      <c r="X71" t="e">
        <f>AND(Bills!C195,"AAAAAHxvvxc=")</f>
        <v>#VALUE!</v>
      </c>
      <c r="Y71" t="e">
        <f>AND(Bills!D195,"AAAAAHxvvxg=")</f>
        <v>#VALUE!</v>
      </c>
      <c r="Z71" t="e">
        <f>AND(Bills!E195,"AAAAAHxvvxk=")</f>
        <v>#VALUE!</v>
      </c>
      <c r="AA71" t="e">
        <f>AND(Bills!#REF!,"AAAAAHxvvxo=")</f>
        <v>#REF!</v>
      </c>
      <c r="AB71" t="e">
        <f>AND(Bills!#REF!,"AAAAAHxvvxs=")</f>
        <v>#REF!</v>
      </c>
      <c r="AC71" t="e">
        <f>AND(Bills!#REF!,"AAAAAHxvvxw=")</f>
        <v>#REF!</v>
      </c>
      <c r="AD71" t="e">
        <f>AND(Bills!F195,"AAAAAHxvvx0=")</f>
        <v>#VALUE!</v>
      </c>
      <c r="AE71" t="e">
        <f>AND(Bills!#REF!,"AAAAAHxvvx4=")</f>
        <v>#REF!</v>
      </c>
      <c r="AF71" t="e">
        <f>AND(Bills!G195,"AAAAAHxvvx8=")</f>
        <v>#VALUE!</v>
      </c>
      <c r="AG71" t="e">
        <f>AND(Bills!H195,"AAAAAHxvvyA=")</f>
        <v>#VALUE!</v>
      </c>
      <c r="AH71" t="e">
        <f>AND(Bills!I195,"AAAAAHxvvyE=")</f>
        <v>#VALUE!</v>
      </c>
      <c r="AI71" t="e">
        <f>AND(Bills!J195,"AAAAAHxvvyI=")</f>
        <v>#VALUE!</v>
      </c>
      <c r="AJ71" t="e">
        <f>AND(Bills!K195,"AAAAAHxvvyM=")</f>
        <v>#VALUE!</v>
      </c>
      <c r="AK71" t="e">
        <f>AND(Bills!L195,"AAAAAHxvvyQ=")</f>
        <v>#VALUE!</v>
      </c>
      <c r="AL71" t="e">
        <f>AND(Bills!#REF!,"AAAAAHxvvyU=")</f>
        <v>#REF!</v>
      </c>
      <c r="AM71" t="e">
        <f>AND(Bills!M195,"AAAAAHxvvyY=")</f>
        <v>#VALUE!</v>
      </c>
      <c r="AN71" t="e">
        <f>AND(Bills!N195,"AAAAAHxvvyc=")</f>
        <v>#VALUE!</v>
      </c>
      <c r="AO71" t="e">
        <f>AND(Bills!O195,"AAAAAHxvvyg=")</f>
        <v>#VALUE!</v>
      </c>
      <c r="AP71" t="e">
        <f>AND(Bills!P195,"AAAAAHxvvyk=")</f>
        <v>#VALUE!</v>
      </c>
      <c r="AQ71" t="e">
        <f>AND(Bills!Q195,"AAAAAHxvvyo=")</f>
        <v>#VALUE!</v>
      </c>
      <c r="AR71" t="e">
        <f>AND(Bills!R195,"AAAAAHxvvys=")</f>
        <v>#VALUE!</v>
      </c>
      <c r="AS71" t="e">
        <f>AND(Bills!S195,"AAAAAHxvvyw=")</f>
        <v>#VALUE!</v>
      </c>
      <c r="AT71" t="e">
        <f>AND(Bills!T195,"AAAAAHxvvy0=")</f>
        <v>#VALUE!</v>
      </c>
      <c r="AU71" t="e">
        <f>AND(Bills!#REF!,"AAAAAHxvvy4=")</f>
        <v>#REF!</v>
      </c>
      <c r="AV71" t="e">
        <f>AND(Bills!U195,"AAAAAHxvvy8=")</f>
        <v>#VALUE!</v>
      </c>
      <c r="AW71" t="e">
        <f>AND(Bills!V195,"AAAAAHxvvzA=")</f>
        <v>#VALUE!</v>
      </c>
      <c r="AX71" t="e">
        <f>AND(Bills!W195,"AAAAAHxvvzE=")</f>
        <v>#VALUE!</v>
      </c>
      <c r="AY71" t="e">
        <f>AND(Bills!#REF!,"AAAAAHxvvzI=")</f>
        <v>#REF!</v>
      </c>
      <c r="AZ71" t="e">
        <f>AND(Bills!#REF!,"AAAAAHxvvzM=")</f>
        <v>#REF!</v>
      </c>
      <c r="BA71" t="e">
        <f>AND(Bills!Y195,"AAAAAHxvvzQ=")</f>
        <v>#VALUE!</v>
      </c>
      <c r="BB71" t="e">
        <f>AND(Bills!Z195,"AAAAAHxvvzU=")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AND(Bills!AA195,"AAAAAHxvvz8=")</f>
        <v>#VALUE!</v>
      </c>
      <c r="BM71" t="e">
        <f>AND(Bills!AB195,"AAAAAHxvv0A=")</f>
        <v>#VALUE!</v>
      </c>
      <c r="BN71" t="e">
        <f>AND(Bills!#REF!,"AAAAAHxvv0E=")</f>
        <v>#REF!</v>
      </c>
      <c r="BO71" t="e">
        <f>AND(Bills!#REF!,"AAAAAHxvv0I=")</f>
        <v>#REF!</v>
      </c>
      <c r="BP71" t="e">
        <f>AND(Bills!#REF!,"AAAAAHxvv0M=")</f>
        <v>#REF!</v>
      </c>
      <c r="BQ71" t="e">
        <f>AND(Bills!AC195,"AAAAAHxvv0Q=")</f>
        <v>#VALUE!</v>
      </c>
      <c r="BR71" t="e">
        <f>AND(Bills!AD195,"AAAAAHxvv0U=")</f>
        <v>#VALUE!</v>
      </c>
      <c r="BS71" t="e">
        <f>AND(Bills!#REF!,"AAAAAHxvv0Y=")</f>
        <v>#REF!</v>
      </c>
      <c r="BT71">
        <f>IF(Bills!196:196,"AAAAAHxvv0c=",0)</f>
        <v>0</v>
      </c>
      <c r="BU71" t="e">
        <f>AND(Bills!B196,"AAAAAHxvv0g=")</f>
        <v>#VALUE!</v>
      </c>
      <c r="BV71" t="e">
        <f>AND(Bills!#REF!,"AAAAAHxvv0k=")</f>
        <v>#REF!</v>
      </c>
      <c r="BW71" t="e">
        <f>AND(Bills!C196,"AAAAAHxvv0o=")</f>
        <v>#VALUE!</v>
      </c>
      <c r="BX71" t="e">
        <f>AND(Bills!D196,"AAAAAHxvv0s=")</f>
        <v>#VALUE!</v>
      </c>
      <c r="BY71" t="e">
        <f>AND(Bills!E196,"AAAAAHxvv0w=")</f>
        <v>#VALUE!</v>
      </c>
      <c r="BZ71" t="e">
        <f>AND(Bills!#REF!,"AAAAAHxvv00=")</f>
        <v>#REF!</v>
      </c>
      <c r="CA71" t="e">
        <f>AND(Bills!#REF!,"AAAAAHxvv04=")</f>
        <v>#REF!</v>
      </c>
      <c r="CB71" t="e">
        <f>AND(Bills!#REF!,"AAAAAHxvv08=")</f>
        <v>#REF!</v>
      </c>
      <c r="CC71" t="e">
        <f>AND(Bills!F196,"AAAAAHxvv1A=")</f>
        <v>#VALUE!</v>
      </c>
      <c r="CD71" t="e">
        <f>AND(Bills!#REF!,"AAAAAHxvv1E=")</f>
        <v>#REF!</v>
      </c>
      <c r="CE71" t="e">
        <f>AND(Bills!G196,"AAAAAHxvv1I=")</f>
        <v>#VALUE!</v>
      </c>
      <c r="CF71" t="e">
        <f>AND(Bills!H196,"AAAAAHxvv1M=")</f>
        <v>#VALUE!</v>
      </c>
      <c r="CG71" t="e">
        <f>AND(Bills!I196,"AAAAAHxvv1Q=")</f>
        <v>#VALUE!</v>
      </c>
      <c r="CH71" t="e">
        <f>AND(Bills!J196,"AAAAAHxvv1U=")</f>
        <v>#VALUE!</v>
      </c>
      <c r="CI71" t="e">
        <f>AND(Bills!K196,"AAAAAHxvv1Y=")</f>
        <v>#VALUE!</v>
      </c>
      <c r="CJ71" t="e">
        <f>AND(Bills!L196,"AAAAAHxvv1c=")</f>
        <v>#VALUE!</v>
      </c>
      <c r="CK71" t="e">
        <f>AND(Bills!#REF!,"AAAAAHxvv1g=")</f>
        <v>#REF!</v>
      </c>
      <c r="CL71" t="e">
        <f>AND(Bills!M196,"AAAAAHxvv1k=")</f>
        <v>#VALUE!</v>
      </c>
      <c r="CM71" t="e">
        <f>AND(Bills!N196,"AAAAAHxvv1o=")</f>
        <v>#VALUE!</v>
      </c>
      <c r="CN71" t="e">
        <f>AND(Bills!O196,"AAAAAHxvv1s=")</f>
        <v>#VALUE!</v>
      </c>
      <c r="CO71" t="e">
        <f>AND(Bills!P196,"AAAAAHxvv1w=")</f>
        <v>#VALUE!</v>
      </c>
      <c r="CP71" t="e">
        <f>AND(Bills!Q196,"AAAAAHxvv10=")</f>
        <v>#VALUE!</v>
      </c>
      <c r="CQ71" t="e">
        <f>AND(Bills!R196,"AAAAAHxvv14=")</f>
        <v>#VALUE!</v>
      </c>
      <c r="CR71" t="e">
        <f>AND(Bills!S196,"AAAAAHxvv18=")</f>
        <v>#VALUE!</v>
      </c>
      <c r="CS71" t="e">
        <f>AND(Bills!T196,"AAAAAHxvv2A=")</f>
        <v>#VALUE!</v>
      </c>
      <c r="CT71" t="e">
        <f>AND(Bills!#REF!,"AAAAAHxvv2E=")</f>
        <v>#REF!</v>
      </c>
      <c r="CU71" t="e">
        <f>AND(Bills!U196,"AAAAAHxvv2I=")</f>
        <v>#VALUE!</v>
      </c>
      <c r="CV71" t="e">
        <f>AND(Bills!V196,"AAAAAHxvv2M=")</f>
        <v>#VALUE!</v>
      </c>
      <c r="CW71" t="e">
        <f>AND(Bills!W196,"AAAAAHxvv2Q=")</f>
        <v>#VALUE!</v>
      </c>
      <c r="CX71" t="e">
        <f>AND(Bills!#REF!,"AAAAAHxvv2U=")</f>
        <v>#REF!</v>
      </c>
      <c r="CY71" t="e">
        <f>AND(Bills!#REF!,"AAAAAHxvv2Y=")</f>
        <v>#REF!</v>
      </c>
      <c r="CZ71" t="e">
        <f>AND(Bills!Y196,"AAAAAHxvv2c=")</f>
        <v>#VALUE!</v>
      </c>
      <c r="DA71" t="e">
        <f>AND(Bills!Z196,"AAAAAHxvv2g=")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AND(Bills!AA196,"AAAAAHxvv3I=")</f>
        <v>#VALUE!</v>
      </c>
      <c r="DL71" t="e">
        <f>AND(Bills!AB196,"AAAAAHxvv3M=")</f>
        <v>#VALUE!</v>
      </c>
      <c r="DM71" t="e">
        <f>AND(Bills!#REF!,"AAAAAHxvv3Q=")</f>
        <v>#REF!</v>
      </c>
      <c r="DN71" t="e">
        <f>AND(Bills!#REF!,"AAAAAHxvv3U=")</f>
        <v>#REF!</v>
      </c>
      <c r="DO71" t="e">
        <f>AND(Bills!#REF!,"AAAAAHxvv3Y=")</f>
        <v>#REF!</v>
      </c>
      <c r="DP71" t="e">
        <f>AND(Bills!AC196,"AAAAAHxvv3c=")</f>
        <v>#VALUE!</v>
      </c>
      <c r="DQ71" t="e">
        <f>AND(Bills!AD196,"AAAAAHxvv3g=")</f>
        <v>#VALUE!</v>
      </c>
      <c r="DR71" t="e">
        <f>AND(Bills!#REF!,"AAAAAHxvv3k=")</f>
        <v>#REF!</v>
      </c>
      <c r="DS71">
        <f>IF(Bills!197:197,"AAAAAHxvv3o=",0)</f>
        <v>0</v>
      </c>
      <c r="DT71" t="e">
        <f>AND(Bills!B197,"AAAAAHxvv3s=")</f>
        <v>#VALUE!</v>
      </c>
      <c r="DU71" t="e">
        <f>AND(Bills!#REF!,"AAAAAHxvv3w=")</f>
        <v>#REF!</v>
      </c>
      <c r="DV71" t="e">
        <f>AND(Bills!C197,"AAAAAHxvv30=")</f>
        <v>#VALUE!</v>
      </c>
      <c r="DW71" t="e">
        <f>AND(Bills!D197,"AAAAAHxvv34=")</f>
        <v>#VALUE!</v>
      </c>
      <c r="DX71" t="e">
        <f>AND(Bills!E197,"AAAAAHxvv38=")</f>
        <v>#VALUE!</v>
      </c>
      <c r="DY71" t="e">
        <f>AND(Bills!#REF!,"AAAAAHxvv4A=")</f>
        <v>#REF!</v>
      </c>
      <c r="DZ71" t="e">
        <f>AND(Bills!#REF!,"AAAAAHxvv4E=")</f>
        <v>#REF!</v>
      </c>
      <c r="EA71" t="e">
        <f>AND(Bills!#REF!,"AAAAAHxvv4I=")</f>
        <v>#REF!</v>
      </c>
      <c r="EB71" t="e">
        <f>AND(Bills!F197,"AAAAAHxvv4M=")</f>
        <v>#VALUE!</v>
      </c>
      <c r="EC71" t="e">
        <f>AND(Bills!#REF!,"AAAAAHxvv4Q=")</f>
        <v>#REF!</v>
      </c>
      <c r="ED71" t="e">
        <f>AND(Bills!G197,"AAAAAHxvv4U=")</f>
        <v>#VALUE!</v>
      </c>
      <c r="EE71" t="e">
        <f>AND(Bills!H197,"AAAAAHxvv4Y=")</f>
        <v>#VALUE!</v>
      </c>
      <c r="EF71" t="e">
        <f>AND(Bills!I197,"AAAAAHxvv4c=")</f>
        <v>#VALUE!</v>
      </c>
      <c r="EG71" t="e">
        <f>AND(Bills!J197,"AAAAAHxvv4g=")</f>
        <v>#VALUE!</v>
      </c>
      <c r="EH71" t="e">
        <f>AND(Bills!K197,"AAAAAHxvv4k=")</f>
        <v>#VALUE!</v>
      </c>
      <c r="EI71" t="e">
        <f>AND(Bills!L197,"AAAAAHxvv4o=")</f>
        <v>#VALUE!</v>
      </c>
      <c r="EJ71" t="e">
        <f>AND(Bills!#REF!,"AAAAAHxvv4s=")</f>
        <v>#REF!</v>
      </c>
      <c r="EK71" t="e">
        <f>AND(Bills!M197,"AAAAAHxvv4w=")</f>
        <v>#VALUE!</v>
      </c>
      <c r="EL71" t="e">
        <f>AND(Bills!N197,"AAAAAHxvv40=")</f>
        <v>#VALUE!</v>
      </c>
      <c r="EM71" t="e">
        <f>AND(Bills!O197,"AAAAAHxvv44=")</f>
        <v>#VALUE!</v>
      </c>
      <c r="EN71" t="e">
        <f>AND(Bills!P197,"AAAAAHxvv48=")</f>
        <v>#VALUE!</v>
      </c>
      <c r="EO71" t="e">
        <f>AND(Bills!Q197,"AAAAAHxvv5A=")</f>
        <v>#VALUE!</v>
      </c>
      <c r="EP71" t="e">
        <f>AND(Bills!R197,"AAAAAHxvv5E=")</f>
        <v>#VALUE!</v>
      </c>
      <c r="EQ71" t="e">
        <f>AND(Bills!S197,"AAAAAHxvv5I=")</f>
        <v>#VALUE!</v>
      </c>
      <c r="ER71" t="e">
        <f>AND(Bills!T197,"AAAAAHxvv5M=")</f>
        <v>#VALUE!</v>
      </c>
      <c r="ES71" t="e">
        <f>AND(Bills!#REF!,"AAAAAHxvv5Q=")</f>
        <v>#REF!</v>
      </c>
      <c r="ET71" t="e">
        <f>AND(Bills!U197,"AAAAAHxvv5U=")</f>
        <v>#VALUE!</v>
      </c>
      <c r="EU71" t="e">
        <f>AND(Bills!V197,"AAAAAHxvv5Y=")</f>
        <v>#VALUE!</v>
      </c>
      <c r="EV71" t="e">
        <f>AND(Bills!W197,"AAAAAHxvv5c=")</f>
        <v>#VALUE!</v>
      </c>
      <c r="EW71" t="e">
        <f>AND(Bills!#REF!,"AAAAAHxvv5g=")</f>
        <v>#REF!</v>
      </c>
      <c r="EX71" t="e">
        <f>AND(Bills!#REF!,"AAAAAHxvv5k=")</f>
        <v>#REF!</v>
      </c>
      <c r="EY71" t="e">
        <f>AND(Bills!Y197,"AAAAAHxvv5o=")</f>
        <v>#VALUE!</v>
      </c>
      <c r="EZ71" t="e">
        <f>AND(Bills!Z197,"AAAAAHxvv5s=")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AND(Bills!AA197,"AAAAAHxvv6U=")</f>
        <v>#VALUE!</v>
      </c>
      <c r="FK71" t="e">
        <f>AND(Bills!AB197,"AAAAAHxvv6Y=")</f>
        <v>#VALUE!</v>
      </c>
      <c r="FL71" t="e">
        <f>AND(Bills!#REF!,"AAAAAHxvv6c=")</f>
        <v>#REF!</v>
      </c>
      <c r="FM71" t="e">
        <f>AND(Bills!#REF!,"AAAAAHxvv6g=")</f>
        <v>#REF!</v>
      </c>
      <c r="FN71" t="e">
        <f>AND(Bills!#REF!,"AAAAAHxvv6k=")</f>
        <v>#REF!</v>
      </c>
      <c r="FO71" t="e">
        <f>AND(Bills!AC197,"AAAAAHxvv6o=")</f>
        <v>#VALUE!</v>
      </c>
      <c r="FP71" t="e">
        <f>AND(Bills!AD197,"AAAAAHxvv6s=")</f>
        <v>#VALUE!</v>
      </c>
      <c r="FQ71" t="e">
        <f>AND(Bills!#REF!,"AAAAAHxvv6w=")</f>
        <v>#REF!</v>
      </c>
      <c r="FR71">
        <f>IF(Bills!198:198,"AAAAAHxvv60=",0)</f>
        <v>0</v>
      </c>
      <c r="FS71" t="e">
        <f>AND(Bills!B198,"AAAAAHxvv64=")</f>
        <v>#VALUE!</v>
      </c>
      <c r="FT71" t="e">
        <f>AND(Bills!#REF!,"AAAAAHxvv68=")</f>
        <v>#REF!</v>
      </c>
      <c r="FU71" t="e">
        <f>AND(Bills!C198,"AAAAAHxvv7A=")</f>
        <v>#VALUE!</v>
      </c>
      <c r="FV71" t="e">
        <f>AND(Bills!D198,"AAAAAHxvv7E=")</f>
        <v>#VALUE!</v>
      </c>
      <c r="FW71" t="e">
        <f>AND(Bills!E198,"AAAAAHxvv7I=")</f>
        <v>#VALUE!</v>
      </c>
      <c r="FX71" t="e">
        <f>AND(Bills!#REF!,"AAAAAHxvv7M=")</f>
        <v>#REF!</v>
      </c>
      <c r="FY71" t="e">
        <f>AND(Bills!#REF!,"AAAAAHxvv7Q=")</f>
        <v>#REF!</v>
      </c>
      <c r="FZ71" t="e">
        <f>AND(Bills!#REF!,"AAAAAHxvv7U=")</f>
        <v>#REF!</v>
      </c>
      <c r="GA71" t="e">
        <f>AND(Bills!F198,"AAAAAHxvv7Y=")</f>
        <v>#VALUE!</v>
      </c>
      <c r="GB71" t="e">
        <f>AND(Bills!#REF!,"AAAAAHxvv7c=")</f>
        <v>#REF!</v>
      </c>
      <c r="GC71" t="e">
        <f>AND(Bills!G198,"AAAAAHxvv7g=")</f>
        <v>#VALUE!</v>
      </c>
      <c r="GD71" t="e">
        <f>AND(Bills!H198,"AAAAAHxvv7k=")</f>
        <v>#VALUE!</v>
      </c>
      <c r="GE71" t="e">
        <f>AND(Bills!I198,"AAAAAHxvv7o=")</f>
        <v>#VALUE!</v>
      </c>
      <c r="GF71" t="e">
        <f>AND(Bills!J198,"AAAAAHxvv7s=")</f>
        <v>#VALUE!</v>
      </c>
      <c r="GG71" t="e">
        <f>AND(Bills!K198,"AAAAAHxvv7w=")</f>
        <v>#VALUE!</v>
      </c>
      <c r="GH71" t="e">
        <f>AND(Bills!L198,"AAAAAHxvv70=")</f>
        <v>#VALUE!</v>
      </c>
      <c r="GI71" t="e">
        <f>AND(Bills!#REF!,"AAAAAHxvv74=")</f>
        <v>#REF!</v>
      </c>
      <c r="GJ71" t="e">
        <f>AND(Bills!M198,"AAAAAHxvv78=")</f>
        <v>#VALUE!</v>
      </c>
      <c r="GK71" t="e">
        <f>AND(Bills!N198,"AAAAAHxvv8A=")</f>
        <v>#VALUE!</v>
      </c>
      <c r="GL71" t="e">
        <f>AND(Bills!O198,"AAAAAHxvv8E=")</f>
        <v>#VALUE!</v>
      </c>
      <c r="GM71" t="e">
        <f>AND(Bills!P198,"AAAAAHxvv8I=")</f>
        <v>#VALUE!</v>
      </c>
      <c r="GN71" t="e">
        <f>AND(Bills!Q198,"AAAAAHxvv8M=")</f>
        <v>#VALUE!</v>
      </c>
      <c r="GO71" t="e">
        <f>AND(Bills!R198,"AAAAAHxvv8Q=")</f>
        <v>#VALUE!</v>
      </c>
      <c r="GP71" t="e">
        <f>AND(Bills!S198,"AAAAAHxvv8U=")</f>
        <v>#VALUE!</v>
      </c>
      <c r="GQ71" t="e">
        <f>AND(Bills!T198,"AAAAAHxvv8Y=")</f>
        <v>#VALUE!</v>
      </c>
      <c r="GR71" t="e">
        <f>AND(Bills!#REF!,"AAAAAHxvv8c=")</f>
        <v>#REF!</v>
      </c>
      <c r="GS71" t="e">
        <f>AND(Bills!U198,"AAAAAHxvv8g=")</f>
        <v>#VALUE!</v>
      </c>
      <c r="GT71" t="e">
        <f>AND(Bills!V198,"AAAAAHxvv8k=")</f>
        <v>#VALUE!</v>
      </c>
      <c r="GU71" t="e">
        <f>AND(Bills!W198,"AAAAAHxvv8o=")</f>
        <v>#VALUE!</v>
      </c>
      <c r="GV71" t="e">
        <f>AND(Bills!#REF!,"AAAAAHxvv8s=")</f>
        <v>#REF!</v>
      </c>
      <c r="GW71" t="e">
        <f>AND(Bills!#REF!,"AAAAAHxvv8w=")</f>
        <v>#REF!</v>
      </c>
      <c r="GX71" t="e">
        <f>AND(Bills!Y198,"AAAAAHxvv80=")</f>
        <v>#VALUE!</v>
      </c>
      <c r="GY71" t="e">
        <f>AND(Bills!Z198,"AAAAAHxvv84=")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AND(Bills!AA198,"AAAAAHxvv9g=")</f>
        <v>#VALUE!</v>
      </c>
      <c r="HJ71" t="e">
        <f>AND(Bills!AB198,"AAAAAHxvv9k=")</f>
        <v>#VALUE!</v>
      </c>
      <c r="HK71" t="e">
        <f>AND(Bills!#REF!,"AAAAAHxvv9o=")</f>
        <v>#REF!</v>
      </c>
      <c r="HL71" t="e">
        <f>AND(Bills!#REF!,"AAAAAHxvv9s=")</f>
        <v>#REF!</v>
      </c>
      <c r="HM71" t="e">
        <f>AND(Bills!#REF!,"AAAAAHxvv9w=")</f>
        <v>#REF!</v>
      </c>
      <c r="HN71" t="e">
        <f>AND(Bills!AC198,"AAAAAHxvv90=")</f>
        <v>#VALUE!</v>
      </c>
      <c r="HO71" t="e">
        <f>AND(Bills!AD198,"AAAAAHxvv94=")</f>
        <v>#VALUE!</v>
      </c>
      <c r="HP71" t="e">
        <f>AND(Bills!#REF!,"AAAAAHxvv98=")</f>
        <v>#REF!</v>
      </c>
      <c r="HQ71">
        <f>IF(Bills!199:199,"AAAAAHxvv+A=",0)</f>
        <v>0</v>
      </c>
      <c r="HR71" t="e">
        <f>AND(Bills!B199,"AAAAAHxvv+E=")</f>
        <v>#VALUE!</v>
      </c>
      <c r="HS71" t="e">
        <f>AND(Bills!#REF!,"AAAAAHxvv+I=")</f>
        <v>#REF!</v>
      </c>
      <c r="HT71" t="e">
        <f>AND(Bills!C199,"AAAAAHxvv+M=")</f>
        <v>#VALUE!</v>
      </c>
      <c r="HU71" t="e">
        <f>AND(Bills!D199,"AAAAAHxvv+Q=")</f>
        <v>#VALUE!</v>
      </c>
      <c r="HV71" t="e">
        <f>AND(Bills!E199,"AAAAAHxvv+U=")</f>
        <v>#VALUE!</v>
      </c>
      <c r="HW71" t="e">
        <f>AND(Bills!#REF!,"AAAAAHxvv+Y=")</f>
        <v>#REF!</v>
      </c>
      <c r="HX71" t="e">
        <f>AND(Bills!#REF!,"AAAAAHxvv+c=")</f>
        <v>#REF!</v>
      </c>
      <c r="HY71" t="e">
        <f>AND(Bills!#REF!,"AAAAAHxvv+g=")</f>
        <v>#REF!</v>
      </c>
      <c r="HZ71" t="e">
        <f>AND(Bills!F199,"AAAAAHxvv+k=")</f>
        <v>#VALUE!</v>
      </c>
      <c r="IA71" t="e">
        <f>AND(Bills!#REF!,"AAAAAHxvv+o=")</f>
        <v>#REF!</v>
      </c>
      <c r="IB71" t="e">
        <f>AND(Bills!G199,"AAAAAHxvv+s=")</f>
        <v>#VALUE!</v>
      </c>
      <c r="IC71" t="e">
        <f>AND(Bills!H199,"AAAAAHxvv+w=")</f>
        <v>#VALUE!</v>
      </c>
      <c r="ID71" t="e">
        <f>AND(Bills!I199,"AAAAAHxvv+0=")</f>
        <v>#VALUE!</v>
      </c>
      <c r="IE71" t="e">
        <f>AND(Bills!J199,"AAAAAHxvv+4=")</f>
        <v>#VALUE!</v>
      </c>
      <c r="IF71" t="e">
        <f>AND(Bills!K199,"AAAAAHxvv+8=")</f>
        <v>#VALUE!</v>
      </c>
      <c r="IG71" t="e">
        <f>AND(Bills!L199,"AAAAAHxvv/A=")</f>
        <v>#VALUE!</v>
      </c>
      <c r="IH71" t="e">
        <f>AND(Bills!#REF!,"AAAAAHxvv/E=")</f>
        <v>#REF!</v>
      </c>
      <c r="II71" t="e">
        <f>AND(Bills!M199,"AAAAAHxvv/I=")</f>
        <v>#VALUE!</v>
      </c>
      <c r="IJ71" t="e">
        <f>AND(Bills!N199,"AAAAAHxvv/M=")</f>
        <v>#VALUE!</v>
      </c>
      <c r="IK71" t="e">
        <f>AND(Bills!O199,"AAAAAHxvv/Q=")</f>
        <v>#VALUE!</v>
      </c>
      <c r="IL71" t="e">
        <f>AND(Bills!P199,"AAAAAHxvv/U=")</f>
        <v>#VALUE!</v>
      </c>
      <c r="IM71" t="e">
        <f>AND(Bills!Q199,"AAAAAHxvv/Y=")</f>
        <v>#VALUE!</v>
      </c>
      <c r="IN71" t="e">
        <f>AND(Bills!R199,"AAAAAHxvv/c=")</f>
        <v>#VALUE!</v>
      </c>
      <c r="IO71" t="e">
        <f>AND(Bills!S199,"AAAAAHxvv/g=")</f>
        <v>#VALUE!</v>
      </c>
      <c r="IP71" t="e">
        <f>AND(Bills!T199,"AAAAAHxvv/k=")</f>
        <v>#VALUE!</v>
      </c>
      <c r="IQ71" t="e">
        <f>AND(Bills!#REF!,"AAAAAHxvv/o=")</f>
        <v>#REF!</v>
      </c>
      <c r="IR71" t="e">
        <f>AND(Bills!U199,"AAAAAHxvv/s=")</f>
        <v>#VALUE!</v>
      </c>
      <c r="IS71" t="e">
        <f>AND(Bills!V199,"AAAAAHxvv/w=")</f>
        <v>#VALUE!</v>
      </c>
      <c r="IT71" t="e">
        <f>AND(Bills!W199,"AAAAAHxvv/0=")</f>
        <v>#VALUE!</v>
      </c>
      <c r="IU71" t="e">
        <f>AND(Bills!#REF!,"AAAAAHxvv/4=")</f>
        <v>#REF!</v>
      </c>
      <c r="IV71" t="e">
        <f>AND(Bills!#REF!,"AAAAAHxvv/8=")</f>
        <v>#REF!</v>
      </c>
    </row>
    <row r="72" spans="1:256">
      <c r="A72" t="e">
        <f>AND(Bills!Y199,"AAAAAH+/TgA=")</f>
        <v>#VALUE!</v>
      </c>
      <c r="B72" t="e">
        <f>AND(Bills!Z199,"AAAAAH+/TgE=")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AND(Bills!AA199,"AAAAAH+/Tgs=")</f>
        <v>#VALUE!</v>
      </c>
      <c r="M72" t="e">
        <f>AND(Bills!AB199,"AAAAAH+/Tgw=")</f>
        <v>#VALUE!</v>
      </c>
      <c r="N72" t="e">
        <f>AND(Bills!#REF!,"AAAAAH+/Tg0=")</f>
        <v>#REF!</v>
      </c>
      <c r="O72" t="e">
        <f>AND(Bills!#REF!,"AAAAAH+/Tg4=")</f>
        <v>#REF!</v>
      </c>
      <c r="P72" t="e">
        <f>AND(Bills!#REF!,"AAAAAH+/Tg8=")</f>
        <v>#REF!</v>
      </c>
      <c r="Q72" t="e">
        <f>AND(Bills!AC199,"AAAAAH+/ThA=")</f>
        <v>#VALUE!</v>
      </c>
      <c r="R72" t="e">
        <f>AND(Bills!AD199,"AAAAAH+/ThE=")</f>
        <v>#VALUE!</v>
      </c>
      <c r="S72" t="e">
        <f>AND(Bills!#REF!,"AAAAAH+/ThI=")</f>
        <v>#REF!</v>
      </c>
      <c r="T72">
        <f>IF(Bills!200:200,"AAAAAH+/ThM=",0)</f>
        <v>0</v>
      </c>
      <c r="U72" t="e">
        <f>AND(Bills!B200,"AAAAAH+/ThQ=")</f>
        <v>#VALUE!</v>
      </c>
      <c r="V72" t="e">
        <f>AND(Bills!#REF!,"AAAAAH+/ThU=")</f>
        <v>#REF!</v>
      </c>
      <c r="W72" t="e">
        <f>AND(Bills!C200,"AAAAAH+/ThY=")</f>
        <v>#VALUE!</v>
      </c>
      <c r="X72" t="e">
        <f>AND(Bills!D200,"AAAAAH+/Thc=")</f>
        <v>#VALUE!</v>
      </c>
      <c r="Y72" t="e">
        <f>AND(Bills!E200,"AAAAAH+/Thg=")</f>
        <v>#VALUE!</v>
      </c>
      <c r="Z72" t="e">
        <f>AND(Bills!#REF!,"AAAAAH+/Thk=")</f>
        <v>#REF!</v>
      </c>
      <c r="AA72" t="e">
        <f>AND(Bills!#REF!,"AAAAAH+/Tho=")</f>
        <v>#REF!</v>
      </c>
      <c r="AB72" t="e">
        <f>AND(Bills!#REF!,"AAAAAH+/Ths=")</f>
        <v>#REF!</v>
      </c>
      <c r="AC72" t="e">
        <f>AND(Bills!F200,"AAAAAH+/Thw=")</f>
        <v>#VALUE!</v>
      </c>
      <c r="AD72" t="e">
        <f>AND(Bills!#REF!,"AAAAAH+/Th0=")</f>
        <v>#REF!</v>
      </c>
      <c r="AE72" t="e">
        <f>AND(Bills!G200,"AAAAAH+/Th4=")</f>
        <v>#VALUE!</v>
      </c>
      <c r="AF72" t="e">
        <f>AND(Bills!H200,"AAAAAH+/Th8=")</f>
        <v>#VALUE!</v>
      </c>
      <c r="AG72" t="e">
        <f>AND(Bills!I200,"AAAAAH+/TiA=")</f>
        <v>#VALUE!</v>
      </c>
      <c r="AH72" t="e">
        <f>AND(Bills!J200,"AAAAAH+/TiE=")</f>
        <v>#VALUE!</v>
      </c>
      <c r="AI72" t="e">
        <f>AND(Bills!K200,"AAAAAH+/TiI=")</f>
        <v>#VALUE!</v>
      </c>
      <c r="AJ72" t="e">
        <f>AND(Bills!L200,"AAAAAH+/TiM=")</f>
        <v>#VALUE!</v>
      </c>
      <c r="AK72" t="e">
        <f>AND(Bills!#REF!,"AAAAAH+/TiQ=")</f>
        <v>#REF!</v>
      </c>
      <c r="AL72" t="e">
        <f>AND(Bills!M200,"AAAAAH+/TiU=")</f>
        <v>#VALUE!</v>
      </c>
      <c r="AM72" t="e">
        <f>AND(Bills!N200,"AAAAAH+/TiY=")</f>
        <v>#VALUE!</v>
      </c>
      <c r="AN72" t="e">
        <f>AND(Bills!O200,"AAAAAH+/Tic=")</f>
        <v>#VALUE!</v>
      </c>
      <c r="AO72" t="e">
        <f>AND(Bills!P200,"AAAAAH+/Tig=")</f>
        <v>#VALUE!</v>
      </c>
      <c r="AP72" t="e">
        <f>AND(Bills!Q200,"AAAAAH+/Tik=")</f>
        <v>#VALUE!</v>
      </c>
      <c r="AQ72" t="e">
        <f>AND(Bills!R200,"AAAAAH+/Tio=")</f>
        <v>#VALUE!</v>
      </c>
      <c r="AR72" t="e">
        <f>AND(Bills!S200,"AAAAAH+/Tis=")</f>
        <v>#VALUE!</v>
      </c>
      <c r="AS72" t="e">
        <f>AND(Bills!T200,"AAAAAH+/Tiw=")</f>
        <v>#VALUE!</v>
      </c>
      <c r="AT72" t="e">
        <f>AND(Bills!#REF!,"AAAAAH+/Ti0=")</f>
        <v>#REF!</v>
      </c>
      <c r="AU72" t="e">
        <f>AND(Bills!U200,"AAAAAH+/Ti4=")</f>
        <v>#VALUE!</v>
      </c>
      <c r="AV72" t="e">
        <f>AND(Bills!V200,"AAAAAH+/Ti8=")</f>
        <v>#VALUE!</v>
      </c>
      <c r="AW72" t="e">
        <f>AND(Bills!W200,"AAAAAH+/TjA=")</f>
        <v>#VALUE!</v>
      </c>
      <c r="AX72" t="e">
        <f>AND(Bills!#REF!,"AAAAAH+/TjE=")</f>
        <v>#REF!</v>
      </c>
      <c r="AY72" t="e">
        <f>AND(Bills!#REF!,"AAAAAH+/TjI=")</f>
        <v>#REF!</v>
      </c>
      <c r="AZ72" t="e">
        <f>AND(Bills!Y200,"AAAAAH+/TjM=")</f>
        <v>#VALUE!</v>
      </c>
      <c r="BA72" t="e">
        <f>AND(Bills!Z200,"AAAAAH+/TjQ=")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AND(Bills!AA200,"AAAAAH+/Tj4=")</f>
        <v>#VALUE!</v>
      </c>
      <c r="BL72" t="e">
        <f>AND(Bills!AB200,"AAAAAH+/Tj8=")</f>
        <v>#VALUE!</v>
      </c>
      <c r="BM72" t="e">
        <f>AND(Bills!#REF!,"AAAAAH+/TkA=")</f>
        <v>#REF!</v>
      </c>
      <c r="BN72" t="e">
        <f>AND(Bills!#REF!,"AAAAAH+/TkE=")</f>
        <v>#REF!</v>
      </c>
      <c r="BO72" t="e">
        <f>AND(Bills!#REF!,"AAAAAH+/TkI=")</f>
        <v>#REF!</v>
      </c>
      <c r="BP72" t="e">
        <f>AND(Bills!AC200,"AAAAAH+/TkM=")</f>
        <v>#VALUE!</v>
      </c>
      <c r="BQ72" t="e">
        <f>AND(Bills!AD200,"AAAAAH+/TkQ=")</f>
        <v>#VALUE!</v>
      </c>
      <c r="BR72" t="e">
        <f>AND(Bills!#REF!,"AAAAAH+/TkU=")</f>
        <v>#REF!</v>
      </c>
      <c r="BS72">
        <f>IF(Bills!201:201,"AAAAAH+/TkY=",0)</f>
        <v>0</v>
      </c>
      <c r="BT72" t="e">
        <f>AND(Bills!B201,"AAAAAH+/Tkc=")</f>
        <v>#VALUE!</v>
      </c>
      <c r="BU72" t="e">
        <f>AND(Bills!#REF!,"AAAAAH+/Tkg=")</f>
        <v>#REF!</v>
      </c>
      <c r="BV72" t="e">
        <f>AND(Bills!C201,"AAAAAH+/Tkk=")</f>
        <v>#VALUE!</v>
      </c>
      <c r="BW72" t="e">
        <f>AND(Bills!D201,"AAAAAH+/Tko=")</f>
        <v>#VALUE!</v>
      </c>
      <c r="BX72" t="e">
        <f>AND(Bills!E201,"AAAAAH+/Tks=")</f>
        <v>#VALUE!</v>
      </c>
      <c r="BY72" t="e">
        <f>AND(Bills!#REF!,"AAAAAH+/Tkw=")</f>
        <v>#REF!</v>
      </c>
      <c r="BZ72" t="e">
        <f>AND(Bills!#REF!,"AAAAAH+/Tk0=")</f>
        <v>#REF!</v>
      </c>
      <c r="CA72" t="e">
        <f>AND(Bills!#REF!,"AAAAAH+/Tk4=")</f>
        <v>#REF!</v>
      </c>
      <c r="CB72" t="e">
        <f>AND(Bills!F201,"AAAAAH+/Tk8=")</f>
        <v>#VALUE!</v>
      </c>
      <c r="CC72" t="e">
        <f>AND(Bills!#REF!,"AAAAAH+/TlA=")</f>
        <v>#REF!</v>
      </c>
      <c r="CD72" t="e">
        <f>AND(Bills!G201,"AAAAAH+/TlE=")</f>
        <v>#VALUE!</v>
      </c>
      <c r="CE72" t="e">
        <f>AND(Bills!H201,"AAAAAH+/TlI=")</f>
        <v>#VALUE!</v>
      </c>
      <c r="CF72" t="e">
        <f>AND(Bills!I201,"AAAAAH+/TlM=")</f>
        <v>#VALUE!</v>
      </c>
      <c r="CG72" t="e">
        <f>AND(Bills!J201,"AAAAAH+/TlQ=")</f>
        <v>#VALUE!</v>
      </c>
      <c r="CH72" t="e">
        <f>AND(Bills!K201,"AAAAAH+/TlU=")</f>
        <v>#VALUE!</v>
      </c>
      <c r="CI72" t="e">
        <f>AND(Bills!L201,"AAAAAH+/TlY=")</f>
        <v>#VALUE!</v>
      </c>
      <c r="CJ72" t="e">
        <f>AND(Bills!#REF!,"AAAAAH+/Tlc=")</f>
        <v>#REF!</v>
      </c>
      <c r="CK72" t="e">
        <f>AND(Bills!M201,"AAAAAH+/Tlg=")</f>
        <v>#VALUE!</v>
      </c>
      <c r="CL72" t="e">
        <f>AND(Bills!N201,"AAAAAH+/Tlk=")</f>
        <v>#VALUE!</v>
      </c>
      <c r="CM72" t="e">
        <f>AND(Bills!O201,"AAAAAH+/Tlo=")</f>
        <v>#VALUE!</v>
      </c>
      <c r="CN72" t="e">
        <f>AND(Bills!P201,"AAAAAH+/Tls=")</f>
        <v>#VALUE!</v>
      </c>
      <c r="CO72" t="e">
        <f>AND(Bills!Q201,"AAAAAH+/Tlw=")</f>
        <v>#VALUE!</v>
      </c>
      <c r="CP72" t="e">
        <f>AND(Bills!R201,"AAAAAH+/Tl0=")</f>
        <v>#VALUE!</v>
      </c>
      <c r="CQ72" t="e">
        <f>AND(Bills!S201,"AAAAAH+/Tl4=")</f>
        <v>#VALUE!</v>
      </c>
      <c r="CR72" t="e">
        <f>AND(Bills!T201,"AAAAAH+/Tl8=")</f>
        <v>#VALUE!</v>
      </c>
      <c r="CS72" t="e">
        <f>AND(Bills!#REF!,"AAAAAH+/TmA=")</f>
        <v>#REF!</v>
      </c>
      <c r="CT72" t="e">
        <f>AND(Bills!U201,"AAAAAH+/TmE=")</f>
        <v>#VALUE!</v>
      </c>
      <c r="CU72" t="e">
        <f>AND(Bills!V201,"AAAAAH+/TmI=")</f>
        <v>#VALUE!</v>
      </c>
      <c r="CV72" t="e">
        <f>AND(Bills!W201,"AAAAAH+/TmM=")</f>
        <v>#VALUE!</v>
      </c>
      <c r="CW72" t="e">
        <f>AND(Bills!#REF!,"AAAAAH+/TmQ=")</f>
        <v>#REF!</v>
      </c>
      <c r="CX72" t="e">
        <f>AND(Bills!#REF!,"AAAAAH+/TmU=")</f>
        <v>#REF!</v>
      </c>
      <c r="CY72" t="e">
        <f>AND(Bills!Y201,"AAAAAH+/TmY=")</f>
        <v>#VALUE!</v>
      </c>
      <c r="CZ72" t="e">
        <f>AND(Bills!Z201,"AAAAAH+/Tmc=")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AND(Bills!AA201,"AAAAAH+/TnE=")</f>
        <v>#VALUE!</v>
      </c>
      <c r="DK72" t="e">
        <f>AND(Bills!AB201,"AAAAAH+/TnI=")</f>
        <v>#VALUE!</v>
      </c>
      <c r="DL72" t="e">
        <f>AND(Bills!#REF!,"AAAAAH+/TnM=")</f>
        <v>#REF!</v>
      </c>
      <c r="DM72" t="e">
        <f>AND(Bills!#REF!,"AAAAAH+/TnQ=")</f>
        <v>#REF!</v>
      </c>
      <c r="DN72" t="e">
        <f>AND(Bills!#REF!,"AAAAAH+/TnU=")</f>
        <v>#REF!</v>
      </c>
      <c r="DO72" t="e">
        <f>AND(Bills!AC201,"AAAAAH+/TnY=")</f>
        <v>#VALUE!</v>
      </c>
      <c r="DP72" t="e">
        <f>AND(Bills!AD201,"AAAAAH+/Tnc=")</f>
        <v>#VALUE!</v>
      </c>
      <c r="DQ72" t="e">
        <f>AND(Bills!#REF!,"AAAAAH+/Tng=")</f>
        <v>#REF!</v>
      </c>
      <c r="DR72">
        <f>IF(Bills!202:202,"AAAAAH+/Tnk=",0)</f>
        <v>0</v>
      </c>
      <c r="DS72" t="e">
        <f>AND(Bills!B202,"AAAAAH+/Tno=")</f>
        <v>#VALUE!</v>
      </c>
      <c r="DT72" t="e">
        <f>AND(Bills!#REF!,"AAAAAH+/Tns=")</f>
        <v>#REF!</v>
      </c>
      <c r="DU72" t="e">
        <f>AND(Bills!C202,"AAAAAH+/Tnw=")</f>
        <v>#VALUE!</v>
      </c>
      <c r="DV72" t="e">
        <f>AND(Bills!D202,"AAAAAH+/Tn0=")</f>
        <v>#VALUE!</v>
      </c>
      <c r="DW72" t="e">
        <f>AND(Bills!E202,"AAAAAH+/Tn4=")</f>
        <v>#VALUE!</v>
      </c>
      <c r="DX72" t="e">
        <f>AND(Bills!#REF!,"AAAAAH+/Tn8=")</f>
        <v>#REF!</v>
      </c>
      <c r="DY72" t="e">
        <f>AND(Bills!#REF!,"AAAAAH+/ToA=")</f>
        <v>#REF!</v>
      </c>
      <c r="DZ72" t="e">
        <f>AND(Bills!#REF!,"AAAAAH+/ToE=")</f>
        <v>#REF!</v>
      </c>
      <c r="EA72" t="e">
        <f>AND(Bills!F202,"AAAAAH+/ToI=")</f>
        <v>#VALUE!</v>
      </c>
      <c r="EB72" t="e">
        <f>AND(Bills!#REF!,"AAAAAH+/ToM=")</f>
        <v>#REF!</v>
      </c>
      <c r="EC72" t="e">
        <f>AND(Bills!G202,"AAAAAH+/ToQ=")</f>
        <v>#VALUE!</v>
      </c>
      <c r="ED72" t="e">
        <f>AND(Bills!H202,"AAAAAH+/ToU=")</f>
        <v>#VALUE!</v>
      </c>
      <c r="EE72" t="e">
        <f>AND(Bills!I202,"AAAAAH+/ToY=")</f>
        <v>#VALUE!</v>
      </c>
      <c r="EF72" t="e">
        <f>AND(Bills!J202,"AAAAAH+/Toc=")</f>
        <v>#VALUE!</v>
      </c>
      <c r="EG72" t="e">
        <f>AND(Bills!K202,"AAAAAH+/Tog=")</f>
        <v>#VALUE!</v>
      </c>
      <c r="EH72" t="e">
        <f>AND(Bills!L202,"AAAAAH+/Tok=")</f>
        <v>#VALUE!</v>
      </c>
      <c r="EI72" t="e">
        <f>AND(Bills!#REF!,"AAAAAH+/Too=")</f>
        <v>#REF!</v>
      </c>
      <c r="EJ72" t="e">
        <f>AND(Bills!M202,"AAAAAH+/Tos=")</f>
        <v>#VALUE!</v>
      </c>
      <c r="EK72" t="e">
        <f>AND(Bills!N202,"AAAAAH+/Tow=")</f>
        <v>#VALUE!</v>
      </c>
      <c r="EL72" t="e">
        <f>AND(Bills!O202,"AAAAAH+/To0=")</f>
        <v>#VALUE!</v>
      </c>
      <c r="EM72" t="e">
        <f>AND(Bills!P202,"AAAAAH+/To4=")</f>
        <v>#VALUE!</v>
      </c>
      <c r="EN72" t="e">
        <f>AND(Bills!Q202,"AAAAAH+/To8=")</f>
        <v>#VALUE!</v>
      </c>
      <c r="EO72" t="e">
        <f>AND(Bills!R202,"AAAAAH+/TpA=")</f>
        <v>#VALUE!</v>
      </c>
      <c r="EP72" t="e">
        <f>AND(Bills!S202,"AAAAAH+/TpE=")</f>
        <v>#VALUE!</v>
      </c>
      <c r="EQ72" t="e">
        <f>AND(Bills!T202,"AAAAAH+/TpI=")</f>
        <v>#VALUE!</v>
      </c>
      <c r="ER72" t="e">
        <f>AND(Bills!#REF!,"AAAAAH+/TpM=")</f>
        <v>#REF!</v>
      </c>
      <c r="ES72" t="e">
        <f>AND(Bills!U202,"AAAAAH+/TpQ=")</f>
        <v>#VALUE!</v>
      </c>
      <c r="ET72" t="e">
        <f>AND(Bills!V202,"AAAAAH+/TpU=")</f>
        <v>#VALUE!</v>
      </c>
      <c r="EU72" t="e">
        <f>AND(Bills!W202,"AAAAAH+/TpY=")</f>
        <v>#VALUE!</v>
      </c>
      <c r="EV72" t="e">
        <f>AND(Bills!#REF!,"AAAAAH+/Tpc=")</f>
        <v>#REF!</v>
      </c>
      <c r="EW72" t="e">
        <f>AND(Bills!#REF!,"AAAAAH+/Tpg=")</f>
        <v>#REF!</v>
      </c>
      <c r="EX72" t="e">
        <f>AND(Bills!Y202,"AAAAAH+/Tpk=")</f>
        <v>#VALUE!</v>
      </c>
      <c r="EY72" t="e">
        <f>AND(Bills!Z202,"AAAAAH+/Tpo=")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AND(Bills!AA202,"AAAAAH+/TqQ=")</f>
        <v>#VALUE!</v>
      </c>
      <c r="FJ72" t="e">
        <f>AND(Bills!AB202,"AAAAAH+/TqU=")</f>
        <v>#VALUE!</v>
      </c>
      <c r="FK72" t="e">
        <f>AND(Bills!#REF!,"AAAAAH+/TqY=")</f>
        <v>#REF!</v>
      </c>
      <c r="FL72" t="e">
        <f>AND(Bills!#REF!,"AAAAAH+/Tqc=")</f>
        <v>#REF!</v>
      </c>
      <c r="FM72" t="e">
        <f>AND(Bills!#REF!,"AAAAAH+/Tqg=")</f>
        <v>#REF!</v>
      </c>
      <c r="FN72" t="e">
        <f>AND(Bills!AC202,"AAAAAH+/Tqk=")</f>
        <v>#VALUE!</v>
      </c>
      <c r="FO72" t="e">
        <f>AND(Bills!AD202,"AAAAAH+/Tqo=")</f>
        <v>#VALUE!</v>
      </c>
      <c r="FP72" t="e">
        <f>AND(Bills!#REF!,"AAAAAH+/Tqs=")</f>
        <v>#REF!</v>
      </c>
      <c r="FQ72">
        <f>IF(Bills!203:203,"AAAAAH+/Tqw=",0)</f>
        <v>0</v>
      </c>
      <c r="FR72" t="e">
        <f>AND(Bills!B203,"AAAAAH+/Tq0=")</f>
        <v>#VALUE!</v>
      </c>
      <c r="FS72" t="e">
        <f>AND(Bills!#REF!,"AAAAAH+/Tq4=")</f>
        <v>#REF!</v>
      </c>
      <c r="FT72" t="e">
        <f>AND(Bills!C203,"AAAAAH+/Tq8=")</f>
        <v>#VALUE!</v>
      </c>
      <c r="FU72" t="e">
        <f>AND(Bills!D203,"AAAAAH+/TrA=")</f>
        <v>#VALUE!</v>
      </c>
      <c r="FV72" t="e">
        <f>AND(Bills!E203,"AAAAAH+/TrE=")</f>
        <v>#VALUE!</v>
      </c>
      <c r="FW72" t="e">
        <f>AND(Bills!#REF!,"AAAAAH+/TrI=")</f>
        <v>#REF!</v>
      </c>
      <c r="FX72" t="e">
        <f>AND(Bills!#REF!,"AAAAAH+/TrM=")</f>
        <v>#REF!</v>
      </c>
      <c r="FY72" t="e">
        <f>AND(Bills!#REF!,"AAAAAH+/TrQ=")</f>
        <v>#REF!</v>
      </c>
      <c r="FZ72" t="e">
        <f>AND(Bills!F203,"AAAAAH+/TrU=")</f>
        <v>#VALUE!</v>
      </c>
      <c r="GA72" t="e">
        <f>AND(Bills!#REF!,"AAAAAH+/TrY=")</f>
        <v>#REF!</v>
      </c>
      <c r="GB72" t="e">
        <f>AND(Bills!G203,"AAAAAH+/Trc=")</f>
        <v>#VALUE!</v>
      </c>
      <c r="GC72" t="e">
        <f>AND(Bills!H203,"AAAAAH+/Trg=")</f>
        <v>#VALUE!</v>
      </c>
      <c r="GD72" t="e">
        <f>AND(Bills!I203,"AAAAAH+/Trk=")</f>
        <v>#VALUE!</v>
      </c>
      <c r="GE72" t="e">
        <f>AND(Bills!J203,"AAAAAH+/Tro=")</f>
        <v>#VALUE!</v>
      </c>
      <c r="GF72" t="e">
        <f>AND(Bills!K203,"AAAAAH+/Trs=")</f>
        <v>#VALUE!</v>
      </c>
      <c r="GG72" t="e">
        <f>AND(Bills!L203,"AAAAAH+/Trw=")</f>
        <v>#VALUE!</v>
      </c>
      <c r="GH72" t="e">
        <f>AND(Bills!#REF!,"AAAAAH+/Tr0=")</f>
        <v>#REF!</v>
      </c>
      <c r="GI72" t="e">
        <f>AND(Bills!M203,"AAAAAH+/Tr4=")</f>
        <v>#VALUE!</v>
      </c>
      <c r="GJ72" t="e">
        <f>AND(Bills!N203,"AAAAAH+/Tr8=")</f>
        <v>#VALUE!</v>
      </c>
      <c r="GK72" t="e">
        <f>AND(Bills!O203,"AAAAAH+/TsA=")</f>
        <v>#VALUE!</v>
      </c>
      <c r="GL72" t="e">
        <f>AND(Bills!P203,"AAAAAH+/TsE=")</f>
        <v>#VALUE!</v>
      </c>
      <c r="GM72" t="e">
        <f>AND(Bills!Q203,"AAAAAH+/TsI=")</f>
        <v>#VALUE!</v>
      </c>
      <c r="GN72" t="e">
        <f>AND(Bills!R203,"AAAAAH+/TsM=")</f>
        <v>#VALUE!</v>
      </c>
      <c r="GO72" t="e">
        <f>AND(Bills!S203,"AAAAAH+/TsQ=")</f>
        <v>#VALUE!</v>
      </c>
      <c r="GP72" t="e">
        <f>AND(Bills!T203,"AAAAAH+/TsU=")</f>
        <v>#VALUE!</v>
      </c>
      <c r="GQ72" t="e">
        <f>AND(Bills!#REF!,"AAAAAH+/TsY=")</f>
        <v>#REF!</v>
      </c>
      <c r="GR72" t="e">
        <f>AND(Bills!U203,"AAAAAH+/Tsc=")</f>
        <v>#VALUE!</v>
      </c>
      <c r="GS72" t="e">
        <f>AND(Bills!V203,"AAAAAH+/Tsg=")</f>
        <v>#VALUE!</v>
      </c>
      <c r="GT72" t="e">
        <f>AND(Bills!W203,"AAAAAH+/Tsk=")</f>
        <v>#VALUE!</v>
      </c>
      <c r="GU72" t="e">
        <f>AND(Bills!#REF!,"AAAAAH+/Tso=")</f>
        <v>#REF!</v>
      </c>
      <c r="GV72" t="e">
        <f>AND(Bills!#REF!,"AAAAAH+/Tss=")</f>
        <v>#REF!</v>
      </c>
      <c r="GW72" t="e">
        <f>AND(Bills!Y203,"AAAAAH+/Tsw=")</f>
        <v>#VALUE!</v>
      </c>
      <c r="GX72" t="e">
        <f>AND(Bills!Z203,"AAAAAH+/Ts0=")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AND(Bills!AA203,"AAAAAH+/Ttc=")</f>
        <v>#VALUE!</v>
      </c>
      <c r="HI72" t="e">
        <f>AND(Bills!AB203,"AAAAAH+/Ttg=")</f>
        <v>#VALUE!</v>
      </c>
      <c r="HJ72" t="e">
        <f>AND(Bills!#REF!,"AAAAAH+/Ttk=")</f>
        <v>#REF!</v>
      </c>
      <c r="HK72" t="e">
        <f>AND(Bills!#REF!,"AAAAAH+/Tto=")</f>
        <v>#REF!</v>
      </c>
      <c r="HL72" t="e">
        <f>AND(Bills!#REF!,"AAAAAH+/Tts=")</f>
        <v>#REF!</v>
      </c>
      <c r="HM72" t="e">
        <f>AND(Bills!AC203,"AAAAAH+/Ttw=")</f>
        <v>#VALUE!</v>
      </c>
      <c r="HN72" t="e">
        <f>AND(Bills!AD203,"AAAAAH+/Tt0=")</f>
        <v>#VALUE!</v>
      </c>
      <c r="HO72" t="e">
        <f>AND(Bills!#REF!,"AAAAAH+/Tt4=")</f>
        <v>#REF!</v>
      </c>
      <c r="HP72">
        <f>IF(Bills!204:204,"AAAAAH+/Tt8=",0)</f>
        <v>0</v>
      </c>
      <c r="HQ72" t="e">
        <f>AND(Bills!B204,"AAAAAH+/TuA=")</f>
        <v>#VALUE!</v>
      </c>
      <c r="HR72" t="e">
        <f>AND(Bills!#REF!,"AAAAAH+/TuE=")</f>
        <v>#REF!</v>
      </c>
      <c r="HS72" t="e">
        <f>AND(Bills!C204,"AAAAAH+/TuI=")</f>
        <v>#VALUE!</v>
      </c>
      <c r="HT72" t="e">
        <f>AND(Bills!D204,"AAAAAH+/TuM=")</f>
        <v>#VALUE!</v>
      </c>
      <c r="HU72" t="e">
        <f>AND(Bills!E204,"AAAAAH+/TuQ=")</f>
        <v>#VALUE!</v>
      </c>
      <c r="HV72" t="e">
        <f>AND(Bills!#REF!,"AAAAAH+/TuU=")</f>
        <v>#REF!</v>
      </c>
      <c r="HW72" t="e">
        <f>AND(Bills!#REF!,"AAAAAH+/TuY=")</f>
        <v>#REF!</v>
      </c>
      <c r="HX72" t="e">
        <f>AND(Bills!#REF!,"AAAAAH+/Tuc=")</f>
        <v>#REF!</v>
      </c>
      <c r="HY72" t="e">
        <f>AND(Bills!F204,"AAAAAH+/Tug=")</f>
        <v>#VALUE!</v>
      </c>
      <c r="HZ72" t="e">
        <f>AND(Bills!#REF!,"AAAAAH+/Tuk=")</f>
        <v>#REF!</v>
      </c>
      <c r="IA72" t="e">
        <f>AND(Bills!G204,"AAAAAH+/Tuo=")</f>
        <v>#VALUE!</v>
      </c>
      <c r="IB72" t="e">
        <f>AND(Bills!H204,"AAAAAH+/Tus=")</f>
        <v>#VALUE!</v>
      </c>
      <c r="IC72" t="e">
        <f>AND(Bills!I204,"AAAAAH+/Tuw=")</f>
        <v>#VALUE!</v>
      </c>
      <c r="ID72" t="e">
        <f>AND(Bills!J204,"AAAAAH+/Tu0=")</f>
        <v>#VALUE!</v>
      </c>
      <c r="IE72" t="e">
        <f>AND(Bills!K204,"AAAAAH+/Tu4=")</f>
        <v>#VALUE!</v>
      </c>
      <c r="IF72" t="e">
        <f>AND(Bills!L204,"AAAAAH+/Tu8=")</f>
        <v>#VALUE!</v>
      </c>
      <c r="IG72" t="e">
        <f>AND(Bills!#REF!,"AAAAAH+/TvA=")</f>
        <v>#REF!</v>
      </c>
      <c r="IH72" t="e">
        <f>AND(Bills!M204,"AAAAAH+/TvE=")</f>
        <v>#VALUE!</v>
      </c>
      <c r="II72" t="e">
        <f>AND(Bills!N204,"AAAAAH+/TvI=")</f>
        <v>#VALUE!</v>
      </c>
      <c r="IJ72" t="e">
        <f>AND(Bills!O204,"AAAAAH+/TvM=")</f>
        <v>#VALUE!</v>
      </c>
      <c r="IK72" t="e">
        <f>AND(Bills!P204,"AAAAAH+/TvQ=")</f>
        <v>#VALUE!</v>
      </c>
      <c r="IL72" t="e">
        <f>AND(Bills!Q204,"AAAAAH+/TvU=")</f>
        <v>#VALUE!</v>
      </c>
      <c r="IM72" t="e">
        <f>AND(Bills!R204,"AAAAAH+/TvY=")</f>
        <v>#VALUE!</v>
      </c>
      <c r="IN72" t="e">
        <f>AND(Bills!S204,"AAAAAH+/Tvc=")</f>
        <v>#VALUE!</v>
      </c>
      <c r="IO72" t="e">
        <f>AND(Bills!T204,"AAAAAH+/Tvg=")</f>
        <v>#VALUE!</v>
      </c>
      <c r="IP72" t="e">
        <f>AND(Bills!#REF!,"AAAAAH+/Tvk=")</f>
        <v>#REF!</v>
      </c>
      <c r="IQ72" t="e">
        <f>AND(Bills!U204,"AAAAAH+/Tvo=")</f>
        <v>#VALUE!</v>
      </c>
      <c r="IR72" t="e">
        <f>AND(Bills!V204,"AAAAAH+/Tvs=")</f>
        <v>#VALUE!</v>
      </c>
      <c r="IS72" t="e">
        <f>AND(Bills!W204,"AAAAAH+/Tvw=")</f>
        <v>#VALUE!</v>
      </c>
      <c r="IT72" t="e">
        <f>AND(Bills!#REF!,"AAAAAH+/Tv0=")</f>
        <v>#REF!</v>
      </c>
      <c r="IU72" t="e">
        <f>AND(Bills!#REF!,"AAAAAH+/Tv4=")</f>
        <v>#REF!</v>
      </c>
      <c r="IV72" t="e">
        <f>AND(Bills!Y204,"AAAAAH+/Tv8=")</f>
        <v>#VALUE!</v>
      </c>
    </row>
    <row r="73" spans="1:256">
      <c r="A73" t="e">
        <f>AND(Bills!Z204,"AAAAAH313gA=")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AND(Bills!AA204,"AAAAAH313go=")</f>
        <v>#VALUE!</v>
      </c>
      <c r="L73" t="e">
        <f>AND(Bills!AB204,"AAAAAH313gs=")</f>
        <v>#VALUE!</v>
      </c>
      <c r="M73" t="e">
        <f>AND(Bills!#REF!,"AAAAAH313gw=")</f>
        <v>#REF!</v>
      </c>
      <c r="N73" t="e">
        <f>AND(Bills!#REF!,"AAAAAH313g0=")</f>
        <v>#REF!</v>
      </c>
      <c r="O73" t="e">
        <f>AND(Bills!#REF!,"AAAAAH313g4=")</f>
        <v>#REF!</v>
      </c>
      <c r="P73" t="e">
        <f>AND(Bills!AC204,"AAAAAH313g8=")</f>
        <v>#VALUE!</v>
      </c>
      <c r="Q73" t="e">
        <f>AND(Bills!AD204,"AAAAAH313hA=")</f>
        <v>#VALUE!</v>
      </c>
      <c r="R73" t="e">
        <f>AND(Bills!#REF!,"AAAAAH313hE=")</f>
        <v>#REF!</v>
      </c>
      <c r="S73">
        <f>IF(Bills!205:205,"AAAAAH313hI=",0)</f>
        <v>0</v>
      </c>
      <c r="T73" t="e">
        <f>AND(Bills!B205,"AAAAAH313hM=")</f>
        <v>#VALUE!</v>
      </c>
      <c r="U73" t="e">
        <f>AND(Bills!#REF!,"AAAAAH313hQ=")</f>
        <v>#REF!</v>
      </c>
      <c r="V73" t="e">
        <f>AND(Bills!C205,"AAAAAH313hU=")</f>
        <v>#VALUE!</v>
      </c>
      <c r="W73" t="e">
        <f>AND(Bills!D205,"AAAAAH313hY=")</f>
        <v>#VALUE!</v>
      </c>
      <c r="X73" t="e">
        <f>AND(Bills!E205,"AAAAAH313hc=")</f>
        <v>#VALUE!</v>
      </c>
      <c r="Y73" t="e">
        <f>AND(Bills!#REF!,"AAAAAH313hg=")</f>
        <v>#REF!</v>
      </c>
      <c r="Z73" t="e">
        <f>AND(Bills!#REF!,"AAAAAH313hk=")</f>
        <v>#REF!</v>
      </c>
      <c r="AA73" t="e">
        <f>AND(Bills!#REF!,"AAAAAH313ho=")</f>
        <v>#REF!</v>
      </c>
      <c r="AB73" t="e">
        <f>AND(Bills!F205,"AAAAAH313hs=")</f>
        <v>#VALUE!</v>
      </c>
      <c r="AC73" t="e">
        <f>AND(Bills!#REF!,"AAAAAH313hw=")</f>
        <v>#REF!</v>
      </c>
      <c r="AD73" t="e">
        <f>AND(Bills!G205,"AAAAAH313h0=")</f>
        <v>#VALUE!</v>
      </c>
      <c r="AE73" t="e">
        <f>AND(Bills!H205,"AAAAAH313h4=")</f>
        <v>#VALUE!</v>
      </c>
      <c r="AF73" t="e">
        <f>AND(Bills!I205,"AAAAAH313h8=")</f>
        <v>#VALUE!</v>
      </c>
      <c r="AG73" t="e">
        <f>AND(Bills!J205,"AAAAAH313iA=")</f>
        <v>#VALUE!</v>
      </c>
      <c r="AH73" t="e">
        <f>AND(Bills!K205,"AAAAAH313iE=")</f>
        <v>#VALUE!</v>
      </c>
      <c r="AI73" t="e">
        <f>AND(Bills!L205,"AAAAAH313iI=")</f>
        <v>#VALUE!</v>
      </c>
      <c r="AJ73" t="e">
        <f>AND(Bills!#REF!,"AAAAAH313iM=")</f>
        <v>#REF!</v>
      </c>
      <c r="AK73" t="e">
        <f>AND(Bills!M205,"AAAAAH313iQ=")</f>
        <v>#VALUE!</v>
      </c>
      <c r="AL73" t="e">
        <f>AND(Bills!N205,"AAAAAH313iU=")</f>
        <v>#VALUE!</v>
      </c>
      <c r="AM73" t="e">
        <f>AND(Bills!O205,"AAAAAH313iY=")</f>
        <v>#VALUE!</v>
      </c>
      <c r="AN73" t="e">
        <f>AND(Bills!P205,"AAAAAH313ic=")</f>
        <v>#VALUE!</v>
      </c>
      <c r="AO73" t="e">
        <f>AND(Bills!Q205,"AAAAAH313ig=")</f>
        <v>#VALUE!</v>
      </c>
      <c r="AP73" t="e">
        <f>AND(Bills!R205,"AAAAAH313ik=")</f>
        <v>#VALUE!</v>
      </c>
      <c r="AQ73" t="e">
        <f>AND(Bills!S205,"AAAAAH313io=")</f>
        <v>#VALUE!</v>
      </c>
      <c r="AR73" t="e">
        <f>AND(Bills!T205,"AAAAAH313is=")</f>
        <v>#VALUE!</v>
      </c>
      <c r="AS73" t="e">
        <f>AND(Bills!#REF!,"AAAAAH313iw=")</f>
        <v>#REF!</v>
      </c>
      <c r="AT73" t="e">
        <f>AND(Bills!U205,"AAAAAH313i0=")</f>
        <v>#VALUE!</v>
      </c>
      <c r="AU73" t="e">
        <f>AND(Bills!V205,"AAAAAH313i4=")</f>
        <v>#VALUE!</v>
      </c>
      <c r="AV73" t="e">
        <f>AND(Bills!W205,"AAAAAH313i8=")</f>
        <v>#VALUE!</v>
      </c>
      <c r="AW73" t="e">
        <f>AND(Bills!#REF!,"AAAAAH313jA=")</f>
        <v>#REF!</v>
      </c>
      <c r="AX73" t="e">
        <f>AND(Bills!#REF!,"AAAAAH313jE=")</f>
        <v>#REF!</v>
      </c>
      <c r="AY73" t="e">
        <f>AND(Bills!Y205,"AAAAAH313jI=")</f>
        <v>#VALUE!</v>
      </c>
      <c r="AZ73" t="e">
        <f>AND(Bills!Z205,"AAAAAH313jM=")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AND(Bills!AA205,"AAAAAH313j0=")</f>
        <v>#VALUE!</v>
      </c>
      <c r="BK73" t="e">
        <f>AND(Bills!AB205,"AAAAAH313j4=")</f>
        <v>#VALUE!</v>
      </c>
      <c r="BL73" t="e">
        <f>AND(Bills!#REF!,"AAAAAH313j8=")</f>
        <v>#REF!</v>
      </c>
      <c r="BM73" t="e">
        <f>AND(Bills!#REF!,"AAAAAH313kA=")</f>
        <v>#REF!</v>
      </c>
      <c r="BN73" t="e">
        <f>AND(Bills!#REF!,"AAAAAH313kE=")</f>
        <v>#REF!</v>
      </c>
      <c r="BO73" t="e">
        <f>AND(Bills!AC205,"AAAAAH313kI=")</f>
        <v>#VALUE!</v>
      </c>
      <c r="BP73" t="e">
        <f>AND(Bills!AD205,"AAAAAH313kM=")</f>
        <v>#VALUE!</v>
      </c>
      <c r="BQ73" t="e">
        <f>AND(Bills!#REF!,"AAAAAH313kQ=")</f>
        <v>#REF!</v>
      </c>
      <c r="BR73">
        <f>IF(Bills!206:206,"AAAAAH313kU=",0)</f>
        <v>0</v>
      </c>
      <c r="BS73" t="e">
        <f>AND(Bills!B206,"AAAAAH313kY=")</f>
        <v>#VALUE!</v>
      </c>
      <c r="BT73" t="e">
        <f>AND(Bills!#REF!,"AAAAAH313kc=")</f>
        <v>#REF!</v>
      </c>
      <c r="BU73" t="e">
        <f>AND(Bills!C206,"AAAAAH313kg=")</f>
        <v>#VALUE!</v>
      </c>
      <c r="BV73" t="e">
        <f>AND(Bills!D206,"AAAAAH313kk=")</f>
        <v>#VALUE!</v>
      </c>
      <c r="BW73" t="e">
        <f>AND(Bills!E206,"AAAAAH313ko=")</f>
        <v>#VALUE!</v>
      </c>
      <c r="BX73" t="e">
        <f>AND(Bills!#REF!,"AAAAAH313ks=")</f>
        <v>#REF!</v>
      </c>
      <c r="BY73" t="e">
        <f>AND(Bills!#REF!,"AAAAAH313kw=")</f>
        <v>#REF!</v>
      </c>
      <c r="BZ73" t="e">
        <f>AND(Bills!#REF!,"AAAAAH313k0=")</f>
        <v>#REF!</v>
      </c>
      <c r="CA73" t="e">
        <f>AND(Bills!F206,"AAAAAH313k4=")</f>
        <v>#VALUE!</v>
      </c>
      <c r="CB73" t="e">
        <f>AND(Bills!#REF!,"AAAAAH313k8=")</f>
        <v>#REF!</v>
      </c>
      <c r="CC73" t="e">
        <f>AND(Bills!G206,"AAAAAH313lA=")</f>
        <v>#VALUE!</v>
      </c>
      <c r="CD73" t="e">
        <f>AND(Bills!H206,"AAAAAH313lE=")</f>
        <v>#VALUE!</v>
      </c>
      <c r="CE73" t="e">
        <f>AND(Bills!I206,"AAAAAH313lI=")</f>
        <v>#VALUE!</v>
      </c>
      <c r="CF73" t="e">
        <f>AND(Bills!J206,"AAAAAH313lM=")</f>
        <v>#VALUE!</v>
      </c>
      <c r="CG73" t="e">
        <f>AND(Bills!K206,"AAAAAH313lQ=")</f>
        <v>#VALUE!</v>
      </c>
      <c r="CH73" t="e">
        <f>AND(Bills!L206,"AAAAAH313lU=")</f>
        <v>#VALUE!</v>
      </c>
      <c r="CI73" t="e">
        <f>AND(Bills!#REF!,"AAAAAH313lY=")</f>
        <v>#REF!</v>
      </c>
      <c r="CJ73" t="e">
        <f>AND(Bills!M206,"AAAAAH313lc=")</f>
        <v>#VALUE!</v>
      </c>
      <c r="CK73" t="e">
        <f>AND(Bills!N206,"AAAAAH313lg=")</f>
        <v>#VALUE!</v>
      </c>
      <c r="CL73" t="e">
        <f>AND(Bills!O206,"AAAAAH313lk=")</f>
        <v>#VALUE!</v>
      </c>
      <c r="CM73" t="e">
        <f>AND(Bills!P206,"AAAAAH313lo=")</f>
        <v>#VALUE!</v>
      </c>
      <c r="CN73" t="e">
        <f>AND(Bills!Q206,"AAAAAH313ls=")</f>
        <v>#VALUE!</v>
      </c>
      <c r="CO73" t="e">
        <f>AND(Bills!R206,"AAAAAH313lw=")</f>
        <v>#VALUE!</v>
      </c>
      <c r="CP73" t="e">
        <f>AND(Bills!S206,"AAAAAH313l0=")</f>
        <v>#VALUE!</v>
      </c>
      <c r="CQ73" t="e">
        <f>AND(Bills!T206,"AAAAAH313l4=")</f>
        <v>#VALUE!</v>
      </c>
      <c r="CR73" t="e">
        <f>AND(Bills!#REF!,"AAAAAH313l8=")</f>
        <v>#REF!</v>
      </c>
      <c r="CS73" t="e">
        <f>AND(Bills!U206,"AAAAAH313mA=")</f>
        <v>#VALUE!</v>
      </c>
      <c r="CT73" t="e">
        <f>AND(Bills!V206,"AAAAAH313mE=")</f>
        <v>#VALUE!</v>
      </c>
      <c r="CU73" t="e">
        <f>AND(Bills!W206,"AAAAAH313mI=")</f>
        <v>#VALUE!</v>
      </c>
      <c r="CV73" t="e">
        <f>AND(Bills!#REF!,"AAAAAH313mM=")</f>
        <v>#REF!</v>
      </c>
      <c r="CW73" t="e">
        <f>AND(Bills!#REF!,"AAAAAH313mQ=")</f>
        <v>#REF!</v>
      </c>
      <c r="CX73" t="e">
        <f>AND(Bills!Y206,"AAAAAH313mU=")</f>
        <v>#VALUE!</v>
      </c>
      <c r="CY73" t="e">
        <f>AND(Bills!Z206,"AAAAAH313mY=")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AND(Bills!AA206,"AAAAAH313nA=")</f>
        <v>#VALUE!</v>
      </c>
      <c r="DJ73" t="e">
        <f>AND(Bills!AB206,"AAAAAH313nE=")</f>
        <v>#VALUE!</v>
      </c>
      <c r="DK73" t="e">
        <f>AND(Bills!#REF!,"AAAAAH313nI=")</f>
        <v>#REF!</v>
      </c>
      <c r="DL73" t="e">
        <f>AND(Bills!#REF!,"AAAAAH313nM=")</f>
        <v>#REF!</v>
      </c>
      <c r="DM73" t="e">
        <f>AND(Bills!#REF!,"AAAAAH313nQ=")</f>
        <v>#REF!</v>
      </c>
      <c r="DN73" t="e">
        <f>AND(Bills!AC206,"AAAAAH313nU=")</f>
        <v>#VALUE!</v>
      </c>
      <c r="DO73" t="e">
        <f>AND(Bills!AD206,"AAAAAH313nY=")</f>
        <v>#VALUE!</v>
      </c>
      <c r="DP73" t="e">
        <f>AND(Bills!#REF!,"AAAAAH313nc=")</f>
        <v>#REF!</v>
      </c>
      <c r="DQ73">
        <f>IF(Bills!207:207,"AAAAAH313ng=",0)</f>
        <v>0</v>
      </c>
      <c r="DR73" t="e">
        <f>AND(Bills!B207,"AAAAAH313nk=")</f>
        <v>#VALUE!</v>
      </c>
      <c r="DS73" t="e">
        <f>AND(Bills!#REF!,"AAAAAH313no=")</f>
        <v>#REF!</v>
      </c>
      <c r="DT73" t="e">
        <f>AND(Bills!C207,"AAAAAH313ns=")</f>
        <v>#VALUE!</v>
      </c>
      <c r="DU73" t="e">
        <f>AND(Bills!D207,"AAAAAH313nw=")</f>
        <v>#VALUE!</v>
      </c>
      <c r="DV73" t="e">
        <f>AND(Bills!E207,"AAAAAH313n0=")</f>
        <v>#VALUE!</v>
      </c>
      <c r="DW73" t="e">
        <f>AND(Bills!#REF!,"AAAAAH313n4=")</f>
        <v>#REF!</v>
      </c>
      <c r="DX73" t="e">
        <f>AND(Bills!#REF!,"AAAAAH313n8=")</f>
        <v>#REF!</v>
      </c>
      <c r="DY73" t="e">
        <f>AND(Bills!#REF!,"AAAAAH313oA=")</f>
        <v>#REF!</v>
      </c>
      <c r="DZ73" t="e">
        <f>AND(Bills!F207,"AAAAAH313oE=")</f>
        <v>#VALUE!</v>
      </c>
      <c r="EA73" t="e">
        <f>AND(Bills!#REF!,"AAAAAH313oI=")</f>
        <v>#REF!</v>
      </c>
      <c r="EB73" t="e">
        <f>AND(Bills!G207,"AAAAAH313oM=")</f>
        <v>#VALUE!</v>
      </c>
      <c r="EC73" t="e">
        <f>AND(Bills!H207,"AAAAAH313oQ=")</f>
        <v>#VALUE!</v>
      </c>
      <c r="ED73" t="e">
        <f>AND(Bills!I207,"AAAAAH313oU=")</f>
        <v>#VALUE!</v>
      </c>
      <c r="EE73" t="e">
        <f>AND(Bills!J207,"AAAAAH313oY=")</f>
        <v>#VALUE!</v>
      </c>
      <c r="EF73" t="e">
        <f>AND(Bills!K207,"AAAAAH313oc=")</f>
        <v>#VALUE!</v>
      </c>
      <c r="EG73" t="e">
        <f>AND(Bills!L207,"AAAAAH313og=")</f>
        <v>#VALUE!</v>
      </c>
      <c r="EH73" t="e">
        <f>AND(Bills!#REF!,"AAAAAH313ok=")</f>
        <v>#REF!</v>
      </c>
      <c r="EI73" t="e">
        <f>AND(Bills!M207,"AAAAAH313oo=")</f>
        <v>#VALUE!</v>
      </c>
      <c r="EJ73" t="e">
        <f>AND(Bills!N207,"AAAAAH313os=")</f>
        <v>#VALUE!</v>
      </c>
      <c r="EK73" t="e">
        <f>AND(Bills!O207,"AAAAAH313ow=")</f>
        <v>#VALUE!</v>
      </c>
      <c r="EL73" t="e">
        <f>AND(Bills!P207,"AAAAAH313o0=")</f>
        <v>#VALUE!</v>
      </c>
      <c r="EM73" t="e">
        <f>AND(Bills!Q207,"AAAAAH313o4=")</f>
        <v>#VALUE!</v>
      </c>
      <c r="EN73" t="e">
        <f>AND(Bills!R207,"AAAAAH313o8=")</f>
        <v>#VALUE!</v>
      </c>
      <c r="EO73" t="e">
        <f>AND(Bills!S207,"AAAAAH313pA=")</f>
        <v>#VALUE!</v>
      </c>
      <c r="EP73" t="e">
        <f>AND(Bills!T207,"AAAAAH313pE=")</f>
        <v>#VALUE!</v>
      </c>
      <c r="EQ73" t="e">
        <f>AND(Bills!#REF!,"AAAAAH313pI=")</f>
        <v>#REF!</v>
      </c>
      <c r="ER73" t="e">
        <f>AND(Bills!U207,"AAAAAH313pM=")</f>
        <v>#VALUE!</v>
      </c>
      <c r="ES73" t="e">
        <f>AND(Bills!V207,"AAAAAH313pQ=")</f>
        <v>#VALUE!</v>
      </c>
      <c r="ET73" t="e">
        <f>AND(Bills!W207,"AAAAAH313pU=")</f>
        <v>#VALUE!</v>
      </c>
      <c r="EU73" t="e">
        <f>AND(Bills!#REF!,"AAAAAH313pY=")</f>
        <v>#REF!</v>
      </c>
      <c r="EV73" t="e">
        <f>AND(Bills!#REF!,"AAAAAH313pc=")</f>
        <v>#REF!</v>
      </c>
      <c r="EW73" t="e">
        <f>AND(Bills!Y207,"AAAAAH313pg=")</f>
        <v>#VALUE!</v>
      </c>
      <c r="EX73" t="e">
        <f>AND(Bills!Z207,"AAAAAH313pk=")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AND(Bills!AA207,"AAAAAH313qM=")</f>
        <v>#VALUE!</v>
      </c>
      <c r="FI73" t="e">
        <f>AND(Bills!AB207,"AAAAAH313qQ=")</f>
        <v>#VALUE!</v>
      </c>
      <c r="FJ73" t="e">
        <f>AND(Bills!#REF!,"AAAAAH313qU=")</f>
        <v>#REF!</v>
      </c>
      <c r="FK73" t="e">
        <f>AND(Bills!#REF!,"AAAAAH313qY=")</f>
        <v>#REF!</v>
      </c>
      <c r="FL73" t="e">
        <f>AND(Bills!#REF!,"AAAAAH313qc=")</f>
        <v>#REF!</v>
      </c>
      <c r="FM73" t="e">
        <f>AND(Bills!AC207,"AAAAAH313qg=")</f>
        <v>#VALUE!</v>
      </c>
      <c r="FN73" t="e">
        <f>AND(Bills!AD207,"AAAAAH313qk=")</f>
        <v>#VALUE!</v>
      </c>
      <c r="FO73" t="e">
        <f>AND(Bills!#REF!,"AAAAAH313qo=")</f>
        <v>#REF!</v>
      </c>
      <c r="FP73">
        <f>IF(Bills!208:208,"AAAAAH313qs=",0)</f>
        <v>0</v>
      </c>
      <c r="FQ73" t="e">
        <f>AND(Bills!B208,"AAAAAH313qw=")</f>
        <v>#VALUE!</v>
      </c>
      <c r="FR73" t="e">
        <f>AND(Bills!#REF!,"AAAAAH313q0=")</f>
        <v>#REF!</v>
      </c>
      <c r="FS73" t="e">
        <f>AND(Bills!C208,"AAAAAH313q4=")</f>
        <v>#VALUE!</v>
      </c>
      <c r="FT73" t="e">
        <f>AND(Bills!D208,"AAAAAH313q8=")</f>
        <v>#VALUE!</v>
      </c>
      <c r="FU73" t="e">
        <f>AND(Bills!E208,"AAAAAH313rA=")</f>
        <v>#VALUE!</v>
      </c>
      <c r="FV73" t="e">
        <f>AND(Bills!#REF!,"AAAAAH313rE=")</f>
        <v>#REF!</v>
      </c>
      <c r="FW73" t="e">
        <f>AND(Bills!#REF!,"AAAAAH313rI=")</f>
        <v>#REF!</v>
      </c>
      <c r="FX73" t="e">
        <f>AND(Bills!#REF!,"AAAAAH313rM=")</f>
        <v>#REF!</v>
      </c>
      <c r="FY73" t="e">
        <f>AND(Bills!F208,"AAAAAH313rQ=")</f>
        <v>#VALUE!</v>
      </c>
      <c r="FZ73" t="e">
        <f>AND(Bills!#REF!,"AAAAAH313rU=")</f>
        <v>#REF!</v>
      </c>
      <c r="GA73" t="e">
        <f>AND(Bills!G208,"AAAAAH313rY=")</f>
        <v>#VALUE!</v>
      </c>
      <c r="GB73" t="e">
        <f>AND(Bills!H208,"AAAAAH313rc=")</f>
        <v>#VALUE!</v>
      </c>
      <c r="GC73" t="e">
        <f>AND(Bills!I208,"AAAAAH313rg=")</f>
        <v>#VALUE!</v>
      </c>
      <c r="GD73" t="e">
        <f>AND(Bills!J208,"AAAAAH313rk=")</f>
        <v>#VALUE!</v>
      </c>
      <c r="GE73" t="e">
        <f>AND(Bills!K208,"AAAAAH313ro=")</f>
        <v>#VALUE!</v>
      </c>
      <c r="GF73" t="e">
        <f>AND(Bills!L208,"AAAAAH313rs=")</f>
        <v>#VALUE!</v>
      </c>
      <c r="GG73" t="e">
        <f>AND(Bills!#REF!,"AAAAAH313rw=")</f>
        <v>#REF!</v>
      </c>
      <c r="GH73" t="e">
        <f>AND(Bills!M208,"AAAAAH313r0=")</f>
        <v>#VALUE!</v>
      </c>
      <c r="GI73" t="e">
        <f>AND(Bills!N208,"AAAAAH313r4=")</f>
        <v>#VALUE!</v>
      </c>
      <c r="GJ73" t="e">
        <f>AND(Bills!O208,"AAAAAH313r8=")</f>
        <v>#VALUE!</v>
      </c>
      <c r="GK73" t="e">
        <f>AND(Bills!P208,"AAAAAH313sA=")</f>
        <v>#VALUE!</v>
      </c>
      <c r="GL73" t="e">
        <f>AND(Bills!Q208,"AAAAAH313sE=")</f>
        <v>#VALUE!</v>
      </c>
      <c r="GM73" t="e">
        <f>AND(Bills!R208,"AAAAAH313sI=")</f>
        <v>#VALUE!</v>
      </c>
      <c r="GN73" t="e">
        <f>AND(Bills!S208,"AAAAAH313sM=")</f>
        <v>#VALUE!</v>
      </c>
      <c r="GO73" t="e">
        <f>AND(Bills!T208,"AAAAAH313sQ=")</f>
        <v>#VALUE!</v>
      </c>
      <c r="GP73" t="e">
        <f>AND(Bills!#REF!,"AAAAAH313sU=")</f>
        <v>#REF!</v>
      </c>
      <c r="GQ73" t="e">
        <f>AND(Bills!U208,"AAAAAH313sY=")</f>
        <v>#VALUE!</v>
      </c>
      <c r="GR73" t="e">
        <f>AND(Bills!V208,"AAAAAH313sc=")</f>
        <v>#VALUE!</v>
      </c>
      <c r="GS73" t="e">
        <f>AND(Bills!W208,"AAAAAH313sg=")</f>
        <v>#VALUE!</v>
      </c>
      <c r="GT73" t="e">
        <f>AND(Bills!#REF!,"AAAAAH313sk=")</f>
        <v>#REF!</v>
      </c>
      <c r="GU73" t="e">
        <f>AND(Bills!#REF!,"AAAAAH313so=")</f>
        <v>#REF!</v>
      </c>
      <c r="GV73" t="e">
        <f>AND(Bills!Y208,"AAAAAH313ss=")</f>
        <v>#VALUE!</v>
      </c>
      <c r="GW73" t="e">
        <f>AND(Bills!Z208,"AAAAAH313sw=")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AND(Bills!AA208,"AAAAAH313tY=")</f>
        <v>#VALUE!</v>
      </c>
      <c r="HH73" t="e">
        <f>AND(Bills!AB208,"AAAAAH313tc=")</f>
        <v>#VALUE!</v>
      </c>
      <c r="HI73" t="e">
        <f>AND(Bills!#REF!,"AAAAAH313tg=")</f>
        <v>#REF!</v>
      </c>
      <c r="HJ73" t="e">
        <f>AND(Bills!#REF!,"AAAAAH313tk=")</f>
        <v>#REF!</v>
      </c>
      <c r="HK73" t="e">
        <f>AND(Bills!#REF!,"AAAAAH313to=")</f>
        <v>#REF!</v>
      </c>
      <c r="HL73" t="e">
        <f>AND(Bills!AC208,"AAAAAH313ts=")</f>
        <v>#VALUE!</v>
      </c>
      <c r="HM73" t="e">
        <f>AND(Bills!AD208,"AAAAAH313tw=")</f>
        <v>#VALUE!</v>
      </c>
      <c r="HN73" t="e">
        <f>AND(Bills!#REF!,"AAAAAH313t0=")</f>
        <v>#REF!</v>
      </c>
      <c r="HO73">
        <f>IF(Bills!209:209,"AAAAAH313t4=",0)</f>
        <v>0</v>
      </c>
      <c r="HP73" t="e">
        <f>AND(Bills!B209,"AAAAAH313t8=")</f>
        <v>#VALUE!</v>
      </c>
      <c r="HQ73" t="e">
        <f>AND(Bills!#REF!,"AAAAAH313uA=")</f>
        <v>#REF!</v>
      </c>
      <c r="HR73" t="e">
        <f>AND(Bills!C209,"AAAAAH313uE=")</f>
        <v>#VALUE!</v>
      </c>
      <c r="HS73" t="e">
        <f>AND(Bills!D209,"AAAAAH313uI=")</f>
        <v>#VALUE!</v>
      </c>
      <c r="HT73" t="e">
        <f>AND(Bills!E209,"AAAAAH313uM=")</f>
        <v>#VALUE!</v>
      </c>
      <c r="HU73" t="e">
        <f>AND(Bills!#REF!,"AAAAAH313uQ=")</f>
        <v>#REF!</v>
      </c>
      <c r="HV73" t="e">
        <f>AND(Bills!#REF!,"AAAAAH313uU=")</f>
        <v>#REF!</v>
      </c>
      <c r="HW73" t="e">
        <f>AND(Bills!#REF!,"AAAAAH313uY=")</f>
        <v>#REF!</v>
      </c>
      <c r="HX73" t="e">
        <f>AND(Bills!F209,"AAAAAH313uc=")</f>
        <v>#VALUE!</v>
      </c>
      <c r="HY73" t="e">
        <f>AND(Bills!#REF!,"AAAAAH313ug=")</f>
        <v>#REF!</v>
      </c>
      <c r="HZ73" t="e">
        <f>AND(Bills!G209,"AAAAAH313uk=")</f>
        <v>#VALUE!</v>
      </c>
      <c r="IA73" t="e">
        <f>AND(Bills!H209,"AAAAAH313uo=")</f>
        <v>#VALUE!</v>
      </c>
      <c r="IB73" t="e">
        <f>AND(Bills!I209,"AAAAAH313us=")</f>
        <v>#VALUE!</v>
      </c>
      <c r="IC73" t="e">
        <f>AND(Bills!J209,"AAAAAH313uw=")</f>
        <v>#VALUE!</v>
      </c>
      <c r="ID73" t="e">
        <f>AND(Bills!K209,"AAAAAH313u0=")</f>
        <v>#VALUE!</v>
      </c>
      <c r="IE73" t="e">
        <f>AND(Bills!L209,"AAAAAH313u4=")</f>
        <v>#VALUE!</v>
      </c>
      <c r="IF73" t="e">
        <f>AND(Bills!#REF!,"AAAAAH313u8=")</f>
        <v>#REF!</v>
      </c>
      <c r="IG73" t="e">
        <f>AND(Bills!M209,"AAAAAH313vA=")</f>
        <v>#VALUE!</v>
      </c>
      <c r="IH73" t="e">
        <f>AND(Bills!N209,"AAAAAH313vE=")</f>
        <v>#VALUE!</v>
      </c>
      <c r="II73" t="e">
        <f>AND(Bills!O209,"AAAAAH313vI=")</f>
        <v>#VALUE!</v>
      </c>
      <c r="IJ73" t="e">
        <f>AND(Bills!P209,"AAAAAH313vM=")</f>
        <v>#VALUE!</v>
      </c>
      <c r="IK73" t="e">
        <f>AND(Bills!Q209,"AAAAAH313vQ=")</f>
        <v>#VALUE!</v>
      </c>
      <c r="IL73" t="e">
        <f>AND(Bills!R209,"AAAAAH313vU=")</f>
        <v>#VALUE!</v>
      </c>
      <c r="IM73" t="e">
        <f>AND(Bills!S209,"AAAAAH313vY=")</f>
        <v>#VALUE!</v>
      </c>
      <c r="IN73" t="e">
        <f>AND(Bills!T209,"AAAAAH313vc=")</f>
        <v>#VALUE!</v>
      </c>
      <c r="IO73" t="e">
        <f>AND(Bills!#REF!,"AAAAAH313vg=")</f>
        <v>#REF!</v>
      </c>
      <c r="IP73" t="e">
        <f>AND(Bills!U209,"AAAAAH313vk=")</f>
        <v>#VALUE!</v>
      </c>
      <c r="IQ73" t="e">
        <f>AND(Bills!V209,"AAAAAH313vo=")</f>
        <v>#VALUE!</v>
      </c>
      <c r="IR73" t="e">
        <f>AND(Bills!W209,"AAAAAH313vs=")</f>
        <v>#VALUE!</v>
      </c>
      <c r="IS73" t="e">
        <f>AND(Bills!#REF!,"AAAAAH313vw=")</f>
        <v>#REF!</v>
      </c>
      <c r="IT73" t="e">
        <f>AND(Bills!#REF!,"AAAAAH313v0=")</f>
        <v>#REF!</v>
      </c>
      <c r="IU73" t="e">
        <f>AND(Bills!Y209,"AAAAAH313v4=")</f>
        <v>#VALUE!</v>
      </c>
      <c r="IV73" t="e">
        <f>AND(Bills!Z209,"AAAAAH313v8=")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AND(Bills!AA209,"AAAAAB3Pxwk=")</f>
        <v>#VALUE!</v>
      </c>
      <c r="K74" t="e">
        <f>AND(Bills!AB209,"AAAAAB3Pxwo=")</f>
        <v>#VALUE!</v>
      </c>
      <c r="L74" t="e">
        <f>AND(Bills!#REF!,"AAAAAB3Pxws=")</f>
        <v>#REF!</v>
      </c>
      <c r="M74" t="e">
        <f>AND(Bills!#REF!,"AAAAAB3Pxww=")</f>
        <v>#REF!</v>
      </c>
      <c r="N74" t="e">
        <f>AND(Bills!#REF!,"AAAAAB3Pxw0=")</f>
        <v>#REF!</v>
      </c>
      <c r="O74" t="e">
        <f>AND(Bills!AC209,"AAAAAB3Pxw4=")</f>
        <v>#VALUE!</v>
      </c>
      <c r="P74" t="e">
        <f>AND(Bills!AD209,"AAAAAB3Pxw8=")</f>
        <v>#VALUE!</v>
      </c>
      <c r="Q74" t="e">
        <f>AND(Bills!#REF!,"AAAAAB3PxxA=")</f>
        <v>#REF!</v>
      </c>
      <c r="R74">
        <f>IF(Bills!210:210,"AAAAAB3PxxE=",0)</f>
        <v>0</v>
      </c>
      <c r="S74" t="e">
        <f>AND(Bills!B210,"AAAAAB3PxxI=")</f>
        <v>#VALUE!</v>
      </c>
      <c r="T74" t="e">
        <f>AND(Bills!#REF!,"AAAAAB3PxxM=")</f>
        <v>#REF!</v>
      </c>
      <c r="U74" t="e">
        <f>AND(Bills!C210,"AAAAAB3PxxQ=")</f>
        <v>#VALUE!</v>
      </c>
      <c r="V74" t="e">
        <f>AND(Bills!D210,"AAAAAB3PxxU=")</f>
        <v>#VALUE!</v>
      </c>
      <c r="W74" t="e">
        <f>AND(Bills!E210,"AAAAAB3PxxY=")</f>
        <v>#VALUE!</v>
      </c>
      <c r="X74" t="e">
        <f>AND(Bills!#REF!,"AAAAAB3Pxxc=")</f>
        <v>#REF!</v>
      </c>
      <c r="Y74" t="e">
        <f>AND(Bills!#REF!,"AAAAAB3Pxxg=")</f>
        <v>#REF!</v>
      </c>
      <c r="Z74" t="e">
        <f>AND(Bills!#REF!,"AAAAAB3Pxxk=")</f>
        <v>#REF!</v>
      </c>
      <c r="AA74" t="e">
        <f>AND(Bills!F210,"AAAAAB3Pxxo=")</f>
        <v>#VALUE!</v>
      </c>
      <c r="AB74" t="e">
        <f>AND(Bills!#REF!,"AAAAAB3Pxxs=")</f>
        <v>#REF!</v>
      </c>
      <c r="AC74" t="e">
        <f>AND(Bills!G210,"AAAAAB3Pxxw=")</f>
        <v>#VALUE!</v>
      </c>
      <c r="AD74" t="e">
        <f>AND(Bills!H210,"AAAAAB3Pxx0=")</f>
        <v>#VALUE!</v>
      </c>
      <c r="AE74" t="e">
        <f>AND(Bills!I210,"AAAAAB3Pxx4=")</f>
        <v>#VALUE!</v>
      </c>
      <c r="AF74" t="e">
        <f>AND(Bills!J210,"AAAAAB3Pxx8=")</f>
        <v>#VALUE!</v>
      </c>
      <c r="AG74" t="e">
        <f>AND(Bills!K210,"AAAAAB3PxyA=")</f>
        <v>#VALUE!</v>
      </c>
      <c r="AH74" t="e">
        <f>AND(Bills!L210,"AAAAAB3PxyE=")</f>
        <v>#VALUE!</v>
      </c>
      <c r="AI74" t="e">
        <f>AND(Bills!#REF!,"AAAAAB3PxyI=")</f>
        <v>#REF!</v>
      </c>
      <c r="AJ74" t="e">
        <f>AND(Bills!M210,"AAAAAB3PxyM=")</f>
        <v>#VALUE!</v>
      </c>
      <c r="AK74" t="e">
        <f>AND(Bills!N210,"AAAAAB3PxyQ=")</f>
        <v>#VALUE!</v>
      </c>
      <c r="AL74" t="e">
        <f>AND(Bills!O210,"AAAAAB3PxyU=")</f>
        <v>#VALUE!</v>
      </c>
      <c r="AM74" t="e">
        <f>AND(Bills!P210,"AAAAAB3PxyY=")</f>
        <v>#VALUE!</v>
      </c>
      <c r="AN74" t="e">
        <f>AND(Bills!Q210,"AAAAAB3Pxyc=")</f>
        <v>#VALUE!</v>
      </c>
      <c r="AO74" t="e">
        <f>AND(Bills!R210,"AAAAAB3Pxyg=")</f>
        <v>#VALUE!</v>
      </c>
      <c r="AP74" t="e">
        <f>AND(Bills!S210,"AAAAAB3Pxyk=")</f>
        <v>#VALUE!</v>
      </c>
      <c r="AQ74" t="e">
        <f>AND(Bills!T210,"AAAAAB3Pxyo=")</f>
        <v>#VALUE!</v>
      </c>
      <c r="AR74" t="e">
        <f>AND(Bills!#REF!,"AAAAAB3Pxys=")</f>
        <v>#REF!</v>
      </c>
      <c r="AS74" t="e">
        <f>AND(Bills!U210,"AAAAAB3Pxyw=")</f>
        <v>#VALUE!</v>
      </c>
      <c r="AT74" t="e">
        <f>AND(Bills!V210,"AAAAAB3Pxy0=")</f>
        <v>#VALUE!</v>
      </c>
      <c r="AU74" t="e">
        <f>AND(Bills!W210,"AAAAAB3Pxy4=")</f>
        <v>#VALUE!</v>
      </c>
      <c r="AV74" t="e">
        <f>AND(Bills!#REF!,"AAAAAB3Pxy8=")</f>
        <v>#REF!</v>
      </c>
      <c r="AW74" t="e">
        <f>AND(Bills!#REF!,"AAAAAB3PxzA=")</f>
        <v>#REF!</v>
      </c>
      <c r="AX74" t="e">
        <f>AND(Bills!Y210,"AAAAAB3PxzE=")</f>
        <v>#VALUE!</v>
      </c>
      <c r="AY74" t="e">
        <f>AND(Bills!Z210,"AAAAAB3PxzI=")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AND(Bills!AA210,"AAAAAB3Pxzw=")</f>
        <v>#VALUE!</v>
      </c>
      <c r="BJ74" t="e">
        <f>AND(Bills!AB210,"AAAAAB3Pxz0=")</f>
        <v>#VALUE!</v>
      </c>
      <c r="BK74" t="e">
        <f>AND(Bills!#REF!,"AAAAAB3Pxz4=")</f>
        <v>#REF!</v>
      </c>
      <c r="BL74" t="e">
        <f>AND(Bills!#REF!,"AAAAAB3Pxz8=")</f>
        <v>#REF!</v>
      </c>
      <c r="BM74" t="e">
        <f>AND(Bills!#REF!,"AAAAAB3Px0A=")</f>
        <v>#REF!</v>
      </c>
      <c r="BN74" t="e">
        <f>AND(Bills!AC210,"AAAAAB3Px0E=")</f>
        <v>#VALUE!</v>
      </c>
      <c r="BO74" t="e">
        <f>AND(Bills!AD210,"AAAAAB3Px0I=")</f>
        <v>#VALUE!</v>
      </c>
      <c r="BP74" t="e">
        <f>AND(Bills!#REF!,"AAAAAB3Px0M=")</f>
        <v>#REF!</v>
      </c>
      <c r="BQ74">
        <f>IF(Bills!211:211,"AAAAAB3Px0Q=",0)</f>
        <v>0</v>
      </c>
      <c r="BR74" t="e">
        <f>AND(Bills!B211,"AAAAAB3Px0U=")</f>
        <v>#VALUE!</v>
      </c>
      <c r="BS74" t="e">
        <f>AND(Bills!#REF!,"AAAAAB3Px0Y=")</f>
        <v>#REF!</v>
      </c>
      <c r="BT74" t="e">
        <f>AND(Bills!C211,"AAAAAB3Px0c=")</f>
        <v>#VALUE!</v>
      </c>
      <c r="BU74" t="e">
        <f>AND(Bills!D211,"AAAAAB3Px0g=")</f>
        <v>#VALUE!</v>
      </c>
      <c r="BV74" t="e">
        <f>AND(Bills!E211,"AAAAAB3Px0k=")</f>
        <v>#VALUE!</v>
      </c>
      <c r="BW74" t="e">
        <f>AND(Bills!#REF!,"AAAAAB3Px0o=")</f>
        <v>#REF!</v>
      </c>
      <c r="BX74" t="e">
        <f>AND(Bills!#REF!,"AAAAAB3Px0s=")</f>
        <v>#REF!</v>
      </c>
      <c r="BY74" t="e">
        <f>AND(Bills!#REF!,"AAAAAB3Px0w=")</f>
        <v>#REF!</v>
      </c>
      <c r="BZ74" t="e">
        <f>AND(Bills!F211,"AAAAAB3Px00=")</f>
        <v>#VALUE!</v>
      </c>
      <c r="CA74" t="e">
        <f>AND(Bills!#REF!,"AAAAAB3Px04=")</f>
        <v>#REF!</v>
      </c>
      <c r="CB74" t="e">
        <f>AND(Bills!G211,"AAAAAB3Px08=")</f>
        <v>#VALUE!</v>
      </c>
      <c r="CC74" t="e">
        <f>AND(Bills!H211,"AAAAAB3Px1A=")</f>
        <v>#VALUE!</v>
      </c>
      <c r="CD74" t="e">
        <f>AND(Bills!I211,"AAAAAB3Px1E=")</f>
        <v>#VALUE!</v>
      </c>
      <c r="CE74" t="e">
        <f>AND(Bills!J211,"AAAAAB3Px1I=")</f>
        <v>#VALUE!</v>
      </c>
      <c r="CF74" t="e">
        <f>AND(Bills!K211,"AAAAAB3Px1M=")</f>
        <v>#VALUE!</v>
      </c>
      <c r="CG74" t="e">
        <f>AND(Bills!L211,"AAAAAB3Px1Q=")</f>
        <v>#VALUE!</v>
      </c>
      <c r="CH74" t="e">
        <f>AND(Bills!#REF!,"AAAAAB3Px1U=")</f>
        <v>#REF!</v>
      </c>
      <c r="CI74" t="e">
        <f>AND(Bills!M211,"AAAAAB3Px1Y=")</f>
        <v>#VALUE!</v>
      </c>
      <c r="CJ74" t="e">
        <f>AND(Bills!N211,"AAAAAB3Px1c=")</f>
        <v>#VALUE!</v>
      </c>
      <c r="CK74" t="e">
        <f>AND(Bills!O211,"AAAAAB3Px1g=")</f>
        <v>#VALUE!</v>
      </c>
      <c r="CL74" t="e">
        <f>AND(Bills!P211,"AAAAAB3Px1k=")</f>
        <v>#VALUE!</v>
      </c>
      <c r="CM74" t="e">
        <f>AND(Bills!Q211,"AAAAAB3Px1o=")</f>
        <v>#VALUE!</v>
      </c>
      <c r="CN74" t="e">
        <f>AND(Bills!R211,"AAAAAB3Px1s=")</f>
        <v>#VALUE!</v>
      </c>
      <c r="CO74" t="e">
        <f>AND(Bills!S211,"AAAAAB3Px1w=")</f>
        <v>#VALUE!</v>
      </c>
      <c r="CP74" t="e">
        <f>AND(Bills!T211,"AAAAAB3Px10=")</f>
        <v>#VALUE!</v>
      </c>
      <c r="CQ74" t="e">
        <f>AND(Bills!#REF!,"AAAAAB3Px14=")</f>
        <v>#REF!</v>
      </c>
      <c r="CR74" t="e">
        <f>AND(Bills!U211,"AAAAAB3Px18=")</f>
        <v>#VALUE!</v>
      </c>
      <c r="CS74" t="e">
        <f>AND(Bills!V211,"AAAAAB3Px2A=")</f>
        <v>#VALUE!</v>
      </c>
      <c r="CT74" t="e">
        <f>AND(Bills!W211,"AAAAAB3Px2E=")</f>
        <v>#VALUE!</v>
      </c>
      <c r="CU74" t="e">
        <f>AND(Bills!#REF!,"AAAAAB3Px2I=")</f>
        <v>#REF!</v>
      </c>
      <c r="CV74" t="e">
        <f>AND(Bills!#REF!,"AAAAAB3Px2M=")</f>
        <v>#REF!</v>
      </c>
      <c r="CW74" t="e">
        <f>AND(Bills!Y211,"AAAAAB3Px2Q=")</f>
        <v>#VALUE!</v>
      </c>
      <c r="CX74" t="e">
        <f>AND(Bills!Z211,"AAAAAB3Px2U=")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AND(Bills!AA211,"AAAAAB3Px28=")</f>
        <v>#VALUE!</v>
      </c>
      <c r="DI74" t="e">
        <f>AND(Bills!AB211,"AAAAAB3Px3A=")</f>
        <v>#VALUE!</v>
      </c>
      <c r="DJ74" t="e">
        <f>AND(Bills!#REF!,"AAAAAB3Px3E=")</f>
        <v>#REF!</v>
      </c>
      <c r="DK74" t="e">
        <f>AND(Bills!#REF!,"AAAAAB3Px3I=")</f>
        <v>#REF!</v>
      </c>
      <c r="DL74" t="e">
        <f>AND(Bills!#REF!,"AAAAAB3Px3M=")</f>
        <v>#REF!</v>
      </c>
      <c r="DM74" t="e">
        <f>AND(Bills!AC211,"AAAAAB3Px3Q=")</f>
        <v>#VALUE!</v>
      </c>
      <c r="DN74" t="e">
        <f>AND(Bills!AD211,"AAAAAB3Px3U=")</f>
        <v>#VALUE!</v>
      </c>
      <c r="DO74" t="e">
        <f>AND(Bills!#REF!,"AAAAAB3Px3Y=")</f>
        <v>#REF!</v>
      </c>
      <c r="DP74">
        <f>IF(Bills!212:212,"AAAAAB3Px3c=",0)</f>
        <v>0</v>
      </c>
      <c r="DQ74" t="e">
        <f>AND(Bills!B212,"AAAAAB3Px3g=")</f>
        <v>#VALUE!</v>
      </c>
      <c r="DR74" t="e">
        <f>AND(Bills!#REF!,"AAAAAB3Px3k=")</f>
        <v>#REF!</v>
      </c>
      <c r="DS74" t="e">
        <f>AND(Bills!C212,"AAAAAB3Px3o=")</f>
        <v>#VALUE!</v>
      </c>
      <c r="DT74" t="e">
        <f>AND(Bills!D212,"AAAAAB3Px3s=")</f>
        <v>#VALUE!</v>
      </c>
      <c r="DU74" t="e">
        <f>AND(Bills!E212,"AAAAAB3Px3w=")</f>
        <v>#VALUE!</v>
      </c>
      <c r="DV74" t="e">
        <f>AND(Bills!#REF!,"AAAAAB3Px30=")</f>
        <v>#REF!</v>
      </c>
      <c r="DW74" t="e">
        <f>AND(Bills!#REF!,"AAAAAB3Px34=")</f>
        <v>#REF!</v>
      </c>
      <c r="DX74" t="e">
        <f>AND(Bills!#REF!,"AAAAAB3Px38=")</f>
        <v>#REF!</v>
      </c>
      <c r="DY74" t="e">
        <f>AND(Bills!F212,"AAAAAB3Px4A=")</f>
        <v>#VALUE!</v>
      </c>
      <c r="DZ74" t="e">
        <f>AND(Bills!#REF!,"AAAAAB3Px4E=")</f>
        <v>#REF!</v>
      </c>
      <c r="EA74" t="e">
        <f>AND(Bills!G212,"AAAAAB3Px4I=")</f>
        <v>#VALUE!</v>
      </c>
      <c r="EB74" t="e">
        <f>AND(Bills!H212,"AAAAAB3Px4M=")</f>
        <v>#VALUE!</v>
      </c>
      <c r="EC74" t="e">
        <f>AND(Bills!I212,"AAAAAB3Px4Q=")</f>
        <v>#VALUE!</v>
      </c>
      <c r="ED74" t="e">
        <f>AND(Bills!J212,"AAAAAB3Px4U=")</f>
        <v>#VALUE!</v>
      </c>
      <c r="EE74" t="e">
        <f>AND(Bills!K212,"AAAAAB3Px4Y=")</f>
        <v>#VALUE!</v>
      </c>
      <c r="EF74" t="e">
        <f>AND(Bills!L212,"AAAAAB3Px4c=")</f>
        <v>#VALUE!</v>
      </c>
      <c r="EG74" t="e">
        <f>AND(Bills!#REF!,"AAAAAB3Px4g=")</f>
        <v>#REF!</v>
      </c>
      <c r="EH74" t="e">
        <f>AND(Bills!M212,"AAAAAB3Px4k=")</f>
        <v>#VALUE!</v>
      </c>
      <c r="EI74" t="e">
        <f>AND(Bills!N212,"AAAAAB3Px4o=")</f>
        <v>#VALUE!</v>
      </c>
      <c r="EJ74" t="e">
        <f>AND(Bills!O212,"AAAAAB3Px4s=")</f>
        <v>#VALUE!</v>
      </c>
      <c r="EK74" t="e">
        <f>AND(Bills!P212,"AAAAAB3Px4w=")</f>
        <v>#VALUE!</v>
      </c>
      <c r="EL74" t="e">
        <f>AND(Bills!Q212,"AAAAAB3Px40=")</f>
        <v>#VALUE!</v>
      </c>
      <c r="EM74" t="e">
        <f>AND(Bills!R212,"AAAAAB3Px44=")</f>
        <v>#VALUE!</v>
      </c>
      <c r="EN74" t="e">
        <f>AND(Bills!S212,"AAAAAB3Px48=")</f>
        <v>#VALUE!</v>
      </c>
      <c r="EO74" t="e">
        <f>AND(Bills!T212,"AAAAAB3Px5A=")</f>
        <v>#VALUE!</v>
      </c>
      <c r="EP74" t="e">
        <f>AND(Bills!#REF!,"AAAAAB3Px5E=")</f>
        <v>#REF!</v>
      </c>
      <c r="EQ74" t="e">
        <f>AND(Bills!U212,"AAAAAB3Px5I=")</f>
        <v>#VALUE!</v>
      </c>
      <c r="ER74" t="e">
        <f>AND(Bills!V212,"AAAAAB3Px5M=")</f>
        <v>#VALUE!</v>
      </c>
      <c r="ES74" t="e">
        <f>AND(Bills!W212,"AAAAAB3Px5Q=")</f>
        <v>#VALUE!</v>
      </c>
      <c r="ET74" t="e">
        <f>AND(Bills!#REF!,"AAAAAB3Px5U=")</f>
        <v>#REF!</v>
      </c>
      <c r="EU74" t="e">
        <f>AND(Bills!#REF!,"AAAAAB3Px5Y=")</f>
        <v>#REF!</v>
      </c>
      <c r="EV74" t="e">
        <f>AND(Bills!Y212,"AAAAAB3Px5c=")</f>
        <v>#VALUE!</v>
      </c>
      <c r="EW74" t="e">
        <f>AND(Bills!Z212,"AAAAAB3Px5g=")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AND(Bills!AA212,"AAAAAB3Px6I=")</f>
        <v>#VALUE!</v>
      </c>
      <c r="FH74" t="e">
        <f>AND(Bills!AB212,"AAAAAB3Px6M=")</f>
        <v>#VALUE!</v>
      </c>
      <c r="FI74" t="e">
        <f>AND(Bills!#REF!,"AAAAAB3Px6Q=")</f>
        <v>#REF!</v>
      </c>
      <c r="FJ74" t="e">
        <f>AND(Bills!#REF!,"AAAAAB3Px6U=")</f>
        <v>#REF!</v>
      </c>
      <c r="FK74" t="e">
        <f>AND(Bills!#REF!,"AAAAAB3Px6Y=")</f>
        <v>#REF!</v>
      </c>
      <c r="FL74" t="e">
        <f>AND(Bills!AC212,"AAAAAB3Px6c=")</f>
        <v>#VALUE!</v>
      </c>
      <c r="FM74" t="e">
        <f>AND(Bills!AD212,"AAAAAB3Px6g=")</f>
        <v>#VALUE!</v>
      </c>
      <c r="FN74" t="e">
        <f>AND(Bills!#REF!,"AAAAAB3Px6k=")</f>
        <v>#REF!</v>
      </c>
      <c r="FO74">
        <f>IF(Bills!213:213,"AAAAAB3Px6o=",0)</f>
        <v>0</v>
      </c>
      <c r="FP74" t="e">
        <f>AND(Bills!B213,"AAAAAB3Px6s=")</f>
        <v>#VALUE!</v>
      </c>
      <c r="FQ74" t="e">
        <f>AND(Bills!#REF!,"AAAAAB3Px6w=")</f>
        <v>#REF!</v>
      </c>
      <c r="FR74" t="e">
        <f>AND(Bills!C213,"AAAAAB3Px60=")</f>
        <v>#VALUE!</v>
      </c>
      <c r="FS74" t="e">
        <f>AND(Bills!D213,"AAAAAB3Px64=")</f>
        <v>#VALUE!</v>
      </c>
      <c r="FT74" t="e">
        <f>AND(Bills!E213,"AAAAAB3Px68=")</f>
        <v>#VALUE!</v>
      </c>
      <c r="FU74" t="e">
        <f>AND(Bills!#REF!,"AAAAAB3Px7A=")</f>
        <v>#REF!</v>
      </c>
      <c r="FV74" t="e">
        <f>AND(Bills!#REF!,"AAAAAB3Px7E=")</f>
        <v>#REF!</v>
      </c>
      <c r="FW74" t="e">
        <f>AND(Bills!#REF!,"AAAAAB3Px7I=")</f>
        <v>#REF!</v>
      </c>
      <c r="FX74" t="e">
        <f>AND(Bills!F213,"AAAAAB3Px7M=")</f>
        <v>#VALUE!</v>
      </c>
      <c r="FY74" t="e">
        <f>AND(Bills!#REF!,"AAAAAB3Px7Q=")</f>
        <v>#REF!</v>
      </c>
      <c r="FZ74" t="e">
        <f>AND(Bills!G213,"AAAAAB3Px7U=")</f>
        <v>#VALUE!</v>
      </c>
      <c r="GA74" t="e">
        <f>AND(Bills!H213,"AAAAAB3Px7Y=")</f>
        <v>#VALUE!</v>
      </c>
      <c r="GB74" t="e">
        <f>AND(Bills!I213,"AAAAAB3Px7c=")</f>
        <v>#VALUE!</v>
      </c>
      <c r="GC74" t="e">
        <f>AND(Bills!J213,"AAAAAB3Px7g=")</f>
        <v>#VALUE!</v>
      </c>
      <c r="GD74" t="e">
        <f>AND(Bills!K213,"AAAAAB3Px7k=")</f>
        <v>#VALUE!</v>
      </c>
      <c r="GE74" t="e">
        <f>AND(Bills!L213,"AAAAAB3Px7o=")</f>
        <v>#VALUE!</v>
      </c>
      <c r="GF74" t="e">
        <f>AND(Bills!#REF!,"AAAAAB3Px7s=")</f>
        <v>#REF!</v>
      </c>
      <c r="GG74" t="e">
        <f>AND(Bills!M213,"AAAAAB3Px7w=")</f>
        <v>#VALUE!</v>
      </c>
      <c r="GH74" t="e">
        <f>AND(Bills!N213,"AAAAAB3Px70=")</f>
        <v>#VALUE!</v>
      </c>
      <c r="GI74" t="e">
        <f>AND(Bills!O213,"AAAAAB3Px74=")</f>
        <v>#VALUE!</v>
      </c>
      <c r="GJ74" t="e">
        <f>AND(Bills!P213,"AAAAAB3Px78=")</f>
        <v>#VALUE!</v>
      </c>
      <c r="GK74" t="e">
        <f>AND(Bills!Q213,"AAAAAB3Px8A=")</f>
        <v>#VALUE!</v>
      </c>
      <c r="GL74" t="e">
        <f>AND(Bills!R213,"AAAAAB3Px8E=")</f>
        <v>#VALUE!</v>
      </c>
      <c r="GM74" t="e">
        <f>AND(Bills!S213,"AAAAAB3Px8I=")</f>
        <v>#VALUE!</v>
      </c>
      <c r="GN74" t="e">
        <f>AND(Bills!T213,"AAAAAB3Px8M=")</f>
        <v>#VALUE!</v>
      </c>
      <c r="GO74" t="e">
        <f>AND(Bills!#REF!,"AAAAAB3Px8Q=")</f>
        <v>#REF!</v>
      </c>
      <c r="GP74" t="e">
        <f>AND(Bills!U213,"AAAAAB3Px8U=")</f>
        <v>#VALUE!</v>
      </c>
      <c r="GQ74" t="e">
        <f>AND(Bills!V213,"AAAAAB3Px8Y=")</f>
        <v>#VALUE!</v>
      </c>
      <c r="GR74" t="e">
        <f>AND(Bills!W213,"AAAAAB3Px8c=")</f>
        <v>#VALUE!</v>
      </c>
      <c r="GS74" t="e">
        <f>AND(Bills!#REF!,"AAAAAB3Px8g=")</f>
        <v>#REF!</v>
      </c>
      <c r="GT74" t="e">
        <f>AND(Bills!#REF!,"AAAAAB3Px8k=")</f>
        <v>#REF!</v>
      </c>
      <c r="GU74" t="e">
        <f>AND(Bills!Y213,"AAAAAB3Px8o=")</f>
        <v>#VALUE!</v>
      </c>
      <c r="GV74" t="e">
        <f>AND(Bills!Z213,"AAAAAB3Px8s=")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AND(Bills!AA213,"AAAAAB3Px9U=")</f>
        <v>#VALUE!</v>
      </c>
      <c r="HG74" t="e">
        <f>AND(Bills!AB213,"AAAAAB3Px9Y=")</f>
        <v>#VALUE!</v>
      </c>
      <c r="HH74" t="e">
        <f>AND(Bills!#REF!,"AAAAAB3Px9c=")</f>
        <v>#REF!</v>
      </c>
      <c r="HI74" t="e">
        <f>AND(Bills!#REF!,"AAAAAB3Px9g=")</f>
        <v>#REF!</v>
      </c>
      <c r="HJ74" t="e">
        <f>AND(Bills!#REF!,"AAAAAB3Px9k=")</f>
        <v>#REF!</v>
      </c>
      <c r="HK74" t="e">
        <f>AND(Bills!AC213,"AAAAAB3Px9o=")</f>
        <v>#VALUE!</v>
      </c>
      <c r="HL74" t="e">
        <f>AND(Bills!AD213,"AAAAAB3Px9s=")</f>
        <v>#VALUE!</v>
      </c>
      <c r="HM74" t="e">
        <f>AND(Bills!#REF!,"AAAAAB3Px9w=")</f>
        <v>#REF!</v>
      </c>
      <c r="HN74">
        <f>IF(Bills!214:214,"AAAAAB3Px90=",0)</f>
        <v>0</v>
      </c>
      <c r="HO74" t="e">
        <f>AND(Bills!B214,"AAAAAB3Px94=")</f>
        <v>#VALUE!</v>
      </c>
      <c r="HP74" t="e">
        <f>AND(Bills!#REF!,"AAAAAB3Px98=")</f>
        <v>#REF!</v>
      </c>
      <c r="HQ74" t="e">
        <f>AND(Bills!C214,"AAAAAB3Px+A=")</f>
        <v>#VALUE!</v>
      </c>
      <c r="HR74" t="e">
        <f>AND(Bills!D214,"AAAAAB3Px+E=")</f>
        <v>#VALUE!</v>
      </c>
      <c r="HS74" t="e">
        <f>AND(Bills!E214,"AAAAAB3Px+I=")</f>
        <v>#VALUE!</v>
      </c>
      <c r="HT74" t="e">
        <f>AND(Bills!#REF!,"AAAAAB3Px+M=")</f>
        <v>#REF!</v>
      </c>
      <c r="HU74" t="e">
        <f>AND(Bills!#REF!,"AAAAAB3Px+Q=")</f>
        <v>#REF!</v>
      </c>
      <c r="HV74" t="e">
        <f>AND(Bills!#REF!,"AAAAAB3Px+U=")</f>
        <v>#REF!</v>
      </c>
      <c r="HW74" t="e">
        <f>AND(Bills!F214,"AAAAAB3Px+Y=")</f>
        <v>#VALUE!</v>
      </c>
      <c r="HX74" t="e">
        <f>AND(Bills!#REF!,"AAAAAB3Px+c=")</f>
        <v>#REF!</v>
      </c>
      <c r="HY74" t="e">
        <f>AND(Bills!G214,"AAAAAB3Px+g=")</f>
        <v>#VALUE!</v>
      </c>
      <c r="HZ74" t="e">
        <f>AND(Bills!H214,"AAAAAB3Px+k=")</f>
        <v>#VALUE!</v>
      </c>
      <c r="IA74" t="e">
        <f>AND(Bills!I214,"AAAAAB3Px+o=")</f>
        <v>#VALUE!</v>
      </c>
      <c r="IB74" t="e">
        <f>AND(Bills!J214,"AAAAAB3Px+s=")</f>
        <v>#VALUE!</v>
      </c>
      <c r="IC74" t="e">
        <f>AND(Bills!K214,"AAAAAB3Px+w=")</f>
        <v>#VALUE!</v>
      </c>
      <c r="ID74" t="e">
        <f>AND(Bills!L214,"AAAAAB3Px+0=")</f>
        <v>#VALUE!</v>
      </c>
      <c r="IE74" t="e">
        <f>AND(Bills!#REF!,"AAAAAB3Px+4=")</f>
        <v>#REF!</v>
      </c>
      <c r="IF74" t="e">
        <f>AND(Bills!M214,"AAAAAB3Px+8=")</f>
        <v>#VALUE!</v>
      </c>
      <c r="IG74" t="e">
        <f>AND(Bills!N214,"AAAAAB3Px/A=")</f>
        <v>#VALUE!</v>
      </c>
      <c r="IH74" t="e">
        <f>AND(Bills!O214,"AAAAAB3Px/E=")</f>
        <v>#VALUE!</v>
      </c>
      <c r="II74" t="e">
        <f>AND(Bills!P214,"AAAAAB3Px/I=")</f>
        <v>#VALUE!</v>
      </c>
      <c r="IJ74" t="e">
        <f>AND(Bills!Q214,"AAAAAB3Px/M=")</f>
        <v>#VALUE!</v>
      </c>
      <c r="IK74" t="e">
        <f>AND(Bills!R214,"AAAAAB3Px/Q=")</f>
        <v>#VALUE!</v>
      </c>
      <c r="IL74" t="e">
        <f>AND(Bills!S214,"AAAAAB3Px/U=")</f>
        <v>#VALUE!</v>
      </c>
      <c r="IM74" t="e">
        <f>AND(Bills!T214,"AAAAAB3Px/Y=")</f>
        <v>#VALUE!</v>
      </c>
      <c r="IN74" t="e">
        <f>AND(Bills!#REF!,"AAAAAB3Px/c=")</f>
        <v>#REF!</v>
      </c>
      <c r="IO74" t="e">
        <f>AND(Bills!U214,"AAAAAB3Px/g=")</f>
        <v>#VALUE!</v>
      </c>
      <c r="IP74" t="e">
        <f>AND(Bills!V214,"AAAAAB3Px/k=")</f>
        <v>#VALUE!</v>
      </c>
      <c r="IQ74" t="e">
        <f>AND(Bills!W214,"AAAAAB3Px/o=")</f>
        <v>#VALUE!</v>
      </c>
      <c r="IR74" t="e">
        <f>AND(Bills!#REF!,"AAAAAB3Px/s=")</f>
        <v>#REF!</v>
      </c>
      <c r="IS74" t="e">
        <f>AND(Bills!#REF!,"AAAAAB3Px/w=")</f>
        <v>#REF!</v>
      </c>
      <c r="IT74" t="e">
        <f>AND(Bills!Y214,"AAAAAB3Px/0=")</f>
        <v>#VALUE!</v>
      </c>
      <c r="IU74" t="e">
        <f>AND(Bills!Z214,"AAAAAB3Px/4=")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AND(Bills!AA214,"AAAAAD1f/wg=")</f>
        <v>#VALUE!</v>
      </c>
      <c r="J75" t="e">
        <f>AND(Bills!AB214,"AAAAAD1f/wk=")</f>
        <v>#VALUE!</v>
      </c>
      <c r="K75" t="e">
        <f>AND(Bills!#REF!,"AAAAAD1f/wo=")</f>
        <v>#REF!</v>
      </c>
      <c r="L75" t="e">
        <f>AND(Bills!#REF!,"AAAAAD1f/ws=")</f>
        <v>#REF!</v>
      </c>
      <c r="M75" t="e">
        <f>AND(Bills!#REF!,"AAAAAD1f/ww=")</f>
        <v>#REF!</v>
      </c>
      <c r="N75" t="e">
        <f>AND(Bills!AC214,"AAAAAD1f/w0=")</f>
        <v>#VALUE!</v>
      </c>
      <c r="O75" t="e">
        <f>AND(Bills!AD214,"AAAAAD1f/w4=")</f>
        <v>#VALUE!</v>
      </c>
      <c r="P75" t="e">
        <f>AND(Bills!#REF!,"AAAAAD1f/w8=")</f>
        <v>#REF!</v>
      </c>
      <c r="Q75">
        <f>IF(Bills!215:215,"AAAAAD1f/xA=",0)</f>
        <v>0</v>
      </c>
      <c r="R75" t="e">
        <f>AND(Bills!B215,"AAAAAD1f/xE=")</f>
        <v>#VALUE!</v>
      </c>
      <c r="S75" t="e">
        <f>AND(Bills!#REF!,"AAAAAD1f/xI=")</f>
        <v>#REF!</v>
      </c>
      <c r="T75" t="e">
        <f>AND(Bills!C215,"AAAAAD1f/xM=")</f>
        <v>#VALUE!</v>
      </c>
      <c r="U75" t="e">
        <f>AND(Bills!D215,"AAAAAD1f/xQ=")</f>
        <v>#VALUE!</v>
      </c>
      <c r="V75" t="e">
        <f>AND(Bills!E215,"AAAAAD1f/xU=")</f>
        <v>#VALUE!</v>
      </c>
      <c r="W75" t="e">
        <f>AND(Bills!#REF!,"AAAAAD1f/xY=")</f>
        <v>#REF!</v>
      </c>
      <c r="X75" t="e">
        <f>AND(Bills!#REF!,"AAAAAD1f/xc=")</f>
        <v>#REF!</v>
      </c>
      <c r="Y75" t="e">
        <f>AND(Bills!#REF!,"AAAAAD1f/xg=")</f>
        <v>#REF!</v>
      </c>
      <c r="Z75" t="e">
        <f>AND(Bills!F215,"AAAAAD1f/xk=")</f>
        <v>#VALUE!</v>
      </c>
      <c r="AA75" t="e">
        <f>AND(Bills!#REF!,"AAAAAD1f/xo=")</f>
        <v>#REF!</v>
      </c>
      <c r="AB75" t="e">
        <f>AND(Bills!G215,"AAAAAD1f/xs=")</f>
        <v>#VALUE!</v>
      </c>
      <c r="AC75" t="e">
        <f>AND(Bills!H215,"AAAAAD1f/xw=")</f>
        <v>#VALUE!</v>
      </c>
      <c r="AD75" t="e">
        <f>AND(Bills!I215,"AAAAAD1f/x0=")</f>
        <v>#VALUE!</v>
      </c>
      <c r="AE75" t="e">
        <f>AND(Bills!J215,"AAAAAD1f/x4=")</f>
        <v>#VALUE!</v>
      </c>
      <c r="AF75" t="e">
        <f>AND(Bills!K215,"AAAAAD1f/x8=")</f>
        <v>#VALUE!</v>
      </c>
      <c r="AG75" t="e">
        <f>AND(Bills!L215,"AAAAAD1f/yA=")</f>
        <v>#VALUE!</v>
      </c>
      <c r="AH75" t="e">
        <f>AND(Bills!#REF!,"AAAAAD1f/yE=")</f>
        <v>#REF!</v>
      </c>
      <c r="AI75" t="e">
        <f>AND(Bills!M215,"AAAAAD1f/yI=")</f>
        <v>#VALUE!</v>
      </c>
      <c r="AJ75" t="e">
        <f>AND(Bills!N215,"AAAAAD1f/yM=")</f>
        <v>#VALUE!</v>
      </c>
      <c r="AK75" t="e">
        <f>AND(Bills!O215,"AAAAAD1f/yQ=")</f>
        <v>#VALUE!</v>
      </c>
      <c r="AL75" t="e">
        <f>AND(Bills!P215,"AAAAAD1f/yU=")</f>
        <v>#VALUE!</v>
      </c>
      <c r="AM75" t="e">
        <f>AND(Bills!Q215,"AAAAAD1f/yY=")</f>
        <v>#VALUE!</v>
      </c>
      <c r="AN75" t="e">
        <f>AND(Bills!R215,"AAAAAD1f/yc=")</f>
        <v>#VALUE!</v>
      </c>
      <c r="AO75" t="e">
        <f>AND(Bills!S215,"AAAAAD1f/yg=")</f>
        <v>#VALUE!</v>
      </c>
      <c r="AP75" t="e">
        <f>AND(Bills!T215,"AAAAAD1f/yk=")</f>
        <v>#VALUE!</v>
      </c>
      <c r="AQ75" t="e">
        <f>AND(Bills!#REF!,"AAAAAD1f/yo=")</f>
        <v>#REF!</v>
      </c>
      <c r="AR75" t="e">
        <f>AND(Bills!U215,"AAAAAD1f/ys=")</f>
        <v>#VALUE!</v>
      </c>
      <c r="AS75" t="e">
        <f>AND(Bills!V215,"AAAAAD1f/yw=")</f>
        <v>#VALUE!</v>
      </c>
      <c r="AT75" t="e">
        <f>AND(Bills!W215,"AAAAAD1f/y0=")</f>
        <v>#VALUE!</v>
      </c>
      <c r="AU75" t="e">
        <f>AND(Bills!#REF!,"AAAAAD1f/y4=")</f>
        <v>#REF!</v>
      </c>
      <c r="AV75" t="e">
        <f>AND(Bills!#REF!,"AAAAAD1f/y8=")</f>
        <v>#REF!</v>
      </c>
      <c r="AW75" t="e">
        <f>AND(Bills!Y215,"AAAAAD1f/zA=")</f>
        <v>#VALUE!</v>
      </c>
      <c r="AX75" t="e">
        <f>AND(Bills!Z215,"AAAAAD1f/zE=")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AND(Bills!AA215,"AAAAAD1f/zs=")</f>
        <v>#VALUE!</v>
      </c>
      <c r="BI75" t="e">
        <f>AND(Bills!AB215,"AAAAAD1f/zw=")</f>
        <v>#VALUE!</v>
      </c>
      <c r="BJ75" t="e">
        <f>AND(Bills!#REF!,"AAAAAD1f/z0=")</f>
        <v>#REF!</v>
      </c>
      <c r="BK75" t="e">
        <f>AND(Bills!#REF!,"AAAAAD1f/z4=")</f>
        <v>#REF!</v>
      </c>
      <c r="BL75" t="e">
        <f>AND(Bills!#REF!,"AAAAAD1f/z8=")</f>
        <v>#REF!</v>
      </c>
      <c r="BM75" t="e">
        <f>AND(Bills!AC215,"AAAAAD1f/0A=")</f>
        <v>#VALUE!</v>
      </c>
      <c r="BN75" t="e">
        <f>AND(Bills!AD215,"AAAAAD1f/0E=")</f>
        <v>#VALUE!</v>
      </c>
      <c r="BO75" t="e">
        <f>AND(Bills!#REF!,"AAAAAD1f/0I=")</f>
        <v>#REF!</v>
      </c>
      <c r="BP75">
        <f>IF(Bills!216:216,"AAAAAD1f/0M=",0)</f>
        <v>0</v>
      </c>
      <c r="BQ75" t="e">
        <f>AND(Bills!B216,"AAAAAD1f/0Q=")</f>
        <v>#VALUE!</v>
      </c>
      <c r="BR75" t="e">
        <f>AND(Bills!#REF!,"AAAAAD1f/0U=")</f>
        <v>#REF!</v>
      </c>
      <c r="BS75" t="e">
        <f>AND(Bills!C216,"AAAAAD1f/0Y=")</f>
        <v>#VALUE!</v>
      </c>
      <c r="BT75" t="e">
        <f>AND(Bills!D216,"AAAAAD1f/0c=")</f>
        <v>#VALUE!</v>
      </c>
      <c r="BU75" t="e">
        <f>AND(Bills!E216,"AAAAAD1f/0g=")</f>
        <v>#VALUE!</v>
      </c>
      <c r="BV75" t="e">
        <f>AND(Bills!#REF!,"AAAAAD1f/0k=")</f>
        <v>#REF!</v>
      </c>
      <c r="BW75" t="e">
        <f>AND(Bills!#REF!,"AAAAAD1f/0o=")</f>
        <v>#REF!</v>
      </c>
      <c r="BX75" t="e">
        <f>AND(Bills!#REF!,"AAAAAD1f/0s=")</f>
        <v>#REF!</v>
      </c>
      <c r="BY75" t="e">
        <f>AND(Bills!F216,"AAAAAD1f/0w=")</f>
        <v>#VALUE!</v>
      </c>
      <c r="BZ75" t="e">
        <f>AND(Bills!#REF!,"AAAAAD1f/00=")</f>
        <v>#REF!</v>
      </c>
      <c r="CA75" t="e">
        <f>AND(Bills!G216,"AAAAAD1f/04=")</f>
        <v>#VALUE!</v>
      </c>
      <c r="CB75" t="e">
        <f>AND(Bills!H216,"AAAAAD1f/08=")</f>
        <v>#VALUE!</v>
      </c>
      <c r="CC75" t="e">
        <f>AND(Bills!I216,"AAAAAD1f/1A=")</f>
        <v>#VALUE!</v>
      </c>
      <c r="CD75" t="e">
        <f>AND(Bills!J216,"AAAAAD1f/1E=")</f>
        <v>#VALUE!</v>
      </c>
      <c r="CE75" t="e">
        <f>AND(Bills!K216,"AAAAAD1f/1I=")</f>
        <v>#VALUE!</v>
      </c>
      <c r="CF75" t="e">
        <f>AND(Bills!L216,"AAAAAD1f/1M=")</f>
        <v>#VALUE!</v>
      </c>
      <c r="CG75" t="e">
        <f>AND(Bills!#REF!,"AAAAAD1f/1Q=")</f>
        <v>#REF!</v>
      </c>
      <c r="CH75" t="e">
        <f>AND(Bills!M216,"AAAAAD1f/1U=")</f>
        <v>#VALUE!</v>
      </c>
      <c r="CI75" t="e">
        <f>AND(Bills!N216,"AAAAAD1f/1Y=")</f>
        <v>#VALUE!</v>
      </c>
      <c r="CJ75" t="e">
        <f>AND(Bills!O216,"AAAAAD1f/1c=")</f>
        <v>#VALUE!</v>
      </c>
      <c r="CK75" t="e">
        <f>AND(Bills!P216,"AAAAAD1f/1g=")</f>
        <v>#VALUE!</v>
      </c>
      <c r="CL75" t="e">
        <f>AND(Bills!Q216,"AAAAAD1f/1k=")</f>
        <v>#VALUE!</v>
      </c>
      <c r="CM75" t="e">
        <f>AND(Bills!R216,"AAAAAD1f/1o=")</f>
        <v>#VALUE!</v>
      </c>
      <c r="CN75" t="e">
        <f>AND(Bills!S216,"AAAAAD1f/1s=")</f>
        <v>#VALUE!</v>
      </c>
      <c r="CO75" t="e">
        <f>AND(Bills!T216,"AAAAAD1f/1w=")</f>
        <v>#VALUE!</v>
      </c>
      <c r="CP75" t="e">
        <f>AND(Bills!#REF!,"AAAAAD1f/10=")</f>
        <v>#REF!</v>
      </c>
      <c r="CQ75" t="e">
        <f>AND(Bills!U216,"AAAAAD1f/14=")</f>
        <v>#VALUE!</v>
      </c>
      <c r="CR75" t="e">
        <f>AND(Bills!V216,"AAAAAD1f/18=")</f>
        <v>#VALUE!</v>
      </c>
      <c r="CS75" t="e">
        <f>AND(Bills!W216,"AAAAAD1f/2A=")</f>
        <v>#VALUE!</v>
      </c>
      <c r="CT75" t="e">
        <f>AND(Bills!#REF!,"AAAAAD1f/2E=")</f>
        <v>#REF!</v>
      </c>
      <c r="CU75" t="e">
        <f>AND(Bills!#REF!,"AAAAAD1f/2I=")</f>
        <v>#REF!</v>
      </c>
      <c r="CV75" t="e">
        <f>AND(Bills!Y216,"AAAAAD1f/2M=")</f>
        <v>#VALUE!</v>
      </c>
      <c r="CW75" t="e">
        <f>AND(Bills!Z216,"AAAAAD1f/2Q=")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AND(Bills!AA216,"AAAAAD1f/24=")</f>
        <v>#VALUE!</v>
      </c>
      <c r="DH75" t="e">
        <f>AND(Bills!AB216,"AAAAAD1f/28=")</f>
        <v>#VALUE!</v>
      </c>
      <c r="DI75" t="e">
        <f>AND(Bills!#REF!,"AAAAAD1f/3A=")</f>
        <v>#REF!</v>
      </c>
      <c r="DJ75" t="e">
        <f>AND(Bills!#REF!,"AAAAAD1f/3E=")</f>
        <v>#REF!</v>
      </c>
      <c r="DK75" t="e">
        <f>AND(Bills!#REF!,"AAAAAD1f/3I=")</f>
        <v>#REF!</v>
      </c>
      <c r="DL75" t="e">
        <f>AND(Bills!AC216,"AAAAAD1f/3M=")</f>
        <v>#VALUE!</v>
      </c>
      <c r="DM75" t="e">
        <f>AND(Bills!AD216,"AAAAAD1f/3Q=")</f>
        <v>#VALUE!</v>
      </c>
      <c r="DN75" t="e">
        <f>AND(Bills!#REF!,"AAAAAD1f/3U=")</f>
        <v>#REF!</v>
      </c>
      <c r="DO75">
        <f>IF(Bills!217:217,"AAAAAD1f/3Y=",0)</f>
        <v>0</v>
      </c>
      <c r="DP75" t="e">
        <f>AND(Bills!B217,"AAAAAD1f/3c=")</f>
        <v>#VALUE!</v>
      </c>
      <c r="DQ75" t="e">
        <f>AND(Bills!#REF!,"AAAAAD1f/3g=")</f>
        <v>#REF!</v>
      </c>
      <c r="DR75" t="e">
        <f>AND(Bills!C217,"AAAAAD1f/3k=")</f>
        <v>#VALUE!</v>
      </c>
      <c r="DS75" t="e">
        <f>AND(Bills!D217,"AAAAAD1f/3o=")</f>
        <v>#VALUE!</v>
      </c>
      <c r="DT75" t="e">
        <f>AND(Bills!E217,"AAAAAD1f/3s=")</f>
        <v>#VALUE!</v>
      </c>
      <c r="DU75" t="e">
        <f>AND(Bills!#REF!,"AAAAAD1f/3w=")</f>
        <v>#REF!</v>
      </c>
      <c r="DV75" t="e">
        <f>AND(Bills!#REF!,"AAAAAD1f/30=")</f>
        <v>#REF!</v>
      </c>
      <c r="DW75" t="e">
        <f>AND(Bills!#REF!,"AAAAAD1f/34=")</f>
        <v>#REF!</v>
      </c>
      <c r="DX75" t="e">
        <f>AND(Bills!F217,"AAAAAD1f/38=")</f>
        <v>#VALUE!</v>
      </c>
      <c r="DY75" t="e">
        <f>AND(Bills!#REF!,"AAAAAD1f/4A=")</f>
        <v>#REF!</v>
      </c>
      <c r="DZ75" t="e">
        <f>AND(Bills!G217,"AAAAAD1f/4E=")</f>
        <v>#VALUE!</v>
      </c>
      <c r="EA75" t="e">
        <f>AND(Bills!H217,"AAAAAD1f/4I=")</f>
        <v>#VALUE!</v>
      </c>
      <c r="EB75" t="e">
        <f>AND(Bills!I217,"AAAAAD1f/4M=")</f>
        <v>#VALUE!</v>
      </c>
      <c r="EC75" t="e">
        <f>AND(Bills!J217,"AAAAAD1f/4Q=")</f>
        <v>#VALUE!</v>
      </c>
      <c r="ED75" t="e">
        <f>AND(Bills!K217,"AAAAAD1f/4U=")</f>
        <v>#VALUE!</v>
      </c>
      <c r="EE75" t="e">
        <f>AND(Bills!L217,"AAAAAD1f/4Y=")</f>
        <v>#VALUE!</v>
      </c>
      <c r="EF75" t="e">
        <f>AND(Bills!#REF!,"AAAAAD1f/4c=")</f>
        <v>#REF!</v>
      </c>
      <c r="EG75" t="e">
        <f>AND(Bills!M217,"AAAAAD1f/4g=")</f>
        <v>#VALUE!</v>
      </c>
      <c r="EH75" t="e">
        <f>AND(Bills!N217,"AAAAAD1f/4k=")</f>
        <v>#VALUE!</v>
      </c>
      <c r="EI75" t="e">
        <f>AND(Bills!O217,"AAAAAD1f/4o=")</f>
        <v>#VALUE!</v>
      </c>
      <c r="EJ75" t="e">
        <f>AND(Bills!P217,"AAAAAD1f/4s=")</f>
        <v>#VALUE!</v>
      </c>
      <c r="EK75" t="e">
        <f>AND(Bills!Q217,"AAAAAD1f/4w=")</f>
        <v>#VALUE!</v>
      </c>
      <c r="EL75" t="e">
        <f>AND(Bills!R217,"AAAAAD1f/40=")</f>
        <v>#VALUE!</v>
      </c>
      <c r="EM75" t="e">
        <f>AND(Bills!S217,"AAAAAD1f/44=")</f>
        <v>#VALUE!</v>
      </c>
      <c r="EN75" t="e">
        <f>AND(Bills!T217,"AAAAAD1f/48=")</f>
        <v>#VALUE!</v>
      </c>
      <c r="EO75" t="e">
        <f>AND(Bills!#REF!,"AAAAAD1f/5A=")</f>
        <v>#REF!</v>
      </c>
      <c r="EP75" t="e">
        <f>AND(Bills!U217,"AAAAAD1f/5E=")</f>
        <v>#VALUE!</v>
      </c>
      <c r="EQ75" t="e">
        <f>AND(Bills!V217,"AAAAAD1f/5I=")</f>
        <v>#VALUE!</v>
      </c>
      <c r="ER75" t="e">
        <f>AND(Bills!W217,"AAAAAD1f/5M=")</f>
        <v>#VALUE!</v>
      </c>
      <c r="ES75" t="e">
        <f>AND(Bills!#REF!,"AAAAAD1f/5Q=")</f>
        <v>#REF!</v>
      </c>
      <c r="ET75" t="e">
        <f>AND(Bills!#REF!,"AAAAAD1f/5U=")</f>
        <v>#REF!</v>
      </c>
      <c r="EU75" t="e">
        <f>AND(Bills!Y217,"AAAAAD1f/5Y=")</f>
        <v>#VALUE!</v>
      </c>
      <c r="EV75" t="e">
        <f>AND(Bills!Z217,"AAAAAD1f/5c=")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AND(Bills!AA217,"AAAAAD1f/6E=")</f>
        <v>#VALUE!</v>
      </c>
      <c r="FG75" t="e">
        <f>AND(Bills!AB217,"AAAAAD1f/6I=")</f>
        <v>#VALUE!</v>
      </c>
      <c r="FH75" t="e">
        <f>AND(Bills!#REF!,"AAAAAD1f/6M=")</f>
        <v>#REF!</v>
      </c>
      <c r="FI75" t="e">
        <f>AND(Bills!#REF!,"AAAAAD1f/6Q=")</f>
        <v>#REF!</v>
      </c>
      <c r="FJ75" t="e">
        <f>AND(Bills!#REF!,"AAAAAD1f/6U=")</f>
        <v>#REF!</v>
      </c>
      <c r="FK75" t="e">
        <f>AND(Bills!AC217,"AAAAAD1f/6Y=")</f>
        <v>#VALUE!</v>
      </c>
      <c r="FL75" t="e">
        <f>AND(Bills!AD217,"AAAAAD1f/6c=")</f>
        <v>#VALUE!</v>
      </c>
      <c r="FM75" t="e">
        <f>AND(Bills!#REF!,"AAAAAD1f/6g=")</f>
        <v>#REF!</v>
      </c>
      <c r="FN75">
        <f>IF(Bills!218:218,"AAAAAD1f/6k=",0)</f>
        <v>0</v>
      </c>
      <c r="FO75" t="e">
        <f>AND(Bills!B218,"AAAAAD1f/6o=")</f>
        <v>#VALUE!</v>
      </c>
      <c r="FP75" t="e">
        <f>AND(Bills!#REF!,"AAAAAD1f/6s=")</f>
        <v>#REF!</v>
      </c>
      <c r="FQ75" t="e">
        <f>AND(Bills!C218,"AAAAAD1f/6w=")</f>
        <v>#VALUE!</v>
      </c>
      <c r="FR75" t="e">
        <f>AND(Bills!D218,"AAAAAD1f/60=")</f>
        <v>#VALUE!</v>
      </c>
      <c r="FS75" t="e">
        <f>AND(Bills!E218,"AAAAAD1f/64=")</f>
        <v>#VALUE!</v>
      </c>
      <c r="FT75" t="e">
        <f>AND(Bills!#REF!,"AAAAAD1f/68=")</f>
        <v>#REF!</v>
      </c>
      <c r="FU75" t="e">
        <f>AND(Bills!#REF!,"AAAAAD1f/7A=")</f>
        <v>#REF!</v>
      </c>
      <c r="FV75" t="e">
        <f>AND(Bills!#REF!,"AAAAAD1f/7E=")</f>
        <v>#REF!</v>
      </c>
      <c r="FW75" t="e">
        <f>AND(Bills!F218,"AAAAAD1f/7I=")</f>
        <v>#VALUE!</v>
      </c>
      <c r="FX75" t="e">
        <f>AND(Bills!#REF!,"AAAAAD1f/7M=")</f>
        <v>#REF!</v>
      </c>
      <c r="FY75" t="e">
        <f>AND(Bills!G218,"AAAAAD1f/7Q=")</f>
        <v>#VALUE!</v>
      </c>
      <c r="FZ75" t="e">
        <f>AND(Bills!H218,"AAAAAD1f/7U=")</f>
        <v>#VALUE!</v>
      </c>
      <c r="GA75" t="e">
        <f>AND(Bills!I218,"AAAAAD1f/7Y=")</f>
        <v>#VALUE!</v>
      </c>
      <c r="GB75" t="e">
        <f>AND(Bills!J218,"AAAAAD1f/7c=")</f>
        <v>#VALUE!</v>
      </c>
      <c r="GC75" t="e">
        <f>AND(Bills!K218,"AAAAAD1f/7g=")</f>
        <v>#VALUE!</v>
      </c>
      <c r="GD75" t="e">
        <f>AND(Bills!L218,"AAAAAD1f/7k=")</f>
        <v>#VALUE!</v>
      </c>
      <c r="GE75" t="e">
        <f>AND(Bills!#REF!,"AAAAAD1f/7o=")</f>
        <v>#REF!</v>
      </c>
      <c r="GF75" t="e">
        <f>AND(Bills!M218,"AAAAAD1f/7s=")</f>
        <v>#VALUE!</v>
      </c>
      <c r="GG75" t="e">
        <f>AND(Bills!N218,"AAAAAD1f/7w=")</f>
        <v>#VALUE!</v>
      </c>
      <c r="GH75" t="e">
        <f>AND(Bills!O218,"AAAAAD1f/70=")</f>
        <v>#VALUE!</v>
      </c>
      <c r="GI75" t="e">
        <f>AND(Bills!P218,"AAAAAD1f/74=")</f>
        <v>#VALUE!</v>
      </c>
      <c r="GJ75" t="e">
        <f>AND(Bills!Q218,"AAAAAD1f/78=")</f>
        <v>#VALUE!</v>
      </c>
      <c r="GK75" t="e">
        <f>AND(Bills!R218,"AAAAAD1f/8A=")</f>
        <v>#VALUE!</v>
      </c>
      <c r="GL75" t="e">
        <f>AND(Bills!S218,"AAAAAD1f/8E=")</f>
        <v>#VALUE!</v>
      </c>
      <c r="GM75" t="e">
        <f>AND(Bills!T218,"AAAAAD1f/8I=")</f>
        <v>#VALUE!</v>
      </c>
      <c r="GN75" t="e">
        <f>AND(Bills!#REF!,"AAAAAD1f/8M=")</f>
        <v>#REF!</v>
      </c>
      <c r="GO75" t="e">
        <f>AND(Bills!U218,"AAAAAD1f/8Q=")</f>
        <v>#VALUE!</v>
      </c>
      <c r="GP75" t="e">
        <f>AND(Bills!V218,"AAAAAD1f/8U=")</f>
        <v>#VALUE!</v>
      </c>
      <c r="GQ75" t="e">
        <f>AND(Bills!W218,"AAAAAD1f/8Y=")</f>
        <v>#VALUE!</v>
      </c>
      <c r="GR75" t="e">
        <f>AND(Bills!#REF!,"AAAAAD1f/8c=")</f>
        <v>#REF!</v>
      </c>
      <c r="GS75" t="e">
        <f>AND(Bills!#REF!,"AAAAAD1f/8g=")</f>
        <v>#REF!</v>
      </c>
      <c r="GT75" t="e">
        <f>AND(Bills!Y218,"AAAAAD1f/8k=")</f>
        <v>#VALUE!</v>
      </c>
      <c r="GU75" t="e">
        <f>AND(Bills!Z218,"AAAAAD1f/8o=")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AND(Bills!AA218,"AAAAAD1f/9Q=")</f>
        <v>#VALUE!</v>
      </c>
      <c r="HF75" t="e">
        <f>AND(Bills!AB218,"AAAAAD1f/9U=")</f>
        <v>#VALUE!</v>
      </c>
      <c r="HG75" t="e">
        <f>AND(Bills!#REF!,"AAAAAD1f/9Y=")</f>
        <v>#REF!</v>
      </c>
      <c r="HH75" t="e">
        <f>AND(Bills!#REF!,"AAAAAD1f/9c=")</f>
        <v>#REF!</v>
      </c>
      <c r="HI75" t="e">
        <f>AND(Bills!#REF!,"AAAAAD1f/9g=")</f>
        <v>#REF!</v>
      </c>
      <c r="HJ75" t="e">
        <f>AND(Bills!AC218,"AAAAAD1f/9k=")</f>
        <v>#VALUE!</v>
      </c>
      <c r="HK75" t="e">
        <f>AND(Bills!AD218,"AAAAAD1f/9o=")</f>
        <v>#VALUE!</v>
      </c>
      <c r="HL75" t="e">
        <f>AND(Bills!#REF!,"AAAAAD1f/9s=")</f>
        <v>#REF!</v>
      </c>
      <c r="HM75">
        <f>IF(Bills!219:219,"AAAAAD1f/9w=",0)</f>
        <v>0</v>
      </c>
      <c r="HN75" t="e">
        <f>AND(Bills!B219,"AAAAAD1f/90=")</f>
        <v>#VALUE!</v>
      </c>
      <c r="HO75" t="e">
        <f>AND(Bills!#REF!,"AAAAAD1f/94=")</f>
        <v>#REF!</v>
      </c>
      <c r="HP75" t="e">
        <f>AND(Bills!C219,"AAAAAD1f/98=")</f>
        <v>#VALUE!</v>
      </c>
      <c r="HQ75" t="e">
        <f>AND(Bills!D219,"AAAAAD1f/+A=")</f>
        <v>#VALUE!</v>
      </c>
      <c r="HR75" t="e">
        <f>AND(Bills!E219,"AAAAAD1f/+E=")</f>
        <v>#VALUE!</v>
      </c>
      <c r="HS75" t="e">
        <f>AND(Bills!#REF!,"AAAAAD1f/+I=")</f>
        <v>#REF!</v>
      </c>
      <c r="HT75" t="e">
        <f>AND(Bills!#REF!,"AAAAAD1f/+M=")</f>
        <v>#REF!</v>
      </c>
      <c r="HU75" t="e">
        <f>AND(Bills!#REF!,"AAAAAD1f/+Q=")</f>
        <v>#REF!</v>
      </c>
      <c r="HV75" t="e">
        <f>AND(Bills!F219,"AAAAAD1f/+U=")</f>
        <v>#VALUE!</v>
      </c>
      <c r="HW75" t="e">
        <f>AND(Bills!#REF!,"AAAAAD1f/+Y=")</f>
        <v>#REF!</v>
      </c>
      <c r="HX75" t="e">
        <f>AND(Bills!G219,"AAAAAD1f/+c=")</f>
        <v>#VALUE!</v>
      </c>
      <c r="HY75" t="e">
        <f>AND(Bills!H219,"AAAAAD1f/+g=")</f>
        <v>#VALUE!</v>
      </c>
      <c r="HZ75" t="e">
        <f>AND(Bills!I219,"AAAAAD1f/+k=")</f>
        <v>#VALUE!</v>
      </c>
      <c r="IA75" t="e">
        <f>AND(Bills!J219,"AAAAAD1f/+o=")</f>
        <v>#VALUE!</v>
      </c>
      <c r="IB75" t="e">
        <f>AND(Bills!K219,"AAAAAD1f/+s=")</f>
        <v>#VALUE!</v>
      </c>
      <c r="IC75" t="e">
        <f>AND(Bills!L219,"AAAAAD1f/+w=")</f>
        <v>#VALUE!</v>
      </c>
      <c r="ID75" t="e">
        <f>AND(Bills!#REF!,"AAAAAD1f/+0=")</f>
        <v>#REF!</v>
      </c>
      <c r="IE75" t="e">
        <f>AND(Bills!M219,"AAAAAD1f/+4=")</f>
        <v>#VALUE!</v>
      </c>
      <c r="IF75" t="e">
        <f>AND(Bills!N219,"AAAAAD1f/+8=")</f>
        <v>#VALUE!</v>
      </c>
      <c r="IG75" t="e">
        <f>AND(Bills!O219,"AAAAAD1f//A=")</f>
        <v>#VALUE!</v>
      </c>
      <c r="IH75" t="e">
        <f>AND(Bills!P219,"AAAAAD1f//E=")</f>
        <v>#VALUE!</v>
      </c>
      <c r="II75" t="e">
        <f>AND(Bills!Q219,"AAAAAD1f//I=")</f>
        <v>#VALUE!</v>
      </c>
      <c r="IJ75" t="e">
        <f>AND(Bills!R219,"AAAAAD1f//M=")</f>
        <v>#VALUE!</v>
      </c>
      <c r="IK75" t="e">
        <f>AND(Bills!S219,"AAAAAD1f//Q=")</f>
        <v>#VALUE!</v>
      </c>
      <c r="IL75" t="e">
        <f>AND(Bills!T219,"AAAAAD1f//U=")</f>
        <v>#VALUE!</v>
      </c>
      <c r="IM75" t="e">
        <f>AND(Bills!#REF!,"AAAAAD1f//Y=")</f>
        <v>#REF!</v>
      </c>
      <c r="IN75" t="e">
        <f>AND(Bills!U219,"AAAAAD1f//c=")</f>
        <v>#VALUE!</v>
      </c>
      <c r="IO75" t="e">
        <f>AND(Bills!V219,"AAAAAD1f//g=")</f>
        <v>#VALUE!</v>
      </c>
      <c r="IP75" t="e">
        <f>AND(Bills!W219,"AAAAAD1f//k=")</f>
        <v>#VALUE!</v>
      </c>
      <c r="IQ75" t="e">
        <f>AND(Bills!#REF!,"AAAAAD1f//o=")</f>
        <v>#REF!</v>
      </c>
      <c r="IR75" t="e">
        <f>AND(Bills!#REF!,"AAAAAD1f//s=")</f>
        <v>#REF!</v>
      </c>
      <c r="IS75" t="e">
        <f>AND(Bills!Y219,"AAAAAD1f//w=")</f>
        <v>#VALUE!</v>
      </c>
      <c r="IT75" t="e">
        <f>AND(Bills!Z219,"AAAAAD1f//0=")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AND(Bills!AA219,"AAAAACv/+Qc=")</f>
        <v>#VALUE!</v>
      </c>
      <c r="I76" t="e">
        <f>AND(Bills!AB219,"AAAAACv/+Qg=")</f>
        <v>#VALUE!</v>
      </c>
      <c r="J76" t="e">
        <f>AND(Bills!#REF!,"AAAAACv/+Qk=")</f>
        <v>#REF!</v>
      </c>
      <c r="K76" t="e">
        <f>AND(Bills!#REF!,"AAAAACv/+Qo=")</f>
        <v>#REF!</v>
      </c>
      <c r="L76" t="e">
        <f>AND(Bills!#REF!,"AAAAACv/+Qs=")</f>
        <v>#REF!</v>
      </c>
      <c r="M76" t="e">
        <f>AND(Bills!AC219,"AAAAACv/+Qw=")</f>
        <v>#VALUE!</v>
      </c>
      <c r="N76" t="e">
        <f>AND(Bills!AD219,"AAAAACv/+Q0=")</f>
        <v>#VALUE!</v>
      </c>
      <c r="O76" t="e">
        <f>AND(Bills!#REF!,"AAAAACv/+Q4=")</f>
        <v>#REF!</v>
      </c>
      <c r="P76">
        <f>IF(Bills!220:220,"AAAAACv/+Q8=",0)</f>
        <v>0</v>
      </c>
      <c r="Q76" t="e">
        <f>AND(Bills!B220,"AAAAACv/+RA=")</f>
        <v>#VALUE!</v>
      </c>
      <c r="R76" t="e">
        <f>AND(Bills!#REF!,"AAAAACv/+RE=")</f>
        <v>#REF!</v>
      </c>
      <c r="S76" t="e">
        <f>AND(Bills!C220,"AAAAACv/+RI=")</f>
        <v>#VALUE!</v>
      </c>
      <c r="T76" t="e">
        <f>AND(Bills!D220,"AAAAACv/+RM=")</f>
        <v>#VALUE!</v>
      </c>
      <c r="U76" t="e">
        <f>AND(Bills!E220,"AAAAACv/+RQ=")</f>
        <v>#VALUE!</v>
      </c>
      <c r="V76" t="e">
        <f>AND(Bills!#REF!,"AAAAACv/+RU=")</f>
        <v>#REF!</v>
      </c>
      <c r="W76" t="e">
        <f>AND(Bills!#REF!,"AAAAACv/+RY=")</f>
        <v>#REF!</v>
      </c>
      <c r="X76" t="e">
        <f>AND(Bills!#REF!,"AAAAACv/+Rc=")</f>
        <v>#REF!</v>
      </c>
      <c r="Y76" t="e">
        <f>AND(Bills!F220,"AAAAACv/+Rg=")</f>
        <v>#VALUE!</v>
      </c>
      <c r="Z76" t="e">
        <f>AND(Bills!#REF!,"AAAAACv/+Rk=")</f>
        <v>#REF!</v>
      </c>
      <c r="AA76" t="e">
        <f>AND(Bills!G220,"AAAAACv/+Ro=")</f>
        <v>#VALUE!</v>
      </c>
      <c r="AB76" t="e">
        <f>AND(Bills!H220,"AAAAACv/+Rs=")</f>
        <v>#VALUE!</v>
      </c>
      <c r="AC76" t="e">
        <f>AND(Bills!I220,"AAAAACv/+Rw=")</f>
        <v>#VALUE!</v>
      </c>
      <c r="AD76" t="e">
        <f>AND(Bills!J220,"AAAAACv/+R0=")</f>
        <v>#VALUE!</v>
      </c>
      <c r="AE76" t="e">
        <f>AND(Bills!K220,"AAAAACv/+R4=")</f>
        <v>#VALUE!</v>
      </c>
      <c r="AF76" t="e">
        <f>AND(Bills!L220,"AAAAACv/+R8=")</f>
        <v>#VALUE!</v>
      </c>
      <c r="AG76" t="e">
        <f>AND(Bills!#REF!,"AAAAACv/+SA=")</f>
        <v>#REF!</v>
      </c>
      <c r="AH76" t="e">
        <f>AND(Bills!M220,"AAAAACv/+SE=")</f>
        <v>#VALUE!</v>
      </c>
      <c r="AI76" t="e">
        <f>AND(Bills!N220,"AAAAACv/+SI=")</f>
        <v>#VALUE!</v>
      </c>
      <c r="AJ76" t="e">
        <f>AND(Bills!O220,"AAAAACv/+SM=")</f>
        <v>#VALUE!</v>
      </c>
      <c r="AK76" t="e">
        <f>AND(Bills!P220,"AAAAACv/+SQ=")</f>
        <v>#VALUE!</v>
      </c>
      <c r="AL76" t="e">
        <f>AND(Bills!Q220,"AAAAACv/+SU=")</f>
        <v>#VALUE!</v>
      </c>
      <c r="AM76" t="e">
        <f>AND(Bills!R220,"AAAAACv/+SY=")</f>
        <v>#VALUE!</v>
      </c>
      <c r="AN76" t="e">
        <f>AND(Bills!S220,"AAAAACv/+Sc=")</f>
        <v>#VALUE!</v>
      </c>
      <c r="AO76" t="e">
        <f>AND(Bills!T220,"AAAAACv/+Sg=")</f>
        <v>#VALUE!</v>
      </c>
      <c r="AP76" t="e">
        <f>AND(Bills!#REF!,"AAAAACv/+Sk=")</f>
        <v>#REF!</v>
      </c>
      <c r="AQ76" t="e">
        <f>AND(Bills!U220,"AAAAACv/+So=")</f>
        <v>#VALUE!</v>
      </c>
      <c r="AR76" t="e">
        <f>AND(Bills!V220,"AAAAACv/+Ss=")</f>
        <v>#VALUE!</v>
      </c>
      <c r="AS76" t="e">
        <f>AND(Bills!W220,"AAAAACv/+Sw=")</f>
        <v>#VALUE!</v>
      </c>
      <c r="AT76" t="e">
        <f>AND(Bills!#REF!,"AAAAACv/+S0=")</f>
        <v>#REF!</v>
      </c>
      <c r="AU76" t="e">
        <f>AND(Bills!#REF!,"AAAAACv/+S4=")</f>
        <v>#REF!</v>
      </c>
      <c r="AV76" t="e">
        <f>AND(Bills!Y220,"AAAAACv/+S8=")</f>
        <v>#VALUE!</v>
      </c>
      <c r="AW76" t="e">
        <f>AND(Bills!Z220,"AAAAACv/+TA=")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AND(Bills!AA220,"AAAAACv/+To=")</f>
        <v>#VALUE!</v>
      </c>
      <c r="BH76" t="e">
        <f>AND(Bills!AB220,"AAAAACv/+Ts=")</f>
        <v>#VALUE!</v>
      </c>
      <c r="BI76" t="e">
        <f>AND(Bills!#REF!,"AAAAACv/+Tw=")</f>
        <v>#REF!</v>
      </c>
      <c r="BJ76" t="e">
        <f>AND(Bills!#REF!,"AAAAACv/+T0=")</f>
        <v>#REF!</v>
      </c>
      <c r="BK76" t="e">
        <f>AND(Bills!#REF!,"AAAAACv/+T4=")</f>
        <v>#REF!</v>
      </c>
      <c r="BL76" t="e">
        <f>AND(Bills!AC220,"AAAAACv/+T8=")</f>
        <v>#VALUE!</v>
      </c>
      <c r="BM76" t="e">
        <f>AND(Bills!AD220,"AAAAACv/+UA=")</f>
        <v>#VALUE!</v>
      </c>
      <c r="BN76" t="e">
        <f>AND(Bills!#REF!,"AAAAACv/+UE=")</f>
        <v>#REF!</v>
      </c>
      <c r="BO76">
        <f>IF(Bills!221:221,"AAAAACv/+UI=",0)</f>
        <v>0</v>
      </c>
      <c r="BP76" t="e">
        <f>AND(Bills!B221,"AAAAACv/+UM=")</f>
        <v>#VALUE!</v>
      </c>
      <c r="BQ76" t="e">
        <f>AND(Bills!#REF!,"AAAAACv/+UQ=")</f>
        <v>#REF!</v>
      </c>
      <c r="BR76" t="e">
        <f>AND(Bills!C221,"AAAAACv/+UU=")</f>
        <v>#VALUE!</v>
      </c>
      <c r="BS76" t="e">
        <f>AND(Bills!D221,"AAAAACv/+UY=")</f>
        <v>#VALUE!</v>
      </c>
      <c r="BT76" t="e">
        <f>AND(Bills!E221,"AAAAACv/+Uc=")</f>
        <v>#VALUE!</v>
      </c>
      <c r="BU76" t="e">
        <f>AND(Bills!#REF!,"AAAAACv/+Ug=")</f>
        <v>#REF!</v>
      </c>
      <c r="BV76" t="e">
        <f>AND(Bills!#REF!,"AAAAACv/+Uk=")</f>
        <v>#REF!</v>
      </c>
      <c r="BW76" t="e">
        <f>AND(Bills!#REF!,"AAAAACv/+Uo=")</f>
        <v>#REF!</v>
      </c>
      <c r="BX76" t="e">
        <f>AND(Bills!F221,"AAAAACv/+Us=")</f>
        <v>#VALUE!</v>
      </c>
      <c r="BY76" t="e">
        <f>AND(Bills!#REF!,"AAAAACv/+Uw=")</f>
        <v>#REF!</v>
      </c>
      <c r="BZ76" t="e">
        <f>AND(Bills!G221,"AAAAACv/+U0=")</f>
        <v>#VALUE!</v>
      </c>
      <c r="CA76" t="e">
        <f>AND(Bills!H221,"AAAAACv/+U4=")</f>
        <v>#VALUE!</v>
      </c>
      <c r="CB76" t="e">
        <f>AND(Bills!I221,"AAAAACv/+U8=")</f>
        <v>#VALUE!</v>
      </c>
      <c r="CC76" t="e">
        <f>AND(Bills!J221,"AAAAACv/+VA=")</f>
        <v>#VALUE!</v>
      </c>
      <c r="CD76" t="e">
        <f>AND(Bills!K221,"AAAAACv/+VE=")</f>
        <v>#VALUE!</v>
      </c>
      <c r="CE76" t="e">
        <f>AND(Bills!L221,"AAAAACv/+VI=")</f>
        <v>#VALUE!</v>
      </c>
      <c r="CF76" t="e">
        <f>AND(Bills!#REF!,"AAAAACv/+VM=")</f>
        <v>#REF!</v>
      </c>
      <c r="CG76" t="e">
        <f>AND(Bills!M221,"AAAAACv/+VQ=")</f>
        <v>#VALUE!</v>
      </c>
      <c r="CH76" t="e">
        <f>AND(Bills!N221,"AAAAACv/+VU=")</f>
        <v>#VALUE!</v>
      </c>
      <c r="CI76" t="e">
        <f>AND(Bills!O221,"AAAAACv/+VY=")</f>
        <v>#VALUE!</v>
      </c>
      <c r="CJ76" t="e">
        <f>AND(Bills!P221,"AAAAACv/+Vc=")</f>
        <v>#VALUE!</v>
      </c>
      <c r="CK76" t="e">
        <f>AND(Bills!Q221,"AAAAACv/+Vg=")</f>
        <v>#VALUE!</v>
      </c>
      <c r="CL76" t="e">
        <f>AND(Bills!R221,"AAAAACv/+Vk=")</f>
        <v>#VALUE!</v>
      </c>
      <c r="CM76" t="e">
        <f>AND(Bills!S221,"AAAAACv/+Vo=")</f>
        <v>#VALUE!</v>
      </c>
      <c r="CN76" t="e">
        <f>AND(Bills!T221,"AAAAACv/+Vs=")</f>
        <v>#VALUE!</v>
      </c>
      <c r="CO76" t="e">
        <f>AND(Bills!#REF!,"AAAAACv/+Vw=")</f>
        <v>#REF!</v>
      </c>
      <c r="CP76" t="e">
        <f>AND(Bills!U221,"AAAAACv/+V0=")</f>
        <v>#VALUE!</v>
      </c>
      <c r="CQ76" t="e">
        <f>AND(Bills!V221,"AAAAACv/+V4=")</f>
        <v>#VALUE!</v>
      </c>
      <c r="CR76" t="e">
        <f>AND(Bills!W221,"AAAAACv/+V8=")</f>
        <v>#VALUE!</v>
      </c>
      <c r="CS76" t="e">
        <f>AND(Bills!#REF!,"AAAAACv/+WA=")</f>
        <v>#REF!</v>
      </c>
      <c r="CT76" t="e">
        <f>AND(Bills!#REF!,"AAAAACv/+WE=")</f>
        <v>#REF!</v>
      </c>
      <c r="CU76" t="e">
        <f>AND(Bills!Y221,"AAAAACv/+WI=")</f>
        <v>#VALUE!</v>
      </c>
      <c r="CV76" t="e">
        <f>AND(Bills!Z221,"AAAAACv/+WM=")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AND(Bills!AA221,"AAAAACv/+W0=")</f>
        <v>#VALUE!</v>
      </c>
      <c r="DG76" t="e">
        <f>AND(Bills!AB221,"AAAAACv/+W4=")</f>
        <v>#VALUE!</v>
      </c>
      <c r="DH76" t="e">
        <f>AND(Bills!#REF!,"AAAAACv/+W8=")</f>
        <v>#REF!</v>
      </c>
      <c r="DI76" t="e">
        <f>AND(Bills!#REF!,"AAAAACv/+XA=")</f>
        <v>#REF!</v>
      </c>
      <c r="DJ76" t="e">
        <f>AND(Bills!#REF!,"AAAAACv/+XE=")</f>
        <v>#REF!</v>
      </c>
      <c r="DK76" t="e">
        <f>AND(Bills!AC221,"AAAAACv/+XI=")</f>
        <v>#VALUE!</v>
      </c>
      <c r="DL76" t="e">
        <f>AND(Bills!AD221,"AAAAACv/+XM=")</f>
        <v>#VALUE!</v>
      </c>
      <c r="DM76" t="e">
        <f>AND(Bills!#REF!,"AAAAACv/+XQ=")</f>
        <v>#REF!</v>
      </c>
      <c r="DN76">
        <f>IF(Bills!222:222,"AAAAACv/+XU=",0)</f>
        <v>0</v>
      </c>
      <c r="DO76" t="e">
        <f>AND(Bills!B222,"AAAAACv/+XY=")</f>
        <v>#VALUE!</v>
      </c>
      <c r="DP76" t="e">
        <f>AND(Bills!#REF!,"AAAAACv/+Xc=")</f>
        <v>#REF!</v>
      </c>
      <c r="DQ76" t="e">
        <f>AND(Bills!C222,"AAAAACv/+Xg=")</f>
        <v>#VALUE!</v>
      </c>
      <c r="DR76" t="e">
        <f>AND(Bills!D222,"AAAAACv/+Xk=")</f>
        <v>#VALUE!</v>
      </c>
      <c r="DS76" t="e">
        <f>AND(Bills!E222,"AAAAACv/+Xo=")</f>
        <v>#VALUE!</v>
      </c>
      <c r="DT76" t="e">
        <f>AND(Bills!#REF!,"AAAAACv/+Xs=")</f>
        <v>#REF!</v>
      </c>
      <c r="DU76" t="e">
        <f>AND(Bills!#REF!,"AAAAACv/+Xw=")</f>
        <v>#REF!</v>
      </c>
      <c r="DV76" t="e">
        <f>AND(Bills!#REF!,"AAAAACv/+X0=")</f>
        <v>#REF!</v>
      </c>
      <c r="DW76" t="e">
        <f>AND(Bills!F222,"AAAAACv/+X4=")</f>
        <v>#VALUE!</v>
      </c>
      <c r="DX76" t="e">
        <f>AND(Bills!#REF!,"AAAAACv/+X8=")</f>
        <v>#REF!</v>
      </c>
      <c r="DY76" t="e">
        <f>AND(Bills!G222,"AAAAACv/+YA=")</f>
        <v>#VALUE!</v>
      </c>
      <c r="DZ76" t="e">
        <f>AND(Bills!H222,"AAAAACv/+YE=")</f>
        <v>#VALUE!</v>
      </c>
      <c r="EA76" t="e">
        <f>AND(Bills!I222,"AAAAACv/+YI=")</f>
        <v>#VALUE!</v>
      </c>
      <c r="EB76" t="e">
        <f>AND(Bills!J222,"AAAAACv/+YM=")</f>
        <v>#VALUE!</v>
      </c>
      <c r="EC76" t="e">
        <f>AND(Bills!K222,"AAAAACv/+YQ=")</f>
        <v>#VALUE!</v>
      </c>
      <c r="ED76" t="e">
        <f>AND(Bills!L222,"AAAAACv/+YU=")</f>
        <v>#VALUE!</v>
      </c>
      <c r="EE76" t="e">
        <f>AND(Bills!#REF!,"AAAAACv/+YY=")</f>
        <v>#REF!</v>
      </c>
      <c r="EF76" t="e">
        <f>AND(Bills!M222,"AAAAACv/+Yc=")</f>
        <v>#VALUE!</v>
      </c>
      <c r="EG76" t="e">
        <f>AND(Bills!N222,"AAAAACv/+Yg=")</f>
        <v>#VALUE!</v>
      </c>
      <c r="EH76" t="e">
        <f>AND(Bills!O222,"AAAAACv/+Yk=")</f>
        <v>#VALUE!</v>
      </c>
      <c r="EI76" t="e">
        <f>AND(Bills!P222,"AAAAACv/+Yo=")</f>
        <v>#VALUE!</v>
      </c>
      <c r="EJ76" t="e">
        <f>AND(Bills!Q222,"AAAAACv/+Ys=")</f>
        <v>#VALUE!</v>
      </c>
      <c r="EK76" t="e">
        <f>AND(Bills!R222,"AAAAACv/+Yw=")</f>
        <v>#VALUE!</v>
      </c>
      <c r="EL76" t="e">
        <f>AND(Bills!S222,"AAAAACv/+Y0=")</f>
        <v>#VALUE!</v>
      </c>
      <c r="EM76" t="e">
        <f>AND(Bills!T222,"AAAAACv/+Y4=")</f>
        <v>#VALUE!</v>
      </c>
      <c r="EN76" t="e">
        <f>AND(Bills!#REF!,"AAAAACv/+Y8=")</f>
        <v>#REF!</v>
      </c>
      <c r="EO76" t="e">
        <f>AND(Bills!U222,"AAAAACv/+ZA=")</f>
        <v>#VALUE!</v>
      </c>
      <c r="EP76" t="e">
        <f>AND(Bills!V222,"AAAAACv/+ZE=")</f>
        <v>#VALUE!</v>
      </c>
      <c r="EQ76" t="e">
        <f>AND(Bills!W222,"AAAAACv/+ZI=")</f>
        <v>#VALUE!</v>
      </c>
      <c r="ER76" t="e">
        <f>AND(Bills!#REF!,"AAAAACv/+ZM=")</f>
        <v>#REF!</v>
      </c>
      <c r="ES76" t="e">
        <f>AND(Bills!#REF!,"AAAAACv/+ZQ=")</f>
        <v>#REF!</v>
      </c>
      <c r="ET76" t="e">
        <f>AND(Bills!Y222,"AAAAACv/+ZU=")</f>
        <v>#VALUE!</v>
      </c>
      <c r="EU76" t="e">
        <f>AND(Bills!Z222,"AAAAACv/+ZY=")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AND(Bills!AA222,"AAAAACv/+aA=")</f>
        <v>#VALUE!</v>
      </c>
      <c r="FF76" t="e">
        <f>AND(Bills!AB222,"AAAAACv/+aE=")</f>
        <v>#VALUE!</v>
      </c>
      <c r="FG76" t="e">
        <f>AND(Bills!#REF!,"AAAAACv/+aI=")</f>
        <v>#REF!</v>
      </c>
      <c r="FH76" t="e">
        <f>AND(Bills!#REF!,"AAAAACv/+aM=")</f>
        <v>#REF!</v>
      </c>
      <c r="FI76" t="e">
        <f>AND(Bills!#REF!,"AAAAACv/+aQ=")</f>
        <v>#REF!</v>
      </c>
      <c r="FJ76" t="e">
        <f>AND(Bills!AC222,"AAAAACv/+aU=")</f>
        <v>#VALUE!</v>
      </c>
      <c r="FK76" t="e">
        <f>AND(Bills!AD222,"AAAAACv/+aY=")</f>
        <v>#VALUE!</v>
      </c>
      <c r="FL76" t="e">
        <f>AND(Bills!#REF!,"AAAAACv/+ac=")</f>
        <v>#REF!</v>
      </c>
      <c r="FM76">
        <f>IF(Bills!223:223,"AAAAACv/+ag=",0)</f>
        <v>0</v>
      </c>
      <c r="FN76" t="e">
        <f>AND(Bills!B223,"AAAAACv/+ak=")</f>
        <v>#VALUE!</v>
      </c>
      <c r="FO76" t="e">
        <f>AND(Bills!#REF!,"AAAAACv/+ao=")</f>
        <v>#REF!</v>
      </c>
      <c r="FP76" t="e">
        <f>AND(Bills!C223,"AAAAACv/+as=")</f>
        <v>#VALUE!</v>
      </c>
      <c r="FQ76" t="e">
        <f>AND(Bills!D223,"AAAAACv/+aw=")</f>
        <v>#VALUE!</v>
      </c>
      <c r="FR76" t="e">
        <f>AND(Bills!E223,"AAAAACv/+a0=")</f>
        <v>#VALUE!</v>
      </c>
      <c r="FS76" t="e">
        <f>AND(Bills!#REF!,"AAAAACv/+a4=")</f>
        <v>#REF!</v>
      </c>
      <c r="FT76" t="e">
        <f>AND(Bills!#REF!,"AAAAACv/+a8=")</f>
        <v>#REF!</v>
      </c>
      <c r="FU76" t="e">
        <f>AND(Bills!#REF!,"AAAAACv/+bA=")</f>
        <v>#REF!</v>
      </c>
      <c r="FV76" t="e">
        <f>AND(Bills!F223,"AAAAACv/+bE=")</f>
        <v>#VALUE!</v>
      </c>
      <c r="FW76" t="e">
        <f>AND(Bills!#REF!,"AAAAACv/+bI=")</f>
        <v>#REF!</v>
      </c>
      <c r="FX76" t="e">
        <f>AND(Bills!G223,"AAAAACv/+bM=")</f>
        <v>#VALUE!</v>
      </c>
      <c r="FY76" t="e">
        <f>AND(Bills!H223,"AAAAACv/+bQ=")</f>
        <v>#VALUE!</v>
      </c>
      <c r="FZ76" t="e">
        <f>AND(Bills!I223,"AAAAACv/+bU=")</f>
        <v>#VALUE!</v>
      </c>
      <c r="GA76" t="e">
        <f>AND(Bills!J223,"AAAAACv/+bY=")</f>
        <v>#VALUE!</v>
      </c>
      <c r="GB76" t="e">
        <f>AND(Bills!K223,"AAAAACv/+bc=")</f>
        <v>#VALUE!</v>
      </c>
      <c r="GC76" t="e">
        <f>AND(Bills!L223,"AAAAACv/+bg=")</f>
        <v>#VALUE!</v>
      </c>
      <c r="GD76" t="e">
        <f>AND(Bills!#REF!,"AAAAACv/+bk=")</f>
        <v>#REF!</v>
      </c>
      <c r="GE76" t="e">
        <f>AND(Bills!M223,"AAAAACv/+bo=")</f>
        <v>#VALUE!</v>
      </c>
      <c r="GF76" t="e">
        <f>AND(Bills!N223,"AAAAACv/+bs=")</f>
        <v>#VALUE!</v>
      </c>
      <c r="GG76" t="e">
        <f>AND(Bills!O223,"AAAAACv/+bw=")</f>
        <v>#VALUE!</v>
      </c>
      <c r="GH76" t="e">
        <f>AND(Bills!P223,"AAAAACv/+b0=")</f>
        <v>#VALUE!</v>
      </c>
      <c r="GI76" t="e">
        <f>AND(Bills!Q223,"AAAAACv/+b4=")</f>
        <v>#VALUE!</v>
      </c>
      <c r="GJ76" t="e">
        <f>AND(Bills!R223,"AAAAACv/+b8=")</f>
        <v>#VALUE!</v>
      </c>
      <c r="GK76" t="e">
        <f>AND(Bills!S223,"AAAAACv/+cA=")</f>
        <v>#VALUE!</v>
      </c>
      <c r="GL76" t="e">
        <f>AND(Bills!T223,"AAAAACv/+cE=")</f>
        <v>#VALUE!</v>
      </c>
      <c r="GM76" t="e">
        <f>AND(Bills!#REF!,"AAAAACv/+cI=")</f>
        <v>#REF!</v>
      </c>
      <c r="GN76" t="e">
        <f>AND(Bills!U223,"AAAAACv/+cM=")</f>
        <v>#VALUE!</v>
      </c>
      <c r="GO76" t="e">
        <f>AND(Bills!V223,"AAAAACv/+cQ=")</f>
        <v>#VALUE!</v>
      </c>
      <c r="GP76" t="e">
        <f>AND(Bills!W223,"AAAAACv/+cU=")</f>
        <v>#VALUE!</v>
      </c>
      <c r="GQ76" t="e">
        <f>AND(Bills!#REF!,"AAAAACv/+cY=")</f>
        <v>#REF!</v>
      </c>
      <c r="GR76" t="e">
        <f>AND(Bills!#REF!,"AAAAACv/+cc=")</f>
        <v>#REF!</v>
      </c>
      <c r="GS76" t="e">
        <f>AND(Bills!Y223,"AAAAACv/+cg=")</f>
        <v>#VALUE!</v>
      </c>
      <c r="GT76" t="e">
        <f>AND(Bills!Z223,"AAAAACv/+ck=")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AND(Bills!AA223,"AAAAACv/+dM=")</f>
        <v>#VALUE!</v>
      </c>
      <c r="HE76" t="e">
        <f>AND(Bills!AB223,"AAAAACv/+dQ=")</f>
        <v>#VALUE!</v>
      </c>
      <c r="HF76" t="e">
        <f>AND(Bills!#REF!,"AAAAACv/+dU=")</f>
        <v>#REF!</v>
      </c>
      <c r="HG76" t="e">
        <f>AND(Bills!#REF!,"AAAAACv/+dY=")</f>
        <v>#REF!</v>
      </c>
      <c r="HH76" t="e">
        <f>AND(Bills!#REF!,"AAAAACv/+dc=")</f>
        <v>#REF!</v>
      </c>
      <c r="HI76" t="e">
        <f>AND(Bills!AC223,"AAAAACv/+dg=")</f>
        <v>#VALUE!</v>
      </c>
      <c r="HJ76" t="e">
        <f>AND(Bills!AD223,"AAAAACv/+dk=")</f>
        <v>#VALUE!</v>
      </c>
      <c r="HK76" t="e">
        <f>AND(Bills!#REF!,"AAAAACv/+do=")</f>
        <v>#REF!</v>
      </c>
      <c r="HL76">
        <f>IF(Bills!224:224,"AAAAACv/+ds=",0)</f>
        <v>0</v>
      </c>
      <c r="HM76" t="e">
        <f>AND(Bills!B224,"AAAAACv/+dw=")</f>
        <v>#VALUE!</v>
      </c>
      <c r="HN76" t="e">
        <f>AND(Bills!#REF!,"AAAAACv/+d0=")</f>
        <v>#REF!</v>
      </c>
      <c r="HO76" t="e">
        <f>AND(Bills!C224,"AAAAACv/+d4=")</f>
        <v>#VALUE!</v>
      </c>
      <c r="HP76" t="e">
        <f>AND(Bills!D224,"AAAAACv/+d8=")</f>
        <v>#VALUE!</v>
      </c>
      <c r="HQ76" t="e">
        <f>AND(Bills!E224,"AAAAACv/+eA=")</f>
        <v>#VALUE!</v>
      </c>
      <c r="HR76" t="e">
        <f>AND(Bills!#REF!,"AAAAACv/+eE=")</f>
        <v>#REF!</v>
      </c>
      <c r="HS76" t="e">
        <f>AND(Bills!#REF!,"AAAAACv/+eI=")</f>
        <v>#REF!</v>
      </c>
      <c r="HT76" t="e">
        <f>AND(Bills!#REF!,"AAAAACv/+eM=")</f>
        <v>#REF!</v>
      </c>
      <c r="HU76" t="e">
        <f>AND(Bills!F224,"AAAAACv/+eQ=")</f>
        <v>#VALUE!</v>
      </c>
      <c r="HV76" t="e">
        <f>AND(Bills!#REF!,"AAAAACv/+eU=")</f>
        <v>#REF!</v>
      </c>
      <c r="HW76" t="e">
        <f>AND(Bills!G224,"AAAAACv/+eY=")</f>
        <v>#VALUE!</v>
      </c>
      <c r="HX76" t="e">
        <f>AND(Bills!H224,"AAAAACv/+ec=")</f>
        <v>#VALUE!</v>
      </c>
      <c r="HY76" t="e">
        <f>AND(Bills!I224,"AAAAACv/+eg=")</f>
        <v>#VALUE!</v>
      </c>
      <c r="HZ76" t="e">
        <f>AND(Bills!J224,"AAAAACv/+ek=")</f>
        <v>#VALUE!</v>
      </c>
      <c r="IA76" t="e">
        <f>AND(Bills!K224,"AAAAACv/+eo=")</f>
        <v>#VALUE!</v>
      </c>
      <c r="IB76" t="e">
        <f>AND(Bills!L224,"AAAAACv/+es=")</f>
        <v>#VALUE!</v>
      </c>
      <c r="IC76" t="e">
        <f>AND(Bills!#REF!,"AAAAACv/+ew=")</f>
        <v>#REF!</v>
      </c>
      <c r="ID76" t="e">
        <f>AND(Bills!M224,"AAAAACv/+e0=")</f>
        <v>#VALUE!</v>
      </c>
      <c r="IE76" t="e">
        <f>AND(Bills!N224,"AAAAACv/+e4=")</f>
        <v>#VALUE!</v>
      </c>
      <c r="IF76" t="e">
        <f>AND(Bills!O224,"AAAAACv/+e8=")</f>
        <v>#VALUE!</v>
      </c>
      <c r="IG76" t="e">
        <f>AND(Bills!P224,"AAAAACv/+fA=")</f>
        <v>#VALUE!</v>
      </c>
      <c r="IH76" t="e">
        <f>AND(Bills!Q224,"AAAAACv/+fE=")</f>
        <v>#VALUE!</v>
      </c>
      <c r="II76" t="e">
        <f>AND(Bills!R224,"AAAAACv/+fI=")</f>
        <v>#VALUE!</v>
      </c>
      <c r="IJ76" t="e">
        <f>AND(Bills!S224,"AAAAACv/+fM=")</f>
        <v>#VALUE!</v>
      </c>
      <c r="IK76" t="e">
        <f>AND(Bills!T224,"AAAAACv/+fQ=")</f>
        <v>#VALUE!</v>
      </c>
      <c r="IL76" t="e">
        <f>AND(Bills!#REF!,"AAAAACv/+fU=")</f>
        <v>#REF!</v>
      </c>
      <c r="IM76" t="e">
        <f>AND(Bills!U224,"AAAAACv/+fY=")</f>
        <v>#VALUE!</v>
      </c>
      <c r="IN76" t="e">
        <f>AND(Bills!V224,"AAAAACv/+fc=")</f>
        <v>#VALUE!</v>
      </c>
      <c r="IO76" t="e">
        <f>AND(Bills!W224,"AAAAACv/+fg=")</f>
        <v>#VALUE!</v>
      </c>
      <c r="IP76" t="e">
        <f>AND(Bills!#REF!,"AAAAACv/+fk=")</f>
        <v>#REF!</v>
      </c>
      <c r="IQ76" t="e">
        <f>AND(Bills!#REF!,"AAAAACv/+fo=")</f>
        <v>#REF!</v>
      </c>
      <c r="IR76" t="e">
        <f>AND(Bills!Y224,"AAAAACv/+fs=")</f>
        <v>#VALUE!</v>
      </c>
      <c r="IS76" t="e">
        <f>AND(Bills!Z224,"AAAAACv/+fw=")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AND(Bills!AA224,"AAAAAH+5zQY=")</f>
        <v>#VALUE!</v>
      </c>
      <c r="H77" t="e">
        <f>AND(Bills!AB224,"AAAAAH+5zQc=")</f>
        <v>#VALUE!</v>
      </c>
      <c r="I77" t="e">
        <f>AND(Bills!#REF!,"AAAAAH+5zQg=")</f>
        <v>#REF!</v>
      </c>
      <c r="J77" t="e">
        <f>AND(Bills!#REF!,"AAAAAH+5zQk=")</f>
        <v>#REF!</v>
      </c>
      <c r="K77" t="e">
        <f>AND(Bills!#REF!,"AAAAAH+5zQo=")</f>
        <v>#REF!</v>
      </c>
      <c r="L77" t="e">
        <f>AND(Bills!AC224,"AAAAAH+5zQs=")</f>
        <v>#VALUE!</v>
      </c>
      <c r="M77" t="e">
        <f>AND(Bills!AD224,"AAAAAH+5zQw=")</f>
        <v>#VALUE!</v>
      </c>
      <c r="N77" t="e">
        <f>AND(Bills!#REF!,"AAAAAH+5zQ0=")</f>
        <v>#REF!</v>
      </c>
      <c r="O77">
        <f>IF(Bills!225:225,"AAAAAH+5zQ4=",0)</f>
        <v>0</v>
      </c>
      <c r="P77" t="e">
        <f>AND(Bills!B225,"AAAAAH+5zQ8=")</f>
        <v>#VALUE!</v>
      </c>
      <c r="Q77" t="e">
        <f>AND(Bills!#REF!,"AAAAAH+5zRA=")</f>
        <v>#REF!</v>
      </c>
      <c r="R77" t="e">
        <f>AND(Bills!C225,"AAAAAH+5zRE=")</f>
        <v>#VALUE!</v>
      </c>
      <c r="S77" t="e">
        <f>AND(Bills!D225,"AAAAAH+5zRI=")</f>
        <v>#VALUE!</v>
      </c>
      <c r="T77" t="e">
        <f>AND(Bills!E225,"AAAAAH+5zRM=")</f>
        <v>#VALUE!</v>
      </c>
      <c r="U77" t="e">
        <f>AND(Bills!#REF!,"AAAAAH+5zRQ=")</f>
        <v>#REF!</v>
      </c>
      <c r="V77" t="e">
        <f>AND(Bills!#REF!,"AAAAAH+5zRU=")</f>
        <v>#REF!</v>
      </c>
      <c r="W77" t="e">
        <f>AND(Bills!#REF!,"AAAAAH+5zRY=")</f>
        <v>#REF!</v>
      </c>
      <c r="X77" t="e">
        <f>AND(Bills!F225,"AAAAAH+5zRc=")</f>
        <v>#VALUE!</v>
      </c>
      <c r="Y77" t="e">
        <f>AND(Bills!#REF!,"AAAAAH+5zRg=")</f>
        <v>#REF!</v>
      </c>
      <c r="Z77" t="e">
        <f>AND(Bills!G225,"AAAAAH+5zRk=")</f>
        <v>#VALUE!</v>
      </c>
      <c r="AA77" t="e">
        <f>AND(Bills!H225,"AAAAAH+5zRo=")</f>
        <v>#VALUE!</v>
      </c>
      <c r="AB77" t="e">
        <f>AND(Bills!I225,"AAAAAH+5zRs=")</f>
        <v>#VALUE!</v>
      </c>
      <c r="AC77" t="e">
        <f>AND(Bills!J225,"AAAAAH+5zRw=")</f>
        <v>#VALUE!</v>
      </c>
      <c r="AD77" t="e">
        <f>AND(Bills!K225,"AAAAAH+5zR0=")</f>
        <v>#VALUE!</v>
      </c>
      <c r="AE77" t="e">
        <f>AND(Bills!L225,"AAAAAH+5zR4=")</f>
        <v>#VALUE!</v>
      </c>
      <c r="AF77" t="e">
        <f>AND(Bills!#REF!,"AAAAAH+5zR8=")</f>
        <v>#REF!</v>
      </c>
      <c r="AG77" t="e">
        <f>AND(Bills!M225,"AAAAAH+5zSA=")</f>
        <v>#VALUE!</v>
      </c>
      <c r="AH77" t="e">
        <f>AND(Bills!N225,"AAAAAH+5zSE=")</f>
        <v>#VALUE!</v>
      </c>
      <c r="AI77" t="e">
        <f>AND(Bills!O225,"AAAAAH+5zSI=")</f>
        <v>#VALUE!</v>
      </c>
      <c r="AJ77" t="e">
        <f>AND(Bills!P225,"AAAAAH+5zSM=")</f>
        <v>#VALUE!</v>
      </c>
      <c r="AK77" t="e">
        <f>AND(Bills!Q225,"AAAAAH+5zSQ=")</f>
        <v>#VALUE!</v>
      </c>
      <c r="AL77" t="e">
        <f>AND(Bills!R225,"AAAAAH+5zSU=")</f>
        <v>#VALUE!</v>
      </c>
      <c r="AM77" t="e">
        <f>AND(Bills!S225,"AAAAAH+5zSY=")</f>
        <v>#VALUE!</v>
      </c>
      <c r="AN77" t="e">
        <f>AND(Bills!T225,"AAAAAH+5zSc=")</f>
        <v>#VALUE!</v>
      </c>
      <c r="AO77" t="e">
        <f>AND(Bills!#REF!,"AAAAAH+5zSg=")</f>
        <v>#REF!</v>
      </c>
      <c r="AP77" t="e">
        <f>AND(Bills!U225,"AAAAAH+5zSk=")</f>
        <v>#VALUE!</v>
      </c>
      <c r="AQ77" t="e">
        <f>AND(Bills!V225,"AAAAAH+5zSo=")</f>
        <v>#VALUE!</v>
      </c>
      <c r="AR77" t="e">
        <f>AND(Bills!W225,"AAAAAH+5zSs=")</f>
        <v>#VALUE!</v>
      </c>
      <c r="AS77" t="e">
        <f>AND(Bills!#REF!,"AAAAAH+5zSw=")</f>
        <v>#REF!</v>
      </c>
      <c r="AT77" t="e">
        <f>AND(Bills!#REF!,"AAAAAH+5zS0=")</f>
        <v>#REF!</v>
      </c>
      <c r="AU77" t="e">
        <f>AND(Bills!Y225,"AAAAAH+5zS4=")</f>
        <v>#VALUE!</v>
      </c>
      <c r="AV77" t="e">
        <f>AND(Bills!Z225,"AAAAAH+5zS8=")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AND(Bills!AA225,"AAAAAH+5zTk=")</f>
        <v>#VALUE!</v>
      </c>
      <c r="BG77" t="e">
        <f>AND(Bills!AB225,"AAAAAH+5zTo=")</f>
        <v>#VALUE!</v>
      </c>
      <c r="BH77" t="e">
        <f>AND(Bills!#REF!,"AAAAAH+5zTs=")</f>
        <v>#REF!</v>
      </c>
      <c r="BI77" t="e">
        <f>AND(Bills!#REF!,"AAAAAH+5zTw=")</f>
        <v>#REF!</v>
      </c>
      <c r="BJ77" t="e">
        <f>AND(Bills!#REF!,"AAAAAH+5zT0=")</f>
        <v>#REF!</v>
      </c>
      <c r="BK77" t="e">
        <f>AND(Bills!AC225,"AAAAAH+5zT4=")</f>
        <v>#VALUE!</v>
      </c>
      <c r="BL77" t="e">
        <f>AND(Bills!AD225,"AAAAAH+5zT8=")</f>
        <v>#VALUE!</v>
      </c>
      <c r="BM77" t="e">
        <f>AND(Bills!#REF!,"AAAAAH+5zUA=")</f>
        <v>#REF!</v>
      </c>
      <c r="BN77">
        <f>IF(Bills!226:226,"AAAAAH+5zUE=",0)</f>
        <v>0</v>
      </c>
      <c r="BO77" t="e">
        <f>AND(Bills!B226,"AAAAAH+5zUI=")</f>
        <v>#VALUE!</v>
      </c>
      <c r="BP77" t="e">
        <f>AND(Bills!#REF!,"AAAAAH+5zUM=")</f>
        <v>#REF!</v>
      </c>
      <c r="BQ77" t="e">
        <f>AND(Bills!C226,"AAAAAH+5zUQ=")</f>
        <v>#VALUE!</v>
      </c>
      <c r="BR77" t="e">
        <f>AND(Bills!D226,"AAAAAH+5zUU=")</f>
        <v>#VALUE!</v>
      </c>
      <c r="BS77" t="e">
        <f>AND(Bills!E226,"AAAAAH+5zUY=")</f>
        <v>#VALUE!</v>
      </c>
      <c r="BT77" t="e">
        <f>AND(Bills!#REF!,"AAAAAH+5zUc=")</f>
        <v>#REF!</v>
      </c>
      <c r="BU77" t="e">
        <f>AND(Bills!#REF!,"AAAAAH+5zUg=")</f>
        <v>#REF!</v>
      </c>
      <c r="BV77" t="e">
        <f>AND(Bills!#REF!,"AAAAAH+5zUk=")</f>
        <v>#REF!</v>
      </c>
      <c r="BW77" t="e">
        <f>AND(Bills!F226,"AAAAAH+5zUo=")</f>
        <v>#VALUE!</v>
      </c>
      <c r="BX77" t="e">
        <f>AND(Bills!#REF!,"AAAAAH+5zUs=")</f>
        <v>#REF!</v>
      </c>
      <c r="BY77" t="e">
        <f>AND(Bills!G226,"AAAAAH+5zUw=")</f>
        <v>#VALUE!</v>
      </c>
      <c r="BZ77" t="e">
        <f>AND(Bills!H226,"AAAAAH+5zU0=")</f>
        <v>#VALUE!</v>
      </c>
      <c r="CA77" t="e">
        <f>AND(Bills!I226,"AAAAAH+5zU4=")</f>
        <v>#VALUE!</v>
      </c>
      <c r="CB77" t="e">
        <f>AND(Bills!J226,"AAAAAH+5zU8=")</f>
        <v>#VALUE!</v>
      </c>
      <c r="CC77" t="e">
        <f>AND(Bills!K226,"AAAAAH+5zVA=")</f>
        <v>#VALUE!</v>
      </c>
      <c r="CD77" t="e">
        <f>AND(Bills!L226,"AAAAAH+5zVE=")</f>
        <v>#VALUE!</v>
      </c>
      <c r="CE77" t="e">
        <f>AND(Bills!#REF!,"AAAAAH+5zVI=")</f>
        <v>#REF!</v>
      </c>
      <c r="CF77" t="e">
        <f>AND(Bills!M226,"AAAAAH+5zVM=")</f>
        <v>#VALUE!</v>
      </c>
      <c r="CG77" t="e">
        <f>AND(Bills!N226,"AAAAAH+5zVQ=")</f>
        <v>#VALUE!</v>
      </c>
      <c r="CH77" t="e">
        <f>AND(Bills!O226,"AAAAAH+5zVU=")</f>
        <v>#VALUE!</v>
      </c>
      <c r="CI77" t="e">
        <f>AND(Bills!P226,"AAAAAH+5zVY=")</f>
        <v>#VALUE!</v>
      </c>
      <c r="CJ77" t="e">
        <f>AND(Bills!Q226,"AAAAAH+5zVc=")</f>
        <v>#VALUE!</v>
      </c>
      <c r="CK77" t="e">
        <f>AND(Bills!R226,"AAAAAH+5zVg=")</f>
        <v>#VALUE!</v>
      </c>
      <c r="CL77" t="e">
        <f>AND(Bills!S226,"AAAAAH+5zVk=")</f>
        <v>#VALUE!</v>
      </c>
      <c r="CM77" t="e">
        <f>AND(Bills!T226,"AAAAAH+5zVo=")</f>
        <v>#VALUE!</v>
      </c>
      <c r="CN77" t="e">
        <f>AND(Bills!#REF!,"AAAAAH+5zVs=")</f>
        <v>#REF!</v>
      </c>
      <c r="CO77" t="e">
        <f>AND(Bills!U226,"AAAAAH+5zVw=")</f>
        <v>#VALUE!</v>
      </c>
      <c r="CP77" t="e">
        <f>AND(Bills!V226,"AAAAAH+5zV0=")</f>
        <v>#VALUE!</v>
      </c>
      <c r="CQ77" t="e">
        <f>AND(Bills!W226,"AAAAAH+5zV4=")</f>
        <v>#VALUE!</v>
      </c>
      <c r="CR77" t="e">
        <f>AND(Bills!#REF!,"AAAAAH+5zV8=")</f>
        <v>#REF!</v>
      </c>
      <c r="CS77" t="e">
        <f>AND(Bills!#REF!,"AAAAAH+5zWA=")</f>
        <v>#REF!</v>
      </c>
      <c r="CT77" t="e">
        <f>AND(Bills!Y226,"AAAAAH+5zWE=")</f>
        <v>#VALUE!</v>
      </c>
      <c r="CU77" t="e">
        <f>AND(Bills!Z226,"AAAAAH+5zWI=")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AND(Bills!AA226,"AAAAAH+5zWw=")</f>
        <v>#VALUE!</v>
      </c>
      <c r="DF77" t="e">
        <f>AND(Bills!AB226,"AAAAAH+5zW0=")</f>
        <v>#VALUE!</v>
      </c>
      <c r="DG77" t="e">
        <f>AND(Bills!#REF!,"AAAAAH+5zW4=")</f>
        <v>#REF!</v>
      </c>
      <c r="DH77" t="e">
        <f>AND(Bills!#REF!,"AAAAAH+5zW8=")</f>
        <v>#REF!</v>
      </c>
      <c r="DI77" t="e">
        <f>AND(Bills!#REF!,"AAAAAH+5zXA=")</f>
        <v>#REF!</v>
      </c>
      <c r="DJ77" t="e">
        <f>AND(Bills!AC226,"AAAAAH+5zXE=")</f>
        <v>#VALUE!</v>
      </c>
      <c r="DK77" t="e">
        <f>AND(Bills!AD226,"AAAAAH+5zXI=")</f>
        <v>#VALUE!</v>
      </c>
      <c r="DL77" t="e">
        <f>AND(Bills!#REF!,"AAAAAH+5zXM=")</f>
        <v>#REF!</v>
      </c>
      <c r="DM77">
        <f>IF(Bills!227:227,"AAAAAH+5zXQ=",0)</f>
        <v>0</v>
      </c>
      <c r="DN77" t="e">
        <f>AND(Bills!B227,"AAAAAH+5zXU=")</f>
        <v>#VALUE!</v>
      </c>
      <c r="DO77" t="e">
        <f>AND(Bills!#REF!,"AAAAAH+5zXY=")</f>
        <v>#REF!</v>
      </c>
      <c r="DP77" t="e">
        <f>AND(Bills!C227,"AAAAAH+5zXc=")</f>
        <v>#VALUE!</v>
      </c>
      <c r="DQ77" t="e">
        <f>AND(Bills!D227,"AAAAAH+5zXg=")</f>
        <v>#VALUE!</v>
      </c>
      <c r="DR77" t="e">
        <f>AND(Bills!E227,"AAAAAH+5zXk=")</f>
        <v>#VALUE!</v>
      </c>
      <c r="DS77" t="e">
        <f>AND(Bills!#REF!,"AAAAAH+5zXo=")</f>
        <v>#REF!</v>
      </c>
      <c r="DT77" t="e">
        <f>AND(Bills!#REF!,"AAAAAH+5zXs=")</f>
        <v>#REF!</v>
      </c>
      <c r="DU77" t="e">
        <f>AND(Bills!#REF!,"AAAAAH+5zXw=")</f>
        <v>#REF!</v>
      </c>
      <c r="DV77" t="e">
        <f>AND(Bills!F227,"AAAAAH+5zX0=")</f>
        <v>#VALUE!</v>
      </c>
      <c r="DW77" t="e">
        <f>AND(Bills!#REF!,"AAAAAH+5zX4=")</f>
        <v>#REF!</v>
      </c>
      <c r="DX77" t="e">
        <f>AND(Bills!G227,"AAAAAH+5zX8=")</f>
        <v>#VALUE!</v>
      </c>
      <c r="DY77" t="e">
        <f>AND(Bills!H227,"AAAAAH+5zYA=")</f>
        <v>#VALUE!</v>
      </c>
      <c r="DZ77" t="e">
        <f>AND(Bills!I227,"AAAAAH+5zYE=")</f>
        <v>#VALUE!</v>
      </c>
      <c r="EA77" t="e">
        <f>AND(Bills!J227,"AAAAAH+5zYI=")</f>
        <v>#VALUE!</v>
      </c>
      <c r="EB77" t="e">
        <f>AND(Bills!K227,"AAAAAH+5zYM=")</f>
        <v>#VALUE!</v>
      </c>
      <c r="EC77" t="e">
        <f>AND(Bills!L227,"AAAAAH+5zYQ=")</f>
        <v>#VALUE!</v>
      </c>
      <c r="ED77" t="e">
        <f>AND(Bills!#REF!,"AAAAAH+5zYU=")</f>
        <v>#REF!</v>
      </c>
      <c r="EE77" t="e">
        <f>AND(Bills!M227,"AAAAAH+5zYY=")</f>
        <v>#VALUE!</v>
      </c>
      <c r="EF77" t="e">
        <f>AND(Bills!N227,"AAAAAH+5zYc=")</f>
        <v>#VALUE!</v>
      </c>
      <c r="EG77" t="e">
        <f>AND(Bills!O227,"AAAAAH+5zYg=")</f>
        <v>#VALUE!</v>
      </c>
      <c r="EH77" t="e">
        <f>AND(Bills!P227,"AAAAAH+5zYk=")</f>
        <v>#VALUE!</v>
      </c>
      <c r="EI77" t="e">
        <f>AND(Bills!Q227,"AAAAAH+5zYo=")</f>
        <v>#VALUE!</v>
      </c>
      <c r="EJ77" t="e">
        <f>AND(Bills!R227,"AAAAAH+5zYs=")</f>
        <v>#VALUE!</v>
      </c>
      <c r="EK77" t="e">
        <f>AND(Bills!S227,"AAAAAH+5zYw=")</f>
        <v>#VALUE!</v>
      </c>
      <c r="EL77" t="e">
        <f>AND(Bills!T227,"AAAAAH+5zY0=")</f>
        <v>#VALUE!</v>
      </c>
      <c r="EM77" t="e">
        <f>AND(Bills!#REF!,"AAAAAH+5zY4=")</f>
        <v>#REF!</v>
      </c>
      <c r="EN77" t="e">
        <f>AND(Bills!U227,"AAAAAH+5zY8=")</f>
        <v>#VALUE!</v>
      </c>
      <c r="EO77" t="e">
        <f>AND(Bills!V227,"AAAAAH+5zZA=")</f>
        <v>#VALUE!</v>
      </c>
      <c r="EP77" t="e">
        <f>AND(Bills!W227,"AAAAAH+5zZE=")</f>
        <v>#VALUE!</v>
      </c>
      <c r="EQ77" t="e">
        <f>AND(Bills!#REF!,"AAAAAH+5zZI=")</f>
        <v>#REF!</v>
      </c>
      <c r="ER77" t="e">
        <f>AND(Bills!#REF!,"AAAAAH+5zZM=")</f>
        <v>#REF!</v>
      </c>
      <c r="ES77" t="e">
        <f>AND(Bills!Y227,"AAAAAH+5zZQ=")</f>
        <v>#VALUE!</v>
      </c>
      <c r="ET77" t="e">
        <f>AND(Bills!Z227,"AAAAAH+5zZU=")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AND(Bills!AA227,"AAAAAH+5zZ8=")</f>
        <v>#VALUE!</v>
      </c>
      <c r="FE77" t="e">
        <f>AND(Bills!AB227,"AAAAAH+5zaA=")</f>
        <v>#VALUE!</v>
      </c>
      <c r="FF77" t="e">
        <f>AND(Bills!#REF!,"AAAAAH+5zaE=")</f>
        <v>#REF!</v>
      </c>
      <c r="FG77" t="e">
        <f>AND(Bills!#REF!,"AAAAAH+5zaI=")</f>
        <v>#REF!</v>
      </c>
      <c r="FH77" t="e">
        <f>AND(Bills!#REF!,"AAAAAH+5zaM=")</f>
        <v>#REF!</v>
      </c>
      <c r="FI77" t="e">
        <f>AND(Bills!AC227,"AAAAAH+5zaQ=")</f>
        <v>#VALUE!</v>
      </c>
      <c r="FJ77" t="e">
        <f>AND(Bills!AD227,"AAAAAH+5zaU=")</f>
        <v>#VALUE!</v>
      </c>
      <c r="FK77" t="e">
        <f>AND(Bills!#REF!,"AAAAAH+5zaY=")</f>
        <v>#REF!</v>
      </c>
      <c r="FL77">
        <f>IF(Bills!228:228,"AAAAAH+5zac=",0)</f>
        <v>0</v>
      </c>
      <c r="FM77" t="e">
        <f>AND(Bills!B228,"AAAAAH+5zag=")</f>
        <v>#VALUE!</v>
      </c>
      <c r="FN77" t="e">
        <f>AND(Bills!#REF!,"AAAAAH+5zak=")</f>
        <v>#REF!</v>
      </c>
      <c r="FO77" t="e">
        <f>AND(Bills!C228,"AAAAAH+5zao=")</f>
        <v>#VALUE!</v>
      </c>
      <c r="FP77" t="e">
        <f>AND(Bills!D228,"AAAAAH+5zas=")</f>
        <v>#VALUE!</v>
      </c>
      <c r="FQ77" t="e">
        <f>AND(Bills!E228,"AAAAAH+5zaw=")</f>
        <v>#VALUE!</v>
      </c>
      <c r="FR77" t="e">
        <f>AND(Bills!#REF!,"AAAAAH+5za0=")</f>
        <v>#REF!</v>
      </c>
      <c r="FS77" t="e">
        <f>AND(Bills!#REF!,"AAAAAH+5za4=")</f>
        <v>#REF!</v>
      </c>
      <c r="FT77" t="e">
        <f>AND(Bills!#REF!,"AAAAAH+5za8=")</f>
        <v>#REF!</v>
      </c>
      <c r="FU77" t="e">
        <f>AND(Bills!F228,"AAAAAH+5zbA=")</f>
        <v>#VALUE!</v>
      </c>
      <c r="FV77" t="e">
        <f>AND(Bills!#REF!,"AAAAAH+5zbE=")</f>
        <v>#REF!</v>
      </c>
      <c r="FW77" t="e">
        <f>AND(Bills!G228,"AAAAAH+5zbI=")</f>
        <v>#VALUE!</v>
      </c>
      <c r="FX77" t="e">
        <f>AND(Bills!H228,"AAAAAH+5zbM=")</f>
        <v>#VALUE!</v>
      </c>
      <c r="FY77" t="e">
        <f>AND(Bills!I228,"AAAAAH+5zbQ=")</f>
        <v>#VALUE!</v>
      </c>
      <c r="FZ77" t="e">
        <f>AND(Bills!J228,"AAAAAH+5zbU=")</f>
        <v>#VALUE!</v>
      </c>
      <c r="GA77" t="e">
        <f>AND(Bills!K228,"AAAAAH+5zbY=")</f>
        <v>#VALUE!</v>
      </c>
      <c r="GB77" t="e">
        <f>AND(Bills!L228,"AAAAAH+5zbc=")</f>
        <v>#VALUE!</v>
      </c>
      <c r="GC77" t="e">
        <f>AND(Bills!#REF!,"AAAAAH+5zbg=")</f>
        <v>#REF!</v>
      </c>
      <c r="GD77" t="e">
        <f>AND(Bills!M228,"AAAAAH+5zbk=")</f>
        <v>#VALUE!</v>
      </c>
      <c r="GE77" t="e">
        <f>AND(Bills!N228,"AAAAAH+5zbo=")</f>
        <v>#VALUE!</v>
      </c>
      <c r="GF77" t="e">
        <f>AND(Bills!O228,"AAAAAH+5zbs=")</f>
        <v>#VALUE!</v>
      </c>
      <c r="GG77" t="e">
        <f>AND(Bills!P228,"AAAAAH+5zbw=")</f>
        <v>#VALUE!</v>
      </c>
      <c r="GH77" t="e">
        <f>AND(Bills!Q228,"AAAAAH+5zb0=")</f>
        <v>#VALUE!</v>
      </c>
      <c r="GI77" t="e">
        <f>AND(Bills!R228,"AAAAAH+5zb4=")</f>
        <v>#VALUE!</v>
      </c>
      <c r="GJ77" t="e">
        <f>AND(Bills!S228,"AAAAAH+5zb8=")</f>
        <v>#VALUE!</v>
      </c>
      <c r="GK77" t="e">
        <f>AND(Bills!T228,"AAAAAH+5zcA=")</f>
        <v>#VALUE!</v>
      </c>
      <c r="GL77" t="e">
        <f>AND(Bills!#REF!,"AAAAAH+5zcE=")</f>
        <v>#REF!</v>
      </c>
      <c r="GM77" t="e">
        <f>AND(Bills!U228,"AAAAAH+5zcI=")</f>
        <v>#VALUE!</v>
      </c>
      <c r="GN77" t="e">
        <f>AND(Bills!V228,"AAAAAH+5zcM=")</f>
        <v>#VALUE!</v>
      </c>
      <c r="GO77" t="e">
        <f>AND(Bills!W228,"AAAAAH+5zcQ=")</f>
        <v>#VALUE!</v>
      </c>
      <c r="GP77" t="e">
        <f>AND(Bills!#REF!,"AAAAAH+5zcU=")</f>
        <v>#REF!</v>
      </c>
      <c r="GQ77" t="e">
        <f>AND(Bills!#REF!,"AAAAAH+5zcY=")</f>
        <v>#REF!</v>
      </c>
      <c r="GR77" t="e">
        <f>AND(Bills!Y228,"AAAAAH+5zcc=")</f>
        <v>#VALUE!</v>
      </c>
      <c r="GS77" t="e">
        <f>AND(Bills!Z228,"AAAAAH+5zcg=")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AND(Bills!AA228,"AAAAAH+5zdI=")</f>
        <v>#VALUE!</v>
      </c>
      <c r="HD77" t="e">
        <f>AND(Bills!AB228,"AAAAAH+5zdM=")</f>
        <v>#VALUE!</v>
      </c>
      <c r="HE77" t="e">
        <f>AND(Bills!#REF!,"AAAAAH+5zdQ=")</f>
        <v>#REF!</v>
      </c>
      <c r="HF77" t="e">
        <f>AND(Bills!#REF!,"AAAAAH+5zdU=")</f>
        <v>#REF!</v>
      </c>
      <c r="HG77" t="e">
        <f>AND(Bills!#REF!,"AAAAAH+5zdY=")</f>
        <v>#REF!</v>
      </c>
      <c r="HH77" t="e">
        <f>AND(Bills!AC228,"AAAAAH+5zdc=")</f>
        <v>#VALUE!</v>
      </c>
      <c r="HI77" t="e">
        <f>AND(Bills!AD228,"AAAAAH+5zdg=")</f>
        <v>#VALUE!</v>
      </c>
      <c r="HJ77" t="e">
        <f>AND(Bills!#REF!,"AAAAAH+5zdk=")</f>
        <v>#REF!</v>
      </c>
      <c r="HK77">
        <f>IF(Bills!229:229,"AAAAAH+5zdo=",0)</f>
        <v>0</v>
      </c>
      <c r="HL77" t="e">
        <f>AND(Bills!B229,"AAAAAH+5zds=")</f>
        <v>#VALUE!</v>
      </c>
      <c r="HM77" t="e">
        <f>AND(Bills!#REF!,"AAAAAH+5zdw=")</f>
        <v>#REF!</v>
      </c>
      <c r="HN77" t="e">
        <f>AND(Bills!C229,"AAAAAH+5zd0=")</f>
        <v>#VALUE!</v>
      </c>
      <c r="HO77" t="e">
        <f>AND(Bills!D229,"AAAAAH+5zd4=")</f>
        <v>#VALUE!</v>
      </c>
      <c r="HP77" t="e">
        <f>AND(Bills!E229,"AAAAAH+5zd8=")</f>
        <v>#VALUE!</v>
      </c>
      <c r="HQ77" t="e">
        <f>AND(Bills!#REF!,"AAAAAH+5zeA=")</f>
        <v>#REF!</v>
      </c>
      <c r="HR77" t="e">
        <f>AND(Bills!#REF!,"AAAAAH+5zeE=")</f>
        <v>#REF!</v>
      </c>
      <c r="HS77" t="e">
        <f>AND(Bills!#REF!,"AAAAAH+5zeI=")</f>
        <v>#REF!</v>
      </c>
      <c r="HT77" t="e">
        <f>AND(Bills!F229,"AAAAAH+5zeM=")</f>
        <v>#VALUE!</v>
      </c>
      <c r="HU77" t="e">
        <f>AND(Bills!#REF!,"AAAAAH+5zeQ=")</f>
        <v>#REF!</v>
      </c>
      <c r="HV77" t="e">
        <f>AND(Bills!G229,"AAAAAH+5zeU=")</f>
        <v>#VALUE!</v>
      </c>
      <c r="HW77" t="e">
        <f>AND(Bills!H229,"AAAAAH+5zeY=")</f>
        <v>#VALUE!</v>
      </c>
      <c r="HX77" t="e">
        <f>AND(Bills!I229,"AAAAAH+5zec=")</f>
        <v>#VALUE!</v>
      </c>
      <c r="HY77" t="e">
        <f>AND(Bills!J229,"AAAAAH+5zeg=")</f>
        <v>#VALUE!</v>
      </c>
      <c r="HZ77" t="e">
        <f>AND(Bills!K229,"AAAAAH+5zek=")</f>
        <v>#VALUE!</v>
      </c>
      <c r="IA77" t="e">
        <f>AND(Bills!L229,"AAAAAH+5zeo=")</f>
        <v>#VALUE!</v>
      </c>
      <c r="IB77" t="e">
        <f>AND(Bills!#REF!,"AAAAAH+5zes=")</f>
        <v>#REF!</v>
      </c>
      <c r="IC77" t="e">
        <f>AND(Bills!M229,"AAAAAH+5zew=")</f>
        <v>#VALUE!</v>
      </c>
      <c r="ID77" t="e">
        <f>AND(Bills!N229,"AAAAAH+5ze0=")</f>
        <v>#VALUE!</v>
      </c>
      <c r="IE77" t="e">
        <f>AND(Bills!O229,"AAAAAH+5ze4=")</f>
        <v>#VALUE!</v>
      </c>
      <c r="IF77" t="e">
        <f>AND(Bills!P229,"AAAAAH+5ze8=")</f>
        <v>#VALUE!</v>
      </c>
      <c r="IG77" t="e">
        <f>AND(Bills!Q229,"AAAAAH+5zfA=")</f>
        <v>#VALUE!</v>
      </c>
      <c r="IH77" t="e">
        <f>AND(Bills!R229,"AAAAAH+5zfE=")</f>
        <v>#VALUE!</v>
      </c>
      <c r="II77" t="e">
        <f>AND(Bills!S229,"AAAAAH+5zfI=")</f>
        <v>#VALUE!</v>
      </c>
      <c r="IJ77" t="e">
        <f>AND(Bills!T229,"AAAAAH+5zfM=")</f>
        <v>#VALUE!</v>
      </c>
      <c r="IK77" t="e">
        <f>AND(Bills!#REF!,"AAAAAH+5zfQ=")</f>
        <v>#REF!</v>
      </c>
      <c r="IL77" t="e">
        <f>AND(Bills!U229,"AAAAAH+5zfU=")</f>
        <v>#VALUE!</v>
      </c>
      <c r="IM77" t="e">
        <f>AND(Bills!V229,"AAAAAH+5zfY=")</f>
        <v>#VALUE!</v>
      </c>
      <c r="IN77" t="e">
        <f>AND(Bills!W229,"AAAAAH+5zfc=")</f>
        <v>#VALUE!</v>
      </c>
      <c r="IO77" t="e">
        <f>AND(Bills!#REF!,"AAAAAH+5zfg=")</f>
        <v>#REF!</v>
      </c>
      <c r="IP77" t="e">
        <f>AND(Bills!#REF!,"AAAAAH+5zfk=")</f>
        <v>#REF!</v>
      </c>
      <c r="IQ77" t="e">
        <f>AND(Bills!Y229,"AAAAAH+5zfo=")</f>
        <v>#VALUE!</v>
      </c>
      <c r="IR77" t="e">
        <f>AND(Bills!Z229,"AAAAAH+5zfs=")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AND(Bills!AA229,"AAAAAE97/wU=")</f>
        <v>#VALUE!</v>
      </c>
      <c r="G78" t="e">
        <f>AND(Bills!AB229,"AAAAAE97/wY=")</f>
        <v>#VALUE!</v>
      </c>
      <c r="H78" t="e">
        <f>AND(Bills!#REF!,"AAAAAE97/wc=")</f>
        <v>#REF!</v>
      </c>
      <c r="I78" t="e">
        <f>AND(Bills!#REF!,"AAAAAE97/wg=")</f>
        <v>#REF!</v>
      </c>
      <c r="J78" t="e">
        <f>AND(Bills!#REF!,"AAAAAE97/wk=")</f>
        <v>#REF!</v>
      </c>
      <c r="K78" t="e">
        <f>AND(Bills!AC229,"AAAAAE97/wo=")</f>
        <v>#VALUE!</v>
      </c>
      <c r="L78" t="e">
        <f>AND(Bills!AD229,"AAAAAE97/ws=")</f>
        <v>#VALUE!</v>
      </c>
      <c r="M78" t="e">
        <f>AND(Bills!#REF!,"AAAAAE97/ww=")</f>
        <v>#REF!</v>
      </c>
      <c r="N78">
        <f>IF(Bills!230:230,"AAAAAE97/w0=",0)</f>
        <v>0</v>
      </c>
      <c r="O78" t="e">
        <f>AND(Bills!B230,"AAAAAE97/w4=")</f>
        <v>#VALUE!</v>
      </c>
      <c r="P78" t="e">
        <f>AND(Bills!#REF!,"AAAAAE97/w8=")</f>
        <v>#REF!</v>
      </c>
      <c r="Q78" t="e">
        <f>AND(Bills!C230,"AAAAAE97/xA=")</f>
        <v>#VALUE!</v>
      </c>
      <c r="R78" t="e">
        <f>AND(Bills!D230,"AAAAAE97/xE=")</f>
        <v>#VALUE!</v>
      </c>
      <c r="S78" t="e">
        <f>AND(Bills!E230,"AAAAAE97/xI=")</f>
        <v>#VALUE!</v>
      </c>
      <c r="T78" t="e">
        <f>AND(Bills!#REF!,"AAAAAE97/xM=")</f>
        <v>#REF!</v>
      </c>
      <c r="U78" t="e">
        <f>AND(Bills!#REF!,"AAAAAE97/xQ=")</f>
        <v>#REF!</v>
      </c>
      <c r="V78" t="e">
        <f>AND(Bills!#REF!,"AAAAAE97/xU=")</f>
        <v>#REF!</v>
      </c>
      <c r="W78" t="e">
        <f>AND(Bills!F230,"AAAAAE97/xY=")</f>
        <v>#VALUE!</v>
      </c>
      <c r="X78" t="e">
        <f>AND(Bills!#REF!,"AAAAAE97/xc=")</f>
        <v>#REF!</v>
      </c>
      <c r="Y78" t="e">
        <f>AND(Bills!G230,"AAAAAE97/xg=")</f>
        <v>#VALUE!</v>
      </c>
      <c r="Z78" t="e">
        <f>AND(Bills!H230,"AAAAAE97/xk=")</f>
        <v>#VALUE!</v>
      </c>
      <c r="AA78" t="e">
        <f>AND(Bills!I230,"AAAAAE97/xo=")</f>
        <v>#VALUE!</v>
      </c>
      <c r="AB78" t="e">
        <f>AND(Bills!J230,"AAAAAE97/xs=")</f>
        <v>#VALUE!</v>
      </c>
      <c r="AC78" t="e">
        <f>AND(Bills!K230,"AAAAAE97/xw=")</f>
        <v>#VALUE!</v>
      </c>
      <c r="AD78" t="e">
        <f>AND(Bills!L230,"AAAAAE97/x0=")</f>
        <v>#VALUE!</v>
      </c>
      <c r="AE78" t="e">
        <f>AND(Bills!#REF!,"AAAAAE97/x4=")</f>
        <v>#REF!</v>
      </c>
      <c r="AF78" t="e">
        <f>AND(Bills!M230,"AAAAAE97/x8=")</f>
        <v>#VALUE!</v>
      </c>
      <c r="AG78" t="e">
        <f>AND(Bills!N230,"AAAAAE97/yA=")</f>
        <v>#VALUE!</v>
      </c>
      <c r="AH78" t="e">
        <f>AND(Bills!O230,"AAAAAE97/yE=")</f>
        <v>#VALUE!</v>
      </c>
      <c r="AI78" t="e">
        <f>AND(Bills!P230,"AAAAAE97/yI=")</f>
        <v>#VALUE!</v>
      </c>
      <c r="AJ78" t="e">
        <f>AND(Bills!Q230,"AAAAAE97/yM=")</f>
        <v>#VALUE!</v>
      </c>
      <c r="AK78" t="e">
        <f>AND(Bills!R230,"AAAAAE97/yQ=")</f>
        <v>#VALUE!</v>
      </c>
      <c r="AL78" t="e">
        <f>AND(Bills!S230,"AAAAAE97/yU=")</f>
        <v>#VALUE!</v>
      </c>
      <c r="AM78" t="e">
        <f>AND(Bills!T230,"AAAAAE97/yY=")</f>
        <v>#VALUE!</v>
      </c>
      <c r="AN78" t="e">
        <f>AND(Bills!#REF!,"AAAAAE97/yc=")</f>
        <v>#REF!</v>
      </c>
      <c r="AO78" t="e">
        <f>AND(Bills!U230,"AAAAAE97/yg=")</f>
        <v>#VALUE!</v>
      </c>
      <c r="AP78" t="e">
        <f>AND(Bills!V230,"AAAAAE97/yk=")</f>
        <v>#VALUE!</v>
      </c>
      <c r="AQ78" t="e">
        <f>AND(Bills!W230,"AAAAAE97/yo=")</f>
        <v>#VALUE!</v>
      </c>
      <c r="AR78" t="e">
        <f>AND(Bills!#REF!,"AAAAAE97/ys=")</f>
        <v>#REF!</v>
      </c>
      <c r="AS78" t="e">
        <f>AND(Bills!#REF!,"AAAAAE97/yw=")</f>
        <v>#REF!</v>
      </c>
      <c r="AT78" t="e">
        <f>AND(Bills!Y230,"AAAAAE97/y0=")</f>
        <v>#VALUE!</v>
      </c>
      <c r="AU78" t="e">
        <f>AND(Bills!Z230,"AAAAAE97/y4=")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AND(Bills!AA230,"AAAAAE97/zg=")</f>
        <v>#VALUE!</v>
      </c>
      <c r="BF78" t="e">
        <f>AND(Bills!AB230,"AAAAAE97/zk=")</f>
        <v>#VALUE!</v>
      </c>
      <c r="BG78" t="e">
        <f>AND(Bills!#REF!,"AAAAAE97/zo=")</f>
        <v>#REF!</v>
      </c>
      <c r="BH78" t="e">
        <f>AND(Bills!#REF!,"AAAAAE97/zs=")</f>
        <v>#REF!</v>
      </c>
      <c r="BI78" t="e">
        <f>AND(Bills!#REF!,"AAAAAE97/zw=")</f>
        <v>#REF!</v>
      </c>
      <c r="BJ78" t="e">
        <f>AND(Bills!AC230,"AAAAAE97/z0=")</f>
        <v>#VALUE!</v>
      </c>
      <c r="BK78" t="e">
        <f>AND(Bills!AD230,"AAAAAE97/z4=")</f>
        <v>#VALUE!</v>
      </c>
      <c r="BL78" t="e">
        <f>AND(Bills!#REF!,"AAAAAE97/z8=")</f>
        <v>#REF!</v>
      </c>
      <c r="BM78">
        <f>IF(Bills!231:231,"AAAAAE97/0A=",0)</f>
        <v>0</v>
      </c>
      <c r="BN78" t="e">
        <f>AND(Bills!B231,"AAAAAE97/0E=")</f>
        <v>#VALUE!</v>
      </c>
      <c r="BO78" t="e">
        <f>AND(Bills!#REF!,"AAAAAE97/0I=")</f>
        <v>#REF!</v>
      </c>
      <c r="BP78" t="e">
        <f>AND(Bills!C231,"AAAAAE97/0M=")</f>
        <v>#VALUE!</v>
      </c>
      <c r="BQ78" t="e">
        <f>AND(Bills!D231,"AAAAAE97/0Q=")</f>
        <v>#VALUE!</v>
      </c>
      <c r="BR78" t="e">
        <f>AND(Bills!E231,"AAAAAE97/0U=")</f>
        <v>#VALUE!</v>
      </c>
      <c r="BS78" t="e">
        <f>AND(Bills!#REF!,"AAAAAE97/0Y=")</f>
        <v>#REF!</v>
      </c>
      <c r="BT78" t="e">
        <f>AND(Bills!#REF!,"AAAAAE97/0c=")</f>
        <v>#REF!</v>
      </c>
      <c r="BU78" t="e">
        <f>AND(Bills!#REF!,"AAAAAE97/0g=")</f>
        <v>#REF!</v>
      </c>
      <c r="BV78" t="e">
        <f>AND(Bills!F231,"AAAAAE97/0k=")</f>
        <v>#VALUE!</v>
      </c>
      <c r="BW78" t="e">
        <f>AND(Bills!#REF!,"AAAAAE97/0o=")</f>
        <v>#REF!</v>
      </c>
      <c r="BX78" t="e">
        <f>AND(Bills!G231,"AAAAAE97/0s=")</f>
        <v>#VALUE!</v>
      </c>
      <c r="BY78" t="e">
        <f>AND(Bills!H231,"AAAAAE97/0w=")</f>
        <v>#VALUE!</v>
      </c>
      <c r="BZ78" t="e">
        <f>AND(Bills!I231,"AAAAAE97/00=")</f>
        <v>#VALUE!</v>
      </c>
      <c r="CA78" t="e">
        <f>AND(Bills!J231,"AAAAAE97/04=")</f>
        <v>#VALUE!</v>
      </c>
      <c r="CB78" t="e">
        <f>AND(Bills!K231,"AAAAAE97/08=")</f>
        <v>#VALUE!</v>
      </c>
      <c r="CC78" t="e">
        <f>AND(Bills!L231,"AAAAAE97/1A=")</f>
        <v>#VALUE!</v>
      </c>
      <c r="CD78" t="e">
        <f>AND(Bills!#REF!,"AAAAAE97/1E=")</f>
        <v>#REF!</v>
      </c>
      <c r="CE78" t="e">
        <f>AND(Bills!M231,"AAAAAE97/1I=")</f>
        <v>#VALUE!</v>
      </c>
      <c r="CF78" t="e">
        <f>AND(Bills!N231,"AAAAAE97/1M=")</f>
        <v>#VALUE!</v>
      </c>
      <c r="CG78" t="e">
        <f>AND(Bills!O231,"AAAAAE97/1Q=")</f>
        <v>#VALUE!</v>
      </c>
      <c r="CH78" t="e">
        <f>AND(Bills!P231,"AAAAAE97/1U=")</f>
        <v>#VALUE!</v>
      </c>
      <c r="CI78" t="e">
        <f>AND(Bills!Q231,"AAAAAE97/1Y=")</f>
        <v>#VALUE!</v>
      </c>
      <c r="CJ78" t="e">
        <f>AND(Bills!R231,"AAAAAE97/1c=")</f>
        <v>#VALUE!</v>
      </c>
      <c r="CK78" t="e">
        <f>AND(Bills!S231,"AAAAAE97/1g=")</f>
        <v>#VALUE!</v>
      </c>
      <c r="CL78" t="e">
        <f>AND(Bills!T231,"AAAAAE97/1k=")</f>
        <v>#VALUE!</v>
      </c>
      <c r="CM78" t="e">
        <f>AND(Bills!#REF!,"AAAAAE97/1o=")</f>
        <v>#REF!</v>
      </c>
      <c r="CN78" t="e">
        <f>AND(Bills!U231,"AAAAAE97/1s=")</f>
        <v>#VALUE!</v>
      </c>
      <c r="CO78" t="e">
        <f>AND(Bills!V231,"AAAAAE97/1w=")</f>
        <v>#VALUE!</v>
      </c>
      <c r="CP78" t="e">
        <f>AND(Bills!W231,"AAAAAE97/10=")</f>
        <v>#VALUE!</v>
      </c>
      <c r="CQ78" t="e">
        <f>AND(Bills!#REF!,"AAAAAE97/14=")</f>
        <v>#REF!</v>
      </c>
      <c r="CR78" t="e">
        <f>AND(Bills!#REF!,"AAAAAE97/18=")</f>
        <v>#REF!</v>
      </c>
      <c r="CS78" t="e">
        <f>AND(Bills!Y231,"AAAAAE97/2A=")</f>
        <v>#VALUE!</v>
      </c>
      <c r="CT78" t="e">
        <f>AND(Bills!Z231,"AAAAAE97/2E=")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AND(Bills!AA231,"AAAAAE97/2s=")</f>
        <v>#VALUE!</v>
      </c>
      <c r="DE78" t="e">
        <f>AND(Bills!AB231,"AAAAAE97/2w=")</f>
        <v>#VALUE!</v>
      </c>
      <c r="DF78" t="e">
        <f>AND(Bills!#REF!,"AAAAAE97/20=")</f>
        <v>#REF!</v>
      </c>
      <c r="DG78" t="e">
        <f>AND(Bills!#REF!,"AAAAAE97/24=")</f>
        <v>#REF!</v>
      </c>
      <c r="DH78" t="e">
        <f>AND(Bills!#REF!,"AAAAAE97/28=")</f>
        <v>#REF!</v>
      </c>
      <c r="DI78" t="e">
        <f>AND(Bills!AC231,"AAAAAE97/3A=")</f>
        <v>#VALUE!</v>
      </c>
      <c r="DJ78" t="e">
        <f>AND(Bills!AD231,"AAAAAE97/3E=")</f>
        <v>#VALUE!</v>
      </c>
      <c r="DK78" t="e">
        <f>AND(Bills!#REF!,"AAAAAE97/3I=")</f>
        <v>#REF!</v>
      </c>
      <c r="DL78">
        <f>IF(Bills!232:232,"AAAAAE97/3M=",0)</f>
        <v>0</v>
      </c>
      <c r="DM78" t="e">
        <f>AND(Bills!B232,"AAAAAE97/3Q=")</f>
        <v>#VALUE!</v>
      </c>
      <c r="DN78" t="e">
        <f>AND(Bills!#REF!,"AAAAAE97/3U=")</f>
        <v>#REF!</v>
      </c>
      <c r="DO78" t="e">
        <f>AND(Bills!C232,"AAAAAE97/3Y=")</f>
        <v>#VALUE!</v>
      </c>
      <c r="DP78" t="e">
        <f>AND(Bills!D232,"AAAAAE97/3c=")</f>
        <v>#VALUE!</v>
      </c>
      <c r="DQ78" t="e">
        <f>AND(Bills!E232,"AAAAAE97/3g=")</f>
        <v>#VALUE!</v>
      </c>
      <c r="DR78" t="e">
        <f>AND(Bills!#REF!,"AAAAAE97/3k=")</f>
        <v>#REF!</v>
      </c>
      <c r="DS78" t="e">
        <f>AND(Bills!#REF!,"AAAAAE97/3o=")</f>
        <v>#REF!</v>
      </c>
      <c r="DT78" t="e">
        <f>AND(Bills!#REF!,"AAAAAE97/3s=")</f>
        <v>#REF!</v>
      </c>
      <c r="DU78" t="e">
        <f>AND(Bills!F232,"AAAAAE97/3w=")</f>
        <v>#VALUE!</v>
      </c>
      <c r="DV78" t="e">
        <f>AND(Bills!#REF!,"AAAAAE97/30=")</f>
        <v>#REF!</v>
      </c>
      <c r="DW78" t="e">
        <f>AND(Bills!G232,"AAAAAE97/34=")</f>
        <v>#VALUE!</v>
      </c>
      <c r="DX78" t="e">
        <f>AND(Bills!H232,"AAAAAE97/38=")</f>
        <v>#VALUE!</v>
      </c>
      <c r="DY78" t="e">
        <f>AND(Bills!I232,"AAAAAE97/4A=")</f>
        <v>#VALUE!</v>
      </c>
      <c r="DZ78" t="e">
        <f>AND(Bills!J232,"AAAAAE97/4E=")</f>
        <v>#VALUE!</v>
      </c>
      <c r="EA78" t="e">
        <f>AND(Bills!K232,"AAAAAE97/4I=")</f>
        <v>#VALUE!</v>
      </c>
      <c r="EB78" t="e">
        <f>AND(Bills!L232,"AAAAAE97/4M=")</f>
        <v>#VALUE!</v>
      </c>
      <c r="EC78" t="e">
        <f>AND(Bills!#REF!,"AAAAAE97/4Q=")</f>
        <v>#REF!</v>
      </c>
      <c r="ED78" t="e">
        <f>AND(Bills!M232,"AAAAAE97/4U=")</f>
        <v>#VALUE!</v>
      </c>
      <c r="EE78" t="e">
        <f>AND(Bills!N232,"AAAAAE97/4Y=")</f>
        <v>#VALUE!</v>
      </c>
      <c r="EF78" t="e">
        <f>AND(Bills!O232,"AAAAAE97/4c=")</f>
        <v>#VALUE!</v>
      </c>
      <c r="EG78" t="e">
        <f>AND(Bills!P232,"AAAAAE97/4g=")</f>
        <v>#VALUE!</v>
      </c>
      <c r="EH78" t="e">
        <f>AND(Bills!Q232,"AAAAAE97/4k=")</f>
        <v>#VALUE!</v>
      </c>
      <c r="EI78" t="e">
        <f>AND(Bills!R232,"AAAAAE97/4o=")</f>
        <v>#VALUE!</v>
      </c>
      <c r="EJ78" t="e">
        <f>AND(Bills!S232,"AAAAAE97/4s=")</f>
        <v>#VALUE!</v>
      </c>
      <c r="EK78" t="e">
        <f>AND(Bills!T232,"AAAAAE97/4w=")</f>
        <v>#VALUE!</v>
      </c>
      <c r="EL78" t="e">
        <f>AND(Bills!#REF!,"AAAAAE97/40=")</f>
        <v>#REF!</v>
      </c>
      <c r="EM78" t="e">
        <f>AND(Bills!U232,"AAAAAE97/44=")</f>
        <v>#VALUE!</v>
      </c>
      <c r="EN78" t="e">
        <f>AND(Bills!V232,"AAAAAE97/48=")</f>
        <v>#VALUE!</v>
      </c>
      <c r="EO78" t="e">
        <f>AND(Bills!W232,"AAAAAE97/5A=")</f>
        <v>#VALUE!</v>
      </c>
      <c r="EP78" t="e">
        <f>AND(Bills!#REF!,"AAAAAE97/5E=")</f>
        <v>#REF!</v>
      </c>
      <c r="EQ78" t="e">
        <f>AND(Bills!#REF!,"AAAAAE97/5I=")</f>
        <v>#REF!</v>
      </c>
      <c r="ER78" t="e">
        <f>AND(Bills!Y232,"AAAAAE97/5M=")</f>
        <v>#VALUE!</v>
      </c>
      <c r="ES78" t="e">
        <f>AND(Bills!Z232,"AAAAAE97/5Q=")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AND(Bills!AA232,"AAAAAE97/54=")</f>
        <v>#VALUE!</v>
      </c>
      <c r="FD78" t="e">
        <f>AND(Bills!AB232,"AAAAAE97/58=")</f>
        <v>#VALUE!</v>
      </c>
      <c r="FE78" t="e">
        <f>AND(Bills!#REF!,"AAAAAE97/6A=")</f>
        <v>#REF!</v>
      </c>
      <c r="FF78" t="e">
        <f>AND(Bills!#REF!,"AAAAAE97/6E=")</f>
        <v>#REF!</v>
      </c>
      <c r="FG78" t="e">
        <f>AND(Bills!#REF!,"AAAAAE97/6I=")</f>
        <v>#REF!</v>
      </c>
      <c r="FH78" t="e">
        <f>AND(Bills!AC232,"AAAAAE97/6M=")</f>
        <v>#VALUE!</v>
      </c>
      <c r="FI78" t="e">
        <f>AND(Bills!AD232,"AAAAAE97/6Q=")</f>
        <v>#VALUE!</v>
      </c>
      <c r="FJ78" t="e">
        <f>AND(Bills!#REF!,"AAAAAE97/6U=")</f>
        <v>#REF!</v>
      </c>
      <c r="FK78">
        <f>IF(Bills!233:233,"AAAAAE97/6Y=",0)</f>
        <v>0</v>
      </c>
      <c r="FL78" t="e">
        <f>AND(Bills!B233,"AAAAAE97/6c=")</f>
        <v>#VALUE!</v>
      </c>
      <c r="FM78" t="e">
        <f>AND(Bills!#REF!,"AAAAAE97/6g=")</f>
        <v>#REF!</v>
      </c>
      <c r="FN78" t="e">
        <f>AND(Bills!C233,"AAAAAE97/6k=")</f>
        <v>#VALUE!</v>
      </c>
      <c r="FO78" t="e">
        <f>AND(Bills!D233,"AAAAAE97/6o=")</f>
        <v>#VALUE!</v>
      </c>
      <c r="FP78" t="e">
        <f>AND(Bills!E233,"AAAAAE97/6s=")</f>
        <v>#VALUE!</v>
      </c>
      <c r="FQ78" t="e">
        <f>AND(Bills!#REF!,"AAAAAE97/6w=")</f>
        <v>#REF!</v>
      </c>
      <c r="FR78" t="e">
        <f>AND(Bills!#REF!,"AAAAAE97/60=")</f>
        <v>#REF!</v>
      </c>
      <c r="FS78" t="e">
        <f>AND(Bills!#REF!,"AAAAAE97/64=")</f>
        <v>#REF!</v>
      </c>
      <c r="FT78" t="e">
        <f>AND(Bills!F233,"AAAAAE97/68=")</f>
        <v>#VALUE!</v>
      </c>
      <c r="FU78" t="e">
        <f>AND(Bills!#REF!,"AAAAAE97/7A=")</f>
        <v>#REF!</v>
      </c>
      <c r="FV78" t="e">
        <f>AND(Bills!G233,"AAAAAE97/7E=")</f>
        <v>#VALUE!</v>
      </c>
      <c r="FW78" t="e">
        <f>AND(Bills!H233,"AAAAAE97/7I=")</f>
        <v>#VALUE!</v>
      </c>
      <c r="FX78" t="e">
        <f>AND(Bills!I233,"AAAAAE97/7M=")</f>
        <v>#VALUE!</v>
      </c>
      <c r="FY78" t="e">
        <f>AND(Bills!J233,"AAAAAE97/7Q=")</f>
        <v>#VALUE!</v>
      </c>
      <c r="FZ78" t="e">
        <f>AND(Bills!K233,"AAAAAE97/7U=")</f>
        <v>#VALUE!</v>
      </c>
      <c r="GA78" t="e">
        <f>AND(Bills!L233,"AAAAAE97/7Y=")</f>
        <v>#VALUE!</v>
      </c>
      <c r="GB78" t="e">
        <f>AND(Bills!#REF!,"AAAAAE97/7c=")</f>
        <v>#REF!</v>
      </c>
      <c r="GC78" t="e">
        <f>AND(Bills!M233,"AAAAAE97/7g=")</f>
        <v>#VALUE!</v>
      </c>
      <c r="GD78" t="e">
        <f>AND(Bills!N233,"AAAAAE97/7k=")</f>
        <v>#VALUE!</v>
      </c>
      <c r="GE78" t="e">
        <f>AND(Bills!O233,"AAAAAE97/7o=")</f>
        <v>#VALUE!</v>
      </c>
      <c r="GF78" t="e">
        <f>AND(Bills!P233,"AAAAAE97/7s=")</f>
        <v>#VALUE!</v>
      </c>
      <c r="GG78" t="e">
        <f>AND(Bills!Q233,"AAAAAE97/7w=")</f>
        <v>#VALUE!</v>
      </c>
      <c r="GH78" t="e">
        <f>AND(Bills!R233,"AAAAAE97/70=")</f>
        <v>#VALUE!</v>
      </c>
      <c r="GI78" t="e">
        <f>AND(Bills!S233,"AAAAAE97/74=")</f>
        <v>#VALUE!</v>
      </c>
      <c r="GJ78" t="e">
        <f>AND(Bills!T233,"AAAAAE97/78=")</f>
        <v>#VALUE!</v>
      </c>
      <c r="GK78" t="e">
        <f>AND(Bills!#REF!,"AAAAAE97/8A=")</f>
        <v>#REF!</v>
      </c>
      <c r="GL78" t="e">
        <f>AND(Bills!U233,"AAAAAE97/8E=")</f>
        <v>#VALUE!</v>
      </c>
      <c r="GM78" t="e">
        <f>AND(Bills!V233,"AAAAAE97/8I=")</f>
        <v>#VALUE!</v>
      </c>
      <c r="GN78" t="e">
        <f>AND(Bills!W233,"AAAAAE97/8M=")</f>
        <v>#VALUE!</v>
      </c>
      <c r="GO78" t="e">
        <f>AND(Bills!#REF!,"AAAAAE97/8Q=")</f>
        <v>#REF!</v>
      </c>
      <c r="GP78" t="e">
        <f>AND(Bills!#REF!,"AAAAAE97/8U=")</f>
        <v>#REF!</v>
      </c>
      <c r="GQ78" t="e">
        <f>AND(Bills!Y233,"AAAAAE97/8Y=")</f>
        <v>#VALUE!</v>
      </c>
      <c r="GR78" t="e">
        <f>AND(Bills!Z233,"AAAAAE97/8c=")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AND(Bills!AA233,"AAAAAE97/9E=")</f>
        <v>#VALUE!</v>
      </c>
      <c r="HC78" t="e">
        <f>AND(Bills!AB233,"AAAAAE97/9I=")</f>
        <v>#VALUE!</v>
      </c>
      <c r="HD78" t="e">
        <f>AND(Bills!#REF!,"AAAAAE97/9M=")</f>
        <v>#REF!</v>
      </c>
      <c r="HE78" t="e">
        <f>AND(Bills!#REF!,"AAAAAE97/9Q=")</f>
        <v>#REF!</v>
      </c>
      <c r="HF78" t="e">
        <f>AND(Bills!#REF!,"AAAAAE97/9U=")</f>
        <v>#REF!</v>
      </c>
      <c r="HG78" t="e">
        <f>AND(Bills!AC233,"AAAAAE97/9Y=")</f>
        <v>#VALUE!</v>
      </c>
      <c r="HH78" t="e">
        <f>AND(Bills!AD233,"AAAAAE97/9c=")</f>
        <v>#VALUE!</v>
      </c>
      <c r="HI78" t="e">
        <f>AND(Bills!#REF!,"AAAAAE97/9g=")</f>
        <v>#REF!</v>
      </c>
      <c r="HJ78">
        <f>IF(Bills!234:234,"AAAAAE97/9k=",0)</f>
        <v>0</v>
      </c>
      <c r="HK78" t="e">
        <f>AND(Bills!B234,"AAAAAE97/9o=")</f>
        <v>#VALUE!</v>
      </c>
      <c r="HL78" t="e">
        <f>AND(Bills!#REF!,"AAAAAE97/9s=")</f>
        <v>#REF!</v>
      </c>
      <c r="HM78" t="e">
        <f>AND(Bills!C234,"AAAAAE97/9w=")</f>
        <v>#VALUE!</v>
      </c>
      <c r="HN78" t="e">
        <f>AND(Bills!D234,"AAAAAE97/90=")</f>
        <v>#VALUE!</v>
      </c>
      <c r="HO78" t="e">
        <f>AND(Bills!E234,"AAAAAE97/94=")</f>
        <v>#VALUE!</v>
      </c>
      <c r="HP78" t="e">
        <f>AND(Bills!#REF!,"AAAAAE97/98=")</f>
        <v>#REF!</v>
      </c>
      <c r="HQ78" t="e">
        <f>AND(Bills!#REF!,"AAAAAE97/+A=")</f>
        <v>#REF!</v>
      </c>
      <c r="HR78" t="e">
        <f>AND(Bills!#REF!,"AAAAAE97/+E=")</f>
        <v>#REF!</v>
      </c>
      <c r="HS78" t="e">
        <f>AND(Bills!F234,"AAAAAE97/+I=")</f>
        <v>#VALUE!</v>
      </c>
      <c r="HT78" t="e">
        <f>AND(Bills!#REF!,"AAAAAE97/+M=")</f>
        <v>#REF!</v>
      </c>
      <c r="HU78" t="e">
        <f>AND(Bills!G234,"AAAAAE97/+Q=")</f>
        <v>#VALUE!</v>
      </c>
      <c r="HV78" t="e">
        <f>AND(Bills!H234,"AAAAAE97/+U=")</f>
        <v>#VALUE!</v>
      </c>
      <c r="HW78" t="e">
        <f>AND(Bills!I234,"AAAAAE97/+Y=")</f>
        <v>#VALUE!</v>
      </c>
      <c r="HX78" t="e">
        <f>AND(Bills!J234,"AAAAAE97/+c=")</f>
        <v>#VALUE!</v>
      </c>
      <c r="HY78" t="e">
        <f>AND(Bills!K234,"AAAAAE97/+g=")</f>
        <v>#VALUE!</v>
      </c>
      <c r="HZ78" t="e">
        <f>AND(Bills!L234,"AAAAAE97/+k=")</f>
        <v>#VALUE!</v>
      </c>
      <c r="IA78" t="e">
        <f>AND(Bills!#REF!,"AAAAAE97/+o=")</f>
        <v>#REF!</v>
      </c>
      <c r="IB78" t="e">
        <f>AND(Bills!M234,"AAAAAE97/+s=")</f>
        <v>#VALUE!</v>
      </c>
      <c r="IC78" t="e">
        <f>AND(Bills!N234,"AAAAAE97/+w=")</f>
        <v>#VALUE!</v>
      </c>
      <c r="ID78" t="e">
        <f>AND(Bills!O234,"AAAAAE97/+0=")</f>
        <v>#VALUE!</v>
      </c>
      <c r="IE78" t="e">
        <f>AND(Bills!P234,"AAAAAE97/+4=")</f>
        <v>#VALUE!</v>
      </c>
      <c r="IF78" t="e">
        <f>AND(Bills!Q234,"AAAAAE97/+8=")</f>
        <v>#VALUE!</v>
      </c>
      <c r="IG78" t="e">
        <f>AND(Bills!R234,"AAAAAE97//A=")</f>
        <v>#VALUE!</v>
      </c>
      <c r="IH78" t="e">
        <f>AND(Bills!S234,"AAAAAE97//E=")</f>
        <v>#VALUE!</v>
      </c>
      <c r="II78" t="e">
        <f>AND(Bills!T234,"AAAAAE97//I=")</f>
        <v>#VALUE!</v>
      </c>
      <c r="IJ78" t="e">
        <f>AND(Bills!#REF!,"AAAAAE97//M=")</f>
        <v>#REF!</v>
      </c>
      <c r="IK78" t="e">
        <f>AND(Bills!U234,"AAAAAE97//Q=")</f>
        <v>#VALUE!</v>
      </c>
      <c r="IL78" t="e">
        <f>AND(Bills!V234,"AAAAAE97//U=")</f>
        <v>#VALUE!</v>
      </c>
      <c r="IM78" t="e">
        <f>AND(Bills!W234,"AAAAAE97//Y=")</f>
        <v>#VALUE!</v>
      </c>
      <c r="IN78" t="e">
        <f>AND(Bills!#REF!,"AAAAAE97//c=")</f>
        <v>#REF!</v>
      </c>
      <c r="IO78" t="e">
        <f>AND(Bills!#REF!,"AAAAAE97//g=")</f>
        <v>#REF!</v>
      </c>
      <c r="IP78" t="e">
        <f>AND(Bills!Y234,"AAAAAE97//k=")</f>
        <v>#VALUE!</v>
      </c>
      <c r="IQ78" t="e">
        <f>AND(Bills!Z234,"AAAAAE97//o=")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AND(Bills!AA234,"AAAAAH3stgQ=")</f>
        <v>#VALUE!</v>
      </c>
      <c r="F79" t="e">
        <f>AND(Bills!AB234,"AAAAAH3stgU=")</f>
        <v>#VALUE!</v>
      </c>
      <c r="G79" t="e">
        <f>AND(Bills!#REF!,"AAAAAH3stgY=")</f>
        <v>#REF!</v>
      </c>
      <c r="H79" t="e">
        <f>AND(Bills!#REF!,"AAAAAH3stgc=")</f>
        <v>#REF!</v>
      </c>
      <c r="I79" t="e">
        <f>AND(Bills!#REF!,"AAAAAH3stgg=")</f>
        <v>#REF!</v>
      </c>
      <c r="J79" t="e">
        <f>AND(Bills!AC234,"AAAAAH3stgk=")</f>
        <v>#VALUE!</v>
      </c>
      <c r="K79" t="e">
        <f>AND(Bills!AD234,"AAAAAH3stgo=")</f>
        <v>#VALUE!</v>
      </c>
      <c r="L79" t="e">
        <f>AND(Bills!#REF!,"AAAAAH3stgs=")</f>
        <v>#REF!</v>
      </c>
      <c r="M79">
        <f>IF(Bills!235:235,"AAAAAH3stgw=",0)</f>
        <v>0</v>
      </c>
      <c r="N79" t="e">
        <f>AND(Bills!B235,"AAAAAH3stg0=")</f>
        <v>#VALUE!</v>
      </c>
      <c r="O79" t="e">
        <f>AND(Bills!#REF!,"AAAAAH3stg4=")</f>
        <v>#REF!</v>
      </c>
      <c r="P79" t="e">
        <f>AND(Bills!C235,"AAAAAH3stg8=")</f>
        <v>#VALUE!</v>
      </c>
      <c r="Q79" t="e">
        <f>AND(Bills!D235,"AAAAAH3sthA=")</f>
        <v>#VALUE!</v>
      </c>
      <c r="R79" t="e">
        <f>AND(Bills!E235,"AAAAAH3sthE=")</f>
        <v>#VALUE!</v>
      </c>
      <c r="S79" t="e">
        <f>AND(Bills!#REF!,"AAAAAH3sthI=")</f>
        <v>#REF!</v>
      </c>
      <c r="T79" t="e">
        <f>AND(Bills!#REF!,"AAAAAH3sthM=")</f>
        <v>#REF!</v>
      </c>
      <c r="U79" t="e">
        <f>AND(Bills!#REF!,"AAAAAH3sthQ=")</f>
        <v>#REF!</v>
      </c>
      <c r="V79" t="e">
        <f>AND(Bills!F235,"AAAAAH3sthU=")</f>
        <v>#VALUE!</v>
      </c>
      <c r="W79" t="e">
        <f>AND(Bills!#REF!,"AAAAAH3sthY=")</f>
        <v>#REF!</v>
      </c>
      <c r="X79" t="e">
        <f>AND(Bills!G235,"AAAAAH3sthc=")</f>
        <v>#VALUE!</v>
      </c>
      <c r="Y79" t="e">
        <f>AND(Bills!H235,"AAAAAH3sthg=")</f>
        <v>#VALUE!</v>
      </c>
      <c r="Z79" t="e">
        <f>AND(Bills!I235,"AAAAAH3sthk=")</f>
        <v>#VALUE!</v>
      </c>
      <c r="AA79" t="e">
        <f>AND(Bills!J235,"AAAAAH3stho=")</f>
        <v>#VALUE!</v>
      </c>
      <c r="AB79" t="e">
        <f>AND(Bills!K235,"AAAAAH3sths=")</f>
        <v>#VALUE!</v>
      </c>
      <c r="AC79" t="e">
        <f>AND(Bills!L235,"AAAAAH3sthw=")</f>
        <v>#VALUE!</v>
      </c>
      <c r="AD79" t="e">
        <f>AND(Bills!#REF!,"AAAAAH3sth0=")</f>
        <v>#REF!</v>
      </c>
      <c r="AE79" t="e">
        <f>AND(Bills!M235,"AAAAAH3sth4=")</f>
        <v>#VALUE!</v>
      </c>
      <c r="AF79" t="e">
        <f>AND(Bills!N235,"AAAAAH3sth8=")</f>
        <v>#VALUE!</v>
      </c>
      <c r="AG79" t="e">
        <f>AND(Bills!O235,"AAAAAH3stiA=")</f>
        <v>#VALUE!</v>
      </c>
      <c r="AH79" t="e">
        <f>AND(Bills!P235,"AAAAAH3stiE=")</f>
        <v>#VALUE!</v>
      </c>
      <c r="AI79" t="e">
        <f>AND(Bills!Q235,"AAAAAH3stiI=")</f>
        <v>#VALUE!</v>
      </c>
      <c r="AJ79" t="e">
        <f>AND(Bills!R235,"AAAAAH3stiM=")</f>
        <v>#VALUE!</v>
      </c>
      <c r="AK79" t="e">
        <f>AND(Bills!S235,"AAAAAH3stiQ=")</f>
        <v>#VALUE!</v>
      </c>
      <c r="AL79" t="e">
        <f>AND(Bills!T235,"AAAAAH3stiU=")</f>
        <v>#VALUE!</v>
      </c>
      <c r="AM79" t="e">
        <f>AND(Bills!#REF!,"AAAAAH3stiY=")</f>
        <v>#REF!</v>
      </c>
      <c r="AN79" t="e">
        <f>AND(Bills!U235,"AAAAAH3stic=")</f>
        <v>#VALUE!</v>
      </c>
      <c r="AO79" t="e">
        <f>AND(Bills!V235,"AAAAAH3stig=")</f>
        <v>#VALUE!</v>
      </c>
      <c r="AP79" t="e">
        <f>AND(Bills!W235,"AAAAAH3stik=")</f>
        <v>#VALUE!</v>
      </c>
      <c r="AQ79" t="e">
        <f>AND(Bills!#REF!,"AAAAAH3stio=")</f>
        <v>#REF!</v>
      </c>
      <c r="AR79" t="e">
        <f>AND(Bills!#REF!,"AAAAAH3stis=")</f>
        <v>#REF!</v>
      </c>
      <c r="AS79" t="e">
        <f>AND(Bills!Y235,"AAAAAH3stiw=")</f>
        <v>#VALUE!</v>
      </c>
      <c r="AT79" t="e">
        <f>AND(Bills!Z235,"AAAAAH3sti0=")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AND(Bills!AA235,"AAAAAH3stjc=")</f>
        <v>#VALUE!</v>
      </c>
      <c r="BE79" t="e">
        <f>AND(Bills!AB235,"AAAAAH3stjg=")</f>
        <v>#VALUE!</v>
      </c>
      <c r="BF79" t="e">
        <f>AND(Bills!#REF!,"AAAAAH3stjk=")</f>
        <v>#REF!</v>
      </c>
      <c r="BG79" t="e">
        <f>AND(Bills!#REF!,"AAAAAH3stjo=")</f>
        <v>#REF!</v>
      </c>
      <c r="BH79" t="e">
        <f>AND(Bills!#REF!,"AAAAAH3stjs=")</f>
        <v>#REF!</v>
      </c>
      <c r="BI79" t="e">
        <f>AND(Bills!AC235,"AAAAAH3stjw=")</f>
        <v>#VALUE!</v>
      </c>
      <c r="BJ79" t="e">
        <f>AND(Bills!AD235,"AAAAAH3stj0=")</f>
        <v>#VALUE!</v>
      </c>
      <c r="BK79" t="e">
        <f>AND(Bills!#REF!,"AAAAAH3stj4=")</f>
        <v>#REF!</v>
      </c>
      <c r="BL79">
        <f>IF(Bills!236:236,"AAAAAH3stj8=",0)</f>
        <v>0</v>
      </c>
      <c r="BM79" t="e">
        <f>AND(Bills!B236,"AAAAAH3stkA=")</f>
        <v>#VALUE!</v>
      </c>
      <c r="BN79" t="e">
        <f>AND(Bills!#REF!,"AAAAAH3stkE=")</f>
        <v>#REF!</v>
      </c>
      <c r="BO79" t="e">
        <f>AND(Bills!C236,"AAAAAH3stkI=")</f>
        <v>#VALUE!</v>
      </c>
      <c r="BP79" t="e">
        <f>AND(Bills!D236,"AAAAAH3stkM=")</f>
        <v>#VALUE!</v>
      </c>
      <c r="BQ79" t="e">
        <f>AND(Bills!E236,"AAAAAH3stkQ=")</f>
        <v>#VALUE!</v>
      </c>
      <c r="BR79" t="e">
        <f>AND(Bills!#REF!,"AAAAAH3stkU=")</f>
        <v>#REF!</v>
      </c>
      <c r="BS79" t="e">
        <f>AND(Bills!#REF!,"AAAAAH3stkY=")</f>
        <v>#REF!</v>
      </c>
      <c r="BT79" t="e">
        <f>AND(Bills!#REF!,"AAAAAH3stkc=")</f>
        <v>#REF!</v>
      </c>
      <c r="BU79" t="e">
        <f>AND(Bills!F236,"AAAAAH3stkg=")</f>
        <v>#VALUE!</v>
      </c>
      <c r="BV79" t="e">
        <f>AND(Bills!#REF!,"AAAAAH3stkk=")</f>
        <v>#REF!</v>
      </c>
      <c r="BW79" t="e">
        <f>AND(Bills!G236,"AAAAAH3stko=")</f>
        <v>#VALUE!</v>
      </c>
      <c r="BX79" t="e">
        <f>AND(Bills!H236,"AAAAAH3stks=")</f>
        <v>#VALUE!</v>
      </c>
      <c r="BY79" t="e">
        <f>AND(Bills!I236,"AAAAAH3stkw=")</f>
        <v>#VALUE!</v>
      </c>
      <c r="BZ79" t="e">
        <f>AND(Bills!J236,"AAAAAH3stk0=")</f>
        <v>#VALUE!</v>
      </c>
      <c r="CA79" t="e">
        <f>AND(Bills!K236,"AAAAAH3stk4=")</f>
        <v>#VALUE!</v>
      </c>
      <c r="CB79" t="e">
        <f>AND(Bills!L236,"AAAAAH3stk8=")</f>
        <v>#VALUE!</v>
      </c>
      <c r="CC79" t="e">
        <f>AND(Bills!#REF!,"AAAAAH3stlA=")</f>
        <v>#REF!</v>
      </c>
      <c r="CD79" t="e">
        <f>AND(Bills!M236,"AAAAAH3stlE=")</f>
        <v>#VALUE!</v>
      </c>
      <c r="CE79" t="e">
        <f>AND(Bills!N236,"AAAAAH3stlI=")</f>
        <v>#VALUE!</v>
      </c>
      <c r="CF79" t="e">
        <f>AND(Bills!O236,"AAAAAH3stlM=")</f>
        <v>#VALUE!</v>
      </c>
      <c r="CG79" t="e">
        <f>AND(Bills!P236,"AAAAAH3stlQ=")</f>
        <v>#VALUE!</v>
      </c>
      <c r="CH79" t="e">
        <f>AND(Bills!Q236,"AAAAAH3stlU=")</f>
        <v>#VALUE!</v>
      </c>
      <c r="CI79" t="e">
        <f>AND(Bills!R236,"AAAAAH3stlY=")</f>
        <v>#VALUE!</v>
      </c>
      <c r="CJ79" t="e">
        <f>AND(Bills!S236,"AAAAAH3stlc=")</f>
        <v>#VALUE!</v>
      </c>
      <c r="CK79" t="e">
        <f>AND(Bills!T236,"AAAAAH3stlg=")</f>
        <v>#VALUE!</v>
      </c>
      <c r="CL79" t="e">
        <f>AND(Bills!#REF!,"AAAAAH3stlk=")</f>
        <v>#REF!</v>
      </c>
      <c r="CM79" t="e">
        <f>AND(Bills!U236,"AAAAAH3stlo=")</f>
        <v>#VALUE!</v>
      </c>
      <c r="CN79" t="e">
        <f>AND(Bills!V236,"AAAAAH3stls=")</f>
        <v>#VALUE!</v>
      </c>
      <c r="CO79" t="e">
        <f>AND(Bills!W236,"AAAAAH3stlw=")</f>
        <v>#VALUE!</v>
      </c>
      <c r="CP79" t="e">
        <f>AND(Bills!#REF!,"AAAAAH3stl0=")</f>
        <v>#REF!</v>
      </c>
      <c r="CQ79" t="e">
        <f>AND(Bills!#REF!,"AAAAAH3stl4=")</f>
        <v>#REF!</v>
      </c>
      <c r="CR79" t="e">
        <f>AND(Bills!Y236,"AAAAAH3stl8=")</f>
        <v>#VALUE!</v>
      </c>
      <c r="CS79" t="e">
        <f>AND(Bills!Z236,"AAAAAH3stmA=")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AND(Bills!AA236,"AAAAAH3stmo=")</f>
        <v>#VALUE!</v>
      </c>
      <c r="DD79" t="e">
        <f>AND(Bills!AB236,"AAAAAH3stms=")</f>
        <v>#VALUE!</v>
      </c>
      <c r="DE79" t="e">
        <f>AND(Bills!#REF!,"AAAAAH3stmw=")</f>
        <v>#REF!</v>
      </c>
      <c r="DF79" t="e">
        <f>AND(Bills!#REF!,"AAAAAH3stm0=")</f>
        <v>#REF!</v>
      </c>
      <c r="DG79" t="e">
        <f>AND(Bills!#REF!,"AAAAAH3stm4=")</f>
        <v>#REF!</v>
      </c>
      <c r="DH79" t="e">
        <f>AND(Bills!AC236,"AAAAAH3stm8=")</f>
        <v>#VALUE!</v>
      </c>
      <c r="DI79" t="e">
        <f>AND(Bills!AD236,"AAAAAH3stnA=")</f>
        <v>#VALUE!</v>
      </c>
      <c r="DJ79" t="e">
        <f>AND(Bills!#REF!,"AAAAAH3stnE=")</f>
        <v>#REF!</v>
      </c>
      <c r="DK79">
        <f>IF(Bills!237:237,"AAAAAH3stnI=",0)</f>
        <v>0</v>
      </c>
      <c r="DL79" t="e">
        <f>AND(Bills!B237,"AAAAAH3stnM=")</f>
        <v>#VALUE!</v>
      </c>
      <c r="DM79" t="e">
        <f>AND(Bills!#REF!,"AAAAAH3stnQ=")</f>
        <v>#REF!</v>
      </c>
      <c r="DN79" t="e">
        <f>AND(Bills!C237,"AAAAAH3stnU=")</f>
        <v>#VALUE!</v>
      </c>
      <c r="DO79" t="e">
        <f>AND(Bills!D237,"AAAAAH3stnY=")</f>
        <v>#VALUE!</v>
      </c>
      <c r="DP79" t="e">
        <f>AND(Bills!E237,"AAAAAH3stnc=")</f>
        <v>#VALUE!</v>
      </c>
      <c r="DQ79" t="e">
        <f>AND(Bills!#REF!,"AAAAAH3stng=")</f>
        <v>#REF!</v>
      </c>
      <c r="DR79" t="e">
        <f>AND(Bills!#REF!,"AAAAAH3stnk=")</f>
        <v>#REF!</v>
      </c>
      <c r="DS79" t="e">
        <f>AND(Bills!#REF!,"AAAAAH3stno=")</f>
        <v>#REF!</v>
      </c>
      <c r="DT79" t="e">
        <f>AND(Bills!F237,"AAAAAH3stns=")</f>
        <v>#VALUE!</v>
      </c>
      <c r="DU79" t="e">
        <f>AND(Bills!#REF!,"AAAAAH3stnw=")</f>
        <v>#REF!</v>
      </c>
      <c r="DV79" t="e">
        <f>AND(Bills!G237,"AAAAAH3stn0=")</f>
        <v>#VALUE!</v>
      </c>
      <c r="DW79" t="e">
        <f>AND(Bills!H237,"AAAAAH3stn4=")</f>
        <v>#VALUE!</v>
      </c>
      <c r="DX79" t="e">
        <f>AND(Bills!I237,"AAAAAH3stn8=")</f>
        <v>#VALUE!</v>
      </c>
      <c r="DY79" t="e">
        <f>AND(Bills!J237,"AAAAAH3stoA=")</f>
        <v>#VALUE!</v>
      </c>
      <c r="DZ79" t="e">
        <f>AND(Bills!K237,"AAAAAH3stoE=")</f>
        <v>#VALUE!</v>
      </c>
      <c r="EA79" t="e">
        <f>AND(Bills!L237,"AAAAAH3stoI=")</f>
        <v>#VALUE!</v>
      </c>
      <c r="EB79" t="e">
        <f>AND(Bills!#REF!,"AAAAAH3stoM=")</f>
        <v>#REF!</v>
      </c>
      <c r="EC79" t="e">
        <f>AND(Bills!M237,"AAAAAH3stoQ=")</f>
        <v>#VALUE!</v>
      </c>
      <c r="ED79" t="e">
        <f>AND(Bills!N237,"AAAAAH3stoU=")</f>
        <v>#VALUE!</v>
      </c>
      <c r="EE79" t="e">
        <f>AND(Bills!O237,"AAAAAH3stoY=")</f>
        <v>#VALUE!</v>
      </c>
      <c r="EF79" t="e">
        <f>AND(Bills!P237,"AAAAAH3stoc=")</f>
        <v>#VALUE!</v>
      </c>
      <c r="EG79" t="e">
        <f>AND(Bills!Q237,"AAAAAH3stog=")</f>
        <v>#VALUE!</v>
      </c>
      <c r="EH79" t="e">
        <f>AND(Bills!R237,"AAAAAH3stok=")</f>
        <v>#VALUE!</v>
      </c>
      <c r="EI79" t="e">
        <f>AND(Bills!S237,"AAAAAH3stoo=")</f>
        <v>#VALUE!</v>
      </c>
      <c r="EJ79" t="e">
        <f>AND(Bills!T237,"AAAAAH3stos=")</f>
        <v>#VALUE!</v>
      </c>
      <c r="EK79" t="e">
        <f>AND(Bills!#REF!,"AAAAAH3stow=")</f>
        <v>#REF!</v>
      </c>
      <c r="EL79" t="e">
        <f>AND(Bills!U237,"AAAAAH3sto0=")</f>
        <v>#VALUE!</v>
      </c>
      <c r="EM79" t="e">
        <f>AND(Bills!V237,"AAAAAH3sto4=")</f>
        <v>#VALUE!</v>
      </c>
      <c r="EN79" t="e">
        <f>AND(Bills!W237,"AAAAAH3sto8=")</f>
        <v>#VALUE!</v>
      </c>
      <c r="EO79" t="e">
        <f>AND(Bills!#REF!,"AAAAAH3stpA=")</f>
        <v>#REF!</v>
      </c>
      <c r="EP79" t="e">
        <f>AND(Bills!#REF!,"AAAAAH3stpE=")</f>
        <v>#REF!</v>
      </c>
      <c r="EQ79" t="e">
        <f>AND(Bills!Y237,"AAAAAH3stpI=")</f>
        <v>#VALUE!</v>
      </c>
      <c r="ER79" t="e">
        <f>AND(Bills!Z237,"AAAAAH3stpM=")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AND(Bills!AA237,"AAAAAH3stp0=")</f>
        <v>#VALUE!</v>
      </c>
      <c r="FC79" t="e">
        <f>AND(Bills!AB237,"AAAAAH3stp4=")</f>
        <v>#VALUE!</v>
      </c>
      <c r="FD79" t="e">
        <f>AND(Bills!#REF!,"AAAAAH3stp8=")</f>
        <v>#REF!</v>
      </c>
      <c r="FE79" t="e">
        <f>AND(Bills!#REF!,"AAAAAH3stqA=")</f>
        <v>#REF!</v>
      </c>
      <c r="FF79" t="e">
        <f>AND(Bills!#REF!,"AAAAAH3stqE=")</f>
        <v>#REF!</v>
      </c>
      <c r="FG79" t="e">
        <f>AND(Bills!AC237,"AAAAAH3stqI=")</f>
        <v>#VALUE!</v>
      </c>
      <c r="FH79" t="e">
        <f>AND(Bills!AD237,"AAAAAH3stqM=")</f>
        <v>#VALUE!</v>
      </c>
      <c r="FI79" t="e">
        <f>AND(Bills!#REF!,"AAAAAH3stqQ=")</f>
        <v>#REF!</v>
      </c>
      <c r="FJ79">
        <f>IF(Bills!238:238,"AAAAAH3stqU=",0)</f>
        <v>0</v>
      </c>
      <c r="FK79" t="e">
        <f>AND(Bills!B238,"AAAAAH3stqY=")</f>
        <v>#VALUE!</v>
      </c>
      <c r="FL79" t="e">
        <f>AND(Bills!#REF!,"AAAAAH3stqc=")</f>
        <v>#REF!</v>
      </c>
      <c r="FM79" t="e">
        <f>AND(Bills!C238,"AAAAAH3stqg=")</f>
        <v>#VALUE!</v>
      </c>
      <c r="FN79" t="e">
        <f>AND(Bills!D238,"AAAAAH3stqk=")</f>
        <v>#VALUE!</v>
      </c>
      <c r="FO79" t="e">
        <f>AND(Bills!E238,"AAAAAH3stqo=")</f>
        <v>#VALUE!</v>
      </c>
      <c r="FP79" t="e">
        <f>AND(Bills!#REF!,"AAAAAH3stqs=")</f>
        <v>#REF!</v>
      </c>
      <c r="FQ79" t="e">
        <f>AND(Bills!#REF!,"AAAAAH3stqw=")</f>
        <v>#REF!</v>
      </c>
      <c r="FR79" t="e">
        <f>AND(Bills!#REF!,"AAAAAH3stq0=")</f>
        <v>#REF!</v>
      </c>
      <c r="FS79" t="e">
        <f>AND(Bills!F238,"AAAAAH3stq4=")</f>
        <v>#VALUE!</v>
      </c>
      <c r="FT79" t="e">
        <f>AND(Bills!#REF!,"AAAAAH3stq8=")</f>
        <v>#REF!</v>
      </c>
      <c r="FU79" t="e">
        <f>AND(Bills!G238,"AAAAAH3strA=")</f>
        <v>#VALUE!</v>
      </c>
      <c r="FV79" t="e">
        <f>AND(Bills!H238,"AAAAAH3strE=")</f>
        <v>#VALUE!</v>
      </c>
      <c r="FW79" t="e">
        <f>AND(Bills!I238,"AAAAAH3strI=")</f>
        <v>#VALUE!</v>
      </c>
      <c r="FX79" t="e">
        <f>AND(Bills!J238,"AAAAAH3strM=")</f>
        <v>#VALUE!</v>
      </c>
      <c r="FY79" t="e">
        <f>AND(Bills!K238,"AAAAAH3strQ=")</f>
        <v>#VALUE!</v>
      </c>
      <c r="FZ79" t="e">
        <f>AND(Bills!L238,"AAAAAH3strU=")</f>
        <v>#VALUE!</v>
      </c>
      <c r="GA79" t="e">
        <f>AND(Bills!#REF!,"AAAAAH3strY=")</f>
        <v>#REF!</v>
      </c>
      <c r="GB79" t="e">
        <f>AND(Bills!M238,"AAAAAH3strc=")</f>
        <v>#VALUE!</v>
      </c>
      <c r="GC79" t="e">
        <f>AND(Bills!N238,"AAAAAH3strg=")</f>
        <v>#VALUE!</v>
      </c>
      <c r="GD79" t="e">
        <f>AND(Bills!O238,"AAAAAH3strk=")</f>
        <v>#VALUE!</v>
      </c>
      <c r="GE79" t="e">
        <f>AND(Bills!P238,"AAAAAH3stro=")</f>
        <v>#VALUE!</v>
      </c>
      <c r="GF79" t="e">
        <f>AND(Bills!Q238,"AAAAAH3strs=")</f>
        <v>#VALUE!</v>
      </c>
      <c r="GG79" t="e">
        <f>AND(Bills!R238,"AAAAAH3strw=")</f>
        <v>#VALUE!</v>
      </c>
      <c r="GH79" t="e">
        <f>AND(Bills!S238,"AAAAAH3str0=")</f>
        <v>#VALUE!</v>
      </c>
      <c r="GI79" t="e">
        <f>AND(Bills!T238,"AAAAAH3str4=")</f>
        <v>#VALUE!</v>
      </c>
      <c r="GJ79" t="e">
        <f>AND(Bills!#REF!,"AAAAAH3str8=")</f>
        <v>#REF!</v>
      </c>
      <c r="GK79" t="e">
        <f>AND(Bills!U238,"AAAAAH3stsA=")</f>
        <v>#VALUE!</v>
      </c>
      <c r="GL79" t="e">
        <f>AND(Bills!V238,"AAAAAH3stsE=")</f>
        <v>#VALUE!</v>
      </c>
      <c r="GM79" t="e">
        <f>AND(Bills!W238,"AAAAAH3stsI=")</f>
        <v>#VALUE!</v>
      </c>
      <c r="GN79" t="e">
        <f>AND(Bills!#REF!,"AAAAAH3stsM=")</f>
        <v>#REF!</v>
      </c>
      <c r="GO79" t="e">
        <f>AND(Bills!#REF!,"AAAAAH3stsQ=")</f>
        <v>#REF!</v>
      </c>
      <c r="GP79" t="e">
        <f>AND(Bills!Y238,"AAAAAH3stsU=")</f>
        <v>#VALUE!</v>
      </c>
      <c r="GQ79" t="e">
        <f>AND(Bills!Z238,"AAAAAH3stsY=")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AND(Bills!AA238,"AAAAAH3sttA=")</f>
        <v>#VALUE!</v>
      </c>
      <c r="HB79" t="e">
        <f>AND(Bills!AB238,"AAAAAH3sttE=")</f>
        <v>#VALUE!</v>
      </c>
      <c r="HC79" t="e">
        <f>AND(Bills!#REF!,"AAAAAH3sttI=")</f>
        <v>#REF!</v>
      </c>
      <c r="HD79" t="e">
        <f>AND(Bills!#REF!,"AAAAAH3sttM=")</f>
        <v>#REF!</v>
      </c>
      <c r="HE79" t="e">
        <f>AND(Bills!#REF!,"AAAAAH3sttQ=")</f>
        <v>#REF!</v>
      </c>
      <c r="HF79" t="e">
        <f>AND(Bills!AC238,"AAAAAH3sttU=")</f>
        <v>#VALUE!</v>
      </c>
      <c r="HG79" t="e">
        <f>AND(Bills!AD238,"AAAAAH3sttY=")</f>
        <v>#VALUE!</v>
      </c>
      <c r="HH79" t="e">
        <f>AND(Bills!#REF!,"AAAAAH3sttc=")</f>
        <v>#REF!</v>
      </c>
      <c r="HI79">
        <f>IF(Bills!239:239,"AAAAAH3sttg=",0)</f>
        <v>0</v>
      </c>
      <c r="HJ79" t="e">
        <f>AND(Bills!B239,"AAAAAH3sttk=")</f>
        <v>#VALUE!</v>
      </c>
      <c r="HK79" t="e">
        <f>AND(Bills!#REF!,"AAAAAH3stto=")</f>
        <v>#REF!</v>
      </c>
      <c r="HL79" t="e">
        <f>AND(Bills!C239,"AAAAAH3stts=")</f>
        <v>#VALUE!</v>
      </c>
      <c r="HM79" t="e">
        <f>AND(Bills!D239,"AAAAAH3sttw=")</f>
        <v>#VALUE!</v>
      </c>
      <c r="HN79" t="e">
        <f>AND(Bills!E239,"AAAAAH3stt0=")</f>
        <v>#VALUE!</v>
      </c>
      <c r="HO79" t="e">
        <f>AND(Bills!#REF!,"AAAAAH3stt4=")</f>
        <v>#REF!</v>
      </c>
      <c r="HP79" t="e">
        <f>AND(Bills!#REF!,"AAAAAH3stt8=")</f>
        <v>#REF!</v>
      </c>
      <c r="HQ79" t="e">
        <f>AND(Bills!#REF!,"AAAAAH3stuA=")</f>
        <v>#REF!</v>
      </c>
      <c r="HR79" t="e">
        <f>AND(Bills!F239,"AAAAAH3stuE=")</f>
        <v>#VALUE!</v>
      </c>
      <c r="HS79" t="e">
        <f>AND(Bills!#REF!,"AAAAAH3stuI=")</f>
        <v>#REF!</v>
      </c>
      <c r="HT79" t="e">
        <f>AND(Bills!G239,"AAAAAH3stuM=")</f>
        <v>#VALUE!</v>
      </c>
      <c r="HU79" t="e">
        <f>AND(Bills!H239,"AAAAAH3stuQ=")</f>
        <v>#VALUE!</v>
      </c>
      <c r="HV79" t="e">
        <f>AND(Bills!I239,"AAAAAH3stuU=")</f>
        <v>#VALUE!</v>
      </c>
      <c r="HW79" t="e">
        <f>AND(Bills!J239,"AAAAAH3stuY=")</f>
        <v>#VALUE!</v>
      </c>
      <c r="HX79" t="e">
        <f>AND(Bills!K239,"AAAAAH3stuc=")</f>
        <v>#VALUE!</v>
      </c>
      <c r="HY79" t="e">
        <f>AND(Bills!L239,"AAAAAH3stug=")</f>
        <v>#VALUE!</v>
      </c>
      <c r="HZ79" t="e">
        <f>AND(Bills!#REF!,"AAAAAH3stuk=")</f>
        <v>#REF!</v>
      </c>
      <c r="IA79" t="e">
        <f>AND(Bills!M239,"AAAAAH3stuo=")</f>
        <v>#VALUE!</v>
      </c>
      <c r="IB79" t="e">
        <f>AND(Bills!N239,"AAAAAH3stus=")</f>
        <v>#VALUE!</v>
      </c>
      <c r="IC79" t="e">
        <f>AND(Bills!O239,"AAAAAH3stuw=")</f>
        <v>#VALUE!</v>
      </c>
      <c r="ID79" t="e">
        <f>AND(Bills!P239,"AAAAAH3stu0=")</f>
        <v>#VALUE!</v>
      </c>
      <c r="IE79" t="e">
        <f>AND(Bills!Q239,"AAAAAH3stu4=")</f>
        <v>#VALUE!</v>
      </c>
      <c r="IF79" t="e">
        <f>AND(Bills!R239,"AAAAAH3stu8=")</f>
        <v>#VALUE!</v>
      </c>
      <c r="IG79" t="e">
        <f>AND(Bills!S239,"AAAAAH3stvA=")</f>
        <v>#VALUE!</v>
      </c>
      <c r="IH79" t="e">
        <f>AND(Bills!T239,"AAAAAH3stvE=")</f>
        <v>#VALUE!</v>
      </c>
      <c r="II79" t="e">
        <f>AND(Bills!#REF!,"AAAAAH3stvI=")</f>
        <v>#REF!</v>
      </c>
      <c r="IJ79" t="e">
        <f>AND(Bills!U239,"AAAAAH3stvM=")</f>
        <v>#VALUE!</v>
      </c>
      <c r="IK79" t="e">
        <f>AND(Bills!V239,"AAAAAH3stvQ=")</f>
        <v>#VALUE!</v>
      </c>
      <c r="IL79" t="e">
        <f>AND(Bills!W239,"AAAAAH3stvU=")</f>
        <v>#VALUE!</v>
      </c>
      <c r="IM79" t="e">
        <f>AND(Bills!#REF!,"AAAAAH3stvY=")</f>
        <v>#REF!</v>
      </c>
      <c r="IN79" t="e">
        <f>AND(Bills!#REF!,"AAAAAH3stvc=")</f>
        <v>#REF!</v>
      </c>
      <c r="IO79" t="e">
        <f>AND(Bills!Y239,"AAAAAH3stvg=")</f>
        <v>#VALUE!</v>
      </c>
      <c r="IP79" t="e">
        <f>AND(Bills!Z239,"AAAAAH3stvk=")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AND(Bills!AA239,"AAAAAEn5fwM=")</f>
        <v>#VALUE!</v>
      </c>
      <c r="E80" t="e">
        <f>AND(Bills!AB239,"AAAAAEn5fwQ=")</f>
        <v>#VALUE!</v>
      </c>
      <c r="F80" t="e">
        <f>AND(Bills!#REF!,"AAAAAEn5fwU=")</f>
        <v>#REF!</v>
      </c>
      <c r="G80" t="e">
        <f>AND(Bills!#REF!,"AAAAAEn5fwY=")</f>
        <v>#REF!</v>
      </c>
      <c r="H80" t="e">
        <f>AND(Bills!#REF!,"AAAAAEn5fwc=")</f>
        <v>#REF!</v>
      </c>
      <c r="I80" t="e">
        <f>AND(Bills!AC239,"AAAAAEn5fwg=")</f>
        <v>#VALUE!</v>
      </c>
      <c r="J80" t="e">
        <f>AND(Bills!AD239,"AAAAAEn5fwk=")</f>
        <v>#VALUE!</v>
      </c>
      <c r="K80" t="e">
        <f>AND(Bills!#REF!,"AAAAAEn5fwo=")</f>
        <v>#REF!</v>
      </c>
      <c r="L80">
        <f>IF(Bills!240:240,"AAAAAEn5fws=",0)</f>
        <v>0</v>
      </c>
      <c r="M80" t="e">
        <f>AND(Bills!B240,"AAAAAEn5fww=")</f>
        <v>#VALUE!</v>
      </c>
      <c r="N80" t="e">
        <f>AND(Bills!#REF!,"AAAAAEn5fw0=")</f>
        <v>#REF!</v>
      </c>
      <c r="O80" t="e">
        <f>AND(Bills!C240,"AAAAAEn5fw4=")</f>
        <v>#VALUE!</v>
      </c>
      <c r="P80" t="e">
        <f>AND(Bills!D240,"AAAAAEn5fw8=")</f>
        <v>#VALUE!</v>
      </c>
      <c r="Q80" t="e">
        <f>AND(Bills!E240,"AAAAAEn5fxA=")</f>
        <v>#VALUE!</v>
      </c>
      <c r="R80" t="e">
        <f>AND(Bills!#REF!,"AAAAAEn5fxE=")</f>
        <v>#REF!</v>
      </c>
      <c r="S80" t="e">
        <f>AND(Bills!#REF!,"AAAAAEn5fxI=")</f>
        <v>#REF!</v>
      </c>
      <c r="T80" t="e">
        <f>AND(Bills!#REF!,"AAAAAEn5fxM=")</f>
        <v>#REF!</v>
      </c>
      <c r="U80" t="e">
        <f>AND(Bills!F240,"AAAAAEn5fxQ=")</f>
        <v>#VALUE!</v>
      </c>
      <c r="V80" t="e">
        <f>AND(Bills!#REF!,"AAAAAEn5fxU=")</f>
        <v>#REF!</v>
      </c>
      <c r="W80" t="e">
        <f>AND(Bills!G240,"AAAAAEn5fxY=")</f>
        <v>#VALUE!</v>
      </c>
      <c r="X80" t="e">
        <f>AND(Bills!H240,"AAAAAEn5fxc=")</f>
        <v>#VALUE!</v>
      </c>
      <c r="Y80" t="e">
        <f>AND(Bills!I240,"AAAAAEn5fxg=")</f>
        <v>#VALUE!</v>
      </c>
      <c r="Z80" t="e">
        <f>AND(Bills!J240,"AAAAAEn5fxk=")</f>
        <v>#VALUE!</v>
      </c>
      <c r="AA80" t="e">
        <f>AND(Bills!K240,"AAAAAEn5fxo=")</f>
        <v>#VALUE!</v>
      </c>
      <c r="AB80" t="e">
        <f>AND(Bills!L240,"AAAAAEn5fxs=")</f>
        <v>#VALUE!</v>
      </c>
      <c r="AC80" t="e">
        <f>AND(Bills!#REF!,"AAAAAEn5fxw=")</f>
        <v>#REF!</v>
      </c>
      <c r="AD80" t="e">
        <f>AND(Bills!M240,"AAAAAEn5fx0=")</f>
        <v>#VALUE!</v>
      </c>
      <c r="AE80" t="e">
        <f>AND(Bills!N240,"AAAAAEn5fx4=")</f>
        <v>#VALUE!</v>
      </c>
      <c r="AF80" t="e">
        <f>AND(Bills!O240,"AAAAAEn5fx8=")</f>
        <v>#VALUE!</v>
      </c>
      <c r="AG80" t="e">
        <f>AND(Bills!P240,"AAAAAEn5fyA=")</f>
        <v>#VALUE!</v>
      </c>
      <c r="AH80" t="e">
        <f>AND(Bills!Q240,"AAAAAEn5fyE=")</f>
        <v>#VALUE!</v>
      </c>
      <c r="AI80" t="e">
        <f>AND(Bills!R240,"AAAAAEn5fyI=")</f>
        <v>#VALUE!</v>
      </c>
      <c r="AJ80" t="e">
        <f>AND(Bills!S240,"AAAAAEn5fyM=")</f>
        <v>#VALUE!</v>
      </c>
      <c r="AK80" t="e">
        <f>AND(Bills!T240,"AAAAAEn5fyQ=")</f>
        <v>#VALUE!</v>
      </c>
      <c r="AL80" t="e">
        <f>AND(Bills!#REF!,"AAAAAEn5fyU=")</f>
        <v>#REF!</v>
      </c>
      <c r="AM80" t="e">
        <f>AND(Bills!U240,"AAAAAEn5fyY=")</f>
        <v>#VALUE!</v>
      </c>
      <c r="AN80" t="e">
        <f>AND(Bills!V240,"AAAAAEn5fyc=")</f>
        <v>#VALUE!</v>
      </c>
      <c r="AO80" t="e">
        <f>AND(Bills!W240,"AAAAAEn5fyg=")</f>
        <v>#VALUE!</v>
      </c>
      <c r="AP80" t="e">
        <f>AND(Bills!#REF!,"AAAAAEn5fyk=")</f>
        <v>#REF!</v>
      </c>
      <c r="AQ80" t="e">
        <f>AND(Bills!#REF!,"AAAAAEn5fyo=")</f>
        <v>#REF!</v>
      </c>
      <c r="AR80" t="e">
        <f>AND(Bills!Y240,"AAAAAEn5fys=")</f>
        <v>#VALUE!</v>
      </c>
      <c r="AS80" t="e">
        <f>AND(Bills!Z240,"AAAAAEn5fyw=")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AND(Bills!AA240,"AAAAAEn5fzY=")</f>
        <v>#VALUE!</v>
      </c>
      <c r="BD80" t="e">
        <f>AND(Bills!AB240,"AAAAAEn5fzc=")</f>
        <v>#VALUE!</v>
      </c>
      <c r="BE80" t="e">
        <f>AND(Bills!#REF!,"AAAAAEn5fzg=")</f>
        <v>#REF!</v>
      </c>
      <c r="BF80" t="e">
        <f>AND(Bills!#REF!,"AAAAAEn5fzk=")</f>
        <v>#REF!</v>
      </c>
      <c r="BG80" t="e">
        <f>AND(Bills!#REF!,"AAAAAEn5fzo=")</f>
        <v>#REF!</v>
      </c>
      <c r="BH80" t="e">
        <f>AND(Bills!AC240,"AAAAAEn5fzs=")</f>
        <v>#VALUE!</v>
      </c>
      <c r="BI80" t="e">
        <f>AND(Bills!AD240,"AAAAAEn5fzw=")</f>
        <v>#VALUE!</v>
      </c>
      <c r="BJ80" t="e">
        <f>AND(Bills!#REF!,"AAAAAEn5fz0=")</f>
        <v>#REF!</v>
      </c>
      <c r="BK80">
        <f>IF(Bills!241:241,"AAAAAEn5fz4=",0)</f>
        <v>0</v>
      </c>
      <c r="BL80" t="e">
        <f>AND(Bills!B241,"AAAAAEn5fz8=")</f>
        <v>#VALUE!</v>
      </c>
      <c r="BM80" t="e">
        <f>AND(Bills!#REF!,"AAAAAEn5f0A=")</f>
        <v>#REF!</v>
      </c>
      <c r="BN80" t="e">
        <f>AND(Bills!C241,"AAAAAEn5f0E=")</f>
        <v>#VALUE!</v>
      </c>
      <c r="BO80" t="e">
        <f>AND(Bills!D241,"AAAAAEn5f0I=")</f>
        <v>#VALUE!</v>
      </c>
      <c r="BP80" t="e">
        <f>AND(Bills!E241,"AAAAAEn5f0M=")</f>
        <v>#VALUE!</v>
      </c>
      <c r="BQ80" t="e">
        <f>AND(Bills!#REF!,"AAAAAEn5f0Q=")</f>
        <v>#REF!</v>
      </c>
      <c r="BR80" t="e">
        <f>AND(Bills!#REF!,"AAAAAEn5f0U=")</f>
        <v>#REF!</v>
      </c>
      <c r="BS80" t="e">
        <f>AND(Bills!#REF!,"AAAAAEn5f0Y=")</f>
        <v>#REF!</v>
      </c>
      <c r="BT80" t="e">
        <f>AND(Bills!F241,"AAAAAEn5f0c=")</f>
        <v>#VALUE!</v>
      </c>
      <c r="BU80" t="e">
        <f>AND(Bills!#REF!,"AAAAAEn5f0g=")</f>
        <v>#REF!</v>
      </c>
      <c r="BV80" t="e">
        <f>AND(Bills!G241,"AAAAAEn5f0k=")</f>
        <v>#VALUE!</v>
      </c>
      <c r="BW80" t="e">
        <f>AND(Bills!H241,"AAAAAEn5f0o=")</f>
        <v>#VALUE!</v>
      </c>
      <c r="BX80" t="e">
        <f>AND(Bills!I241,"AAAAAEn5f0s=")</f>
        <v>#VALUE!</v>
      </c>
      <c r="BY80" t="e">
        <f>AND(Bills!J241,"AAAAAEn5f0w=")</f>
        <v>#VALUE!</v>
      </c>
      <c r="BZ80" t="e">
        <f>AND(Bills!K241,"AAAAAEn5f00=")</f>
        <v>#VALUE!</v>
      </c>
      <c r="CA80" t="e">
        <f>AND(Bills!L241,"AAAAAEn5f04=")</f>
        <v>#VALUE!</v>
      </c>
      <c r="CB80" t="e">
        <f>AND(Bills!#REF!,"AAAAAEn5f08=")</f>
        <v>#REF!</v>
      </c>
      <c r="CC80" t="e">
        <f>AND(Bills!M241,"AAAAAEn5f1A=")</f>
        <v>#VALUE!</v>
      </c>
      <c r="CD80" t="e">
        <f>AND(Bills!N241,"AAAAAEn5f1E=")</f>
        <v>#VALUE!</v>
      </c>
      <c r="CE80" t="e">
        <f>AND(Bills!O241,"AAAAAEn5f1I=")</f>
        <v>#VALUE!</v>
      </c>
      <c r="CF80" t="e">
        <f>AND(Bills!P241,"AAAAAEn5f1M=")</f>
        <v>#VALUE!</v>
      </c>
      <c r="CG80" t="e">
        <f>AND(Bills!Q241,"AAAAAEn5f1Q=")</f>
        <v>#VALUE!</v>
      </c>
      <c r="CH80" t="e">
        <f>AND(Bills!R241,"AAAAAEn5f1U=")</f>
        <v>#VALUE!</v>
      </c>
      <c r="CI80" t="e">
        <f>AND(Bills!S241,"AAAAAEn5f1Y=")</f>
        <v>#VALUE!</v>
      </c>
      <c r="CJ80" t="e">
        <f>AND(Bills!T241,"AAAAAEn5f1c=")</f>
        <v>#VALUE!</v>
      </c>
      <c r="CK80" t="e">
        <f>AND(Bills!#REF!,"AAAAAEn5f1g=")</f>
        <v>#REF!</v>
      </c>
      <c r="CL80" t="e">
        <f>AND(Bills!U241,"AAAAAEn5f1k=")</f>
        <v>#VALUE!</v>
      </c>
      <c r="CM80" t="e">
        <f>AND(Bills!V241,"AAAAAEn5f1o=")</f>
        <v>#VALUE!</v>
      </c>
      <c r="CN80" t="e">
        <f>AND(Bills!W241,"AAAAAEn5f1s=")</f>
        <v>#VALUE!</v>
      </c>
      <c r="CO80" t="e">
        <f>AND(Bills!#REF!,"AAAAAEn5f1w=")</f>
        <v>#REF!</v>
      </c>
      <c r="CP80" t="e">
        <f>AND(Bills!#REF!,"AAAAAEn5f10=")</f>
        <v>#REF!</v>
      </c>
      <c r="CQ80" t="e">
        <f>AND(Bills!Y241,"AAAAAEn5f14=")</f>
        <v>#VALUE!</v>
      </c>
      <c r="CR80" t="e">
        <f>AND(Bills!Z241,"AAAAAEn5f18=")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AND(Bills!AA241,"AAAAAEn5f2k=")</f>
        <v>#VALUE!</v>
      </c>
      <c r="DC80" t="e">
        <f>AND(Bills!AB241,"AAAAAEn5f2o=")</f>
        <v>#VALUE!</v>
      </c>
      <c r="DD80" t="e">
        <f>AND(Bills!#REF!,"AAAAAEn5f2s=")</f>
        <v>#REF!</v>
      </c>
      <c r="DE80" t="e">
        <f>AND(Bills!#REF!,"AAAAAEn5f2w=")</f>
        <v>#REF!</v>
      </c>
      <c r="DF80" t="e">
        <f>AND(Bills!#REF!,"AAAAAEn5f20=")</f>
        <v>#REF!</v>
      </c>
      <c r="DG80" t="e">
        <f>AND(Bills!AC241,"AAAAAEn5f24=")</f>
        <v>#VALUE!</v>
      </c>
      <c r="DH80" t="e">
        <f>AND(Bills!AD241,"AAAAAEn5f28=")</f>
        <v>#VALUE!</v>
      </c>
      <c r="DI80" t="e">
        <f>AND(Bills!#REF!,"AAAAAEn5f3A=")</f>
        <v>#REF!</v>
      </c>
      <c r="DJ80">
        <f>IF(Bills!242:242,"AAAAAEn5f3E=",0)</f>
        <v>0</v>
      </c>
      <c r="DK80" t="e">
        <f>AND(Bills!B242,"AAAAAEn5f3I=")</f>
        <v>#VALUE!</v>
      </c>
      <c r="DL80" t="e">
        <f>AND(Bills!#REF!,"AAAAAEn5f3M=")</f>
        <v>#REF!</v>
      </c>
      <c r="DM80" t="e">
        <f>AND(Bills!C242,"AAAAAEn5f3Q=")</f>
        <v>#VALUE!</v>
      </c>
      <c r="DN80" t="e">
        <f>AND(Bills!D242,"AAAAAEn5f3U=")</f>
        <v>#VALUE!</v>
      </c>
      <c r="DO80" t="e">
        <f>AND(Bills!E242,"AAAAAEn5f3Y=")</f>
        <v>#VALUE!</v>
      </c>
      <c r="DP80" t="e">
        <f>AND(Bills!#REF!,"AAAAAEn5f3c=")</f>
        <v>#REF!</v>
      </c>
      <c r="DQ80" t="e">
        <f>AND(Bills!#REF!,"AAAAAEn5f3g=")</f>
        <v>#REF!</v>
      </c>
      <c r="DR80" t="e">
        <f>AND(Bills!#REF!,"AAAAAEn5f3k=")</f>
        <v>#REF!</v>
      </c>
      <c r="DS80" t="e">
        <f>AND(Bills!F242,"AAAAAEn5f3o=")</f>
        <v>#VALUE!</v>
      </c>
      <c r="DT80" t="e">
        <f>AND(Bills!#REF!,"AAAAAEn5f3s=")</f>
        <v>#REF!</v>
      </c>
      <c r="DU80" t="e">
        <f>AND(Bills!G242,"AAAAAEn5f3w=")</f>
        <v>#VALUE!</v>
      </c>
      <c r="DV80" t="e">
        <f>AND(Bills!H242,"AAAAAEn5f30=")</f>
        <v>#VALUE!</v>
      </c>
      <c r="DW80" t="e">
        <f>AND(Bills!I242,"AAAAAEn5f34=")</f>
        <v>#VALUE!</v>
      </c>
      <c r="DX80" t="e">
        <f>AND(Bills!J242,"AAAAAEn5f38=")</f>
        <v>#VALUE!</v>
      </c>
      <c r="DY80" t="e">
        <f>AND(Bills!K242,"AAAAAEn5f4A=")</f>
        <v>#VALUE!</v>
      </c>
      <c r="DZ80" t="e">
        <f>AND(Bills!L242,"AAAAAEn5f4E=")</f>
        <v>#VALUE!</v>
      </c>
      <c r="EA80" t="e">
        <f>AND(Bills!#REF!,"AAAAAEn5f4I=")</f>
        <v>#REF!</v>
      </c>
      <c r="EB80" t="e">
        <f>AND(Bills!M242,"AAAAAEn5f4M=")</f>
        <v>#VALUE!</v>
      </c>
      <c r="EC80" t="e">
        <f>AND(Bills!N242,"AAAAAEn5f4Q=")</f>
        <v>#VALUE!</v>
      </c>
      <c r="ED80" t="e">
        <f>AND(Bills!O242,"AAAAAEn5f4U=")</f>
        <v>#VALUE!</v>
      </c>
      <c r="EE80" t="e">
        <f>AND(Bills!P242,"AAAAAEn5f4Y=")</f>
        <v>#VALUE!</v>
      </c>
      <c r="EF80" t="e">
        <f>AND(Bills!Q242,"AAAAAEn5f4c=")</f>
        <v>#VALUE!</v>
      </c>
      <c r="EG80" t="e">
        <f>AND(Bills!R242,"AAAAAEn5f4g=")</f>
        <v>#VALUE!</v>
      </c>
      <c r="EH80" t="e">
        <f>AND(Bills!S242,"AAAAAEn5f4k=")</f>
        <v>#VALUE!</v>
      </c>
      <c r="EI80" t="e">
        <f>AND(Bills!T242,"AAAAAEn5f4o=")</f>
        <v>#VALUE!</v>
      </c>
      <c r="EJ80" t="e">
        <f>AND(Bills!#REF!,"AAAAAEn5f4s=")</f>
        <v>#REF!</v>
      </c>
      <c r="EK80" t="e">
        <f>AND(Bills!U242,"AAAAAEn5f4w=")</f>
        <v>#VALUE!</v>
      </c>
      <c r="EL80" t="e">
        <f>AND(Bills!V242,"AAAAAEn5f40=")</f>
        <v>#VALUE!</v>
      </c>
      <c r="EM80" t="e">
        <f>AND(Bills!W242,"AAAAAEn5f44=")</f>
        <v>#VALUE!</v>
      </c>
      <c r="EN80" t="e">
        <f>AND(Bills!#REF!,"AAAAAEn5f48=")</f>
        <v>#REF!</v>
      </c>
      <c r="EO80" t="e">
        <f>AND(Bills!#REF!,"AAAAAEn5f5A=")</f>
        <v>#REF!</v>
      </c>
      <c r="EP80" t="e">
        <f>AND(Bills!Y242,"AAAAAEn5f5E=")</f>
        <v>#VALUE!</v>
      </c>
      <c r="EQ80" t="e">
        <f>AND(Bills!Z242,"AAAAAEn5f5I=")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AND(Bills!AA242,"AAAAAEn5f5w=")</f>
        <v>#VALUE!</v>
      </c>
      <c r="FB80" t="e">
        <f>AND(Bills!AB242,"AAAAAEn5f50=")</f>
        <v>#VALUE!</v>
      </c>
      <c r="FC80" t="e">
        <f>AND(Bills!#REF!,"AAAAAEn5f54=")</f>
        <v>#REF!</v>
      </c>
      <c r="FD80" t="e">
        <f>AND(Bills!#REF!,"AAAAAEn5f58=")</f>
        <v>#REF!</v>
      </c>
      <c r="FE80" t="e">
        <f>AND(Bills!#REF!,"AAAAAEn5f6A=")</f>
        <v>#REF!</v>
      </c>
      <c r="FF80" t="e">
        <f>AND(Bills!AC242,"AAAAAEn5f6E=")</f>
        <v>#VALUE!</v>
      </c>
      <c r="FG80" t="e">
        <f>AND(Bills!AD242,"AAAAAEn5f6I=")</f>
        <v>#VALUE!</v>
      </c>
      <c r="FH80" t="e">
        <f>AND(Bills!#REF!,"AAAAAEn5f6M=")</f>
        <v>#REF!</v>
      </c>
      <c r="FI80">
        <f>IF(Bills!243:243,"AAAAAEn5f6Q=",0)</f>
        <v>0</v>
      </c>
      <c r="FJ80" t="e">
        <f>AND(Bills!B243,"AAAAAEn5f6U=")</f>
        <v>#VALUE!</v>
      </c>
      <c r="FK80" t="e">
        <f>AND(Bills!#REF!,"AAAAAEn5f6Y=")</f>
        <v>#REF!</v>
      </c>
      <c r="FL80" t="e">
        <f>AND(Bills!C243,"AAAAAEn5f6c=")</f>
        <v>#VALUE!</v>
      </c>
      <c r="FM80" t="e">
        <f>AND(Bills!D243,"AAAAAEn5f6g=")</f>
        <v>#VALUE!</v>
      </c>
      <c r="FN80" t="e">
        <f>AND(Bills!E243,"AAAAAEn5f6k=")</f>
        <v>#VALUE!</v>
      </c>
      <c r="FO80" t="e">
        <f>AND(Bills!#REF!,"AAAAAEn5f6o=")</f>
        <v>#REF!</v>
      </c>
      <c r="FP80" t="e">
        <f>AND(Bills!#REF!,"AAAAAEn5f6s=")</f>
        <v>#REF!</v>
      </c>
      <c r="FQ80" t="e">
        <f>AND(Bills!#REF!,"AAAAAEn5f6w=")</f>
        <v>#REF!</v>
      </c>
      <c r="FR80" t="e">
        <f>AND(Bills!F243,"AAAAAEn5f60=")</f>
        <v>#VALUE!</v>
      </c>
      <c r="FS80" t="e">
        <f>AND(Bills!#REF!,"AAAAAEn5f64=")</f>
        <v>#REF!</v>
      </c>
      <c r="FT80" t="e">
        <f>AND(Bills!G243,"AAAAAEn5f68=")</f>
        <v>#VALUE!</v>
      </c>
      <c r="FU80" t="e">
        <f>AND(Bills!H243,"AAAAAEn5f7A=")</f>
        <v>#VALUE!</v>
      </c>
      <c r="FV80" t="e">
        <f>AND(Bills!I243,"AAAAAEn5f7E=")</f>
        <v>#VALUE!</v>
      </c>
      <c r="FW80" t="e">
        <f>AND(Bills!J243,"AAAAAEn5f7I=")</f>
        <v>#VALUE!</v>
      </c>
      <c r="FX80" t="e">
        <f>AND(Bills!K243,"AAAAAEn5f7M=")</f>
        <v>#VALUE!</v>
      </c>
      <c r="FY80" t="e">
        <f>AND(Bills!L243,"AAAAAEn5f7Q=")</f>
        <v>#VALUE!</v>
      </c>
      <c r="FZ80" t="e">
        <f>AND(Bills!#REF!,"AAAAAEn5f7U=")</f>
        <v>#REF!</v>
      </c>
      <c r="GA80" t="e">
        <f>AND(Bills!M243,"AAAAAEn5f7Y=")</f>
        <v>#VALUE!</v>
      </c>
      <c r="GB80" t="e">
        <f>AND(Bills!N243,"AAAAAEn5f7c=")</f>
        <v>#VALUE!</v>
      </c>
      <c r="GC80" t="e">
        <f>AND(Bills!O243,"AAAAAEn5f7g=")</f>
        <v>#VALUE!</v>
      </c>
      <c r="GD80" t="e">
        <f>AND(Bills!P243,"AAAAAEn5f7k=")</f>
        <v>#VALUE!</v>
      </c>
      <c r="GE80" t="e">
        <f>AND(Bills!Q243,"AAAAAEn5f7o=")</f>
        <v>#VALUE!</v>
      </c>
      <c r="GF80" t="e">
        <f>AND(Bills!R243,"AAAAAEn5f7s=")</f>
        <v>#VALUE!</v>
      </c>
      <c r="GG80" t="e">
        <f>AND(Bills!S243,"AAAAAEn5f7w=")</f>
        <v>#VALUE!</v>
      </c>
      <c r="GH80" t="e">
        <f>AND(Bills!T243,"AAAAAEn5f70=")</f>
        <v>#VALUE!</v>
      </c>
      <c r="GI80" t="e">
        <f>AND(Bills!#REF!,"AAAAAEn5f74=")</f>
        <v>#REF!</v>
      </c>
      <c r="GJ80" t="e">
        <f>AND(Bills!U243,"AAAAAEn5f78=")</f>
        <v>#VALUE!</v>
      </c>
      <c r="GK80" t="e">
        <f>AND(Bills!V243,"AAAAAEn5f8A=")</f>
        <v>#VALUE!</v>
      </c>
      <c r="GL80" t="e">
        <f>AND(Bills!W243,"AAAAAEn5f8E=")</f>
        <v>#VALUE!</v>
      </c>
      <c r="GM80" t="e">
        <f>AND(Bills!#REF!,"AAAAAEn5f8I=")</f>
        <v>#REF!</v>
      </c>
      <c r="GN80" t="e">
        <f>AND(Bills!#REF!,"AAAAAEn5f8M=")</f>
        <v>#REF!</v>
      </c>
      <c r="GO80" t="e">
        <f>AND(Bills!Y243,"AAAAAEn5f8Q=")</f>
        <v>#VALUE!</v>
      </c>
      <c r="GP80" t="e">
        <f>AND(Bills!Z243,"AAAAAEn5f8U=")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AND(Bills!AA243,"AAAAAEn5f88=")</f>
        <v>#VALUE!</v>
      </c>
      <c r="HA80" t="e">
        <f>AND(Bills!AB243,"AAAAAEn5f9A=")</f>
        <v>#VALUE!</v>
      </c>
      <c r="HB80" t="e">
        <f>AND(Bills!#REF!,"AAAAAEn5f9E=")</f>
        <v>#REF!</v>
      </c>
      <c r="HC80" t="e">
        <f>AND(Bills!#REF!,"AAAAAEn5f9I=")</f>
        <v>#REF!</v>
      </c>
      <c r="HD80" t="e">
        <f>AND(Bills!#REF!,"AAAAAEn5f9M=")</f>
        <v>#REF!</v>
      </c>
      <c r="HE80" t="e">
        <f>AND(Bills!AC243,"AAAAAEn5f9Q=")</f>
        <v>#VALUE!</v>
      </c>
      <c r="HF80" t="e">
        <f>AND(Bills!AD243,"AAAAAEn5f9U=")</f>
        <v>#VALUE!</v>
      </c>
      <c r="HG80" t="e">
        <f>AND(Bills!#REF!,"AAAAAEn5f9Y=")</f>
        <v>#REF!</v>
      </c>
      <c r="HH80">
        <f>IF(Bills!244:244,"AAAAAEn5f9c=",0)</f>
        <v>0</v>
      </c>
      <c r="HI80" t="e">
        <f>AND(Bills!B244,"AAAAAEn5f9g=")</f>
        <v>#VALUE!</v>
      </c>
      <c r="HJ80" t="e">
        <f>AND(Bills!#REF!,"AAAAAEn5f9k=")</f>
        <v>#REF!</v>
      </c>
      <c r="HK80" t="e">
        <f>AND(Bills!C244,"AAAAAEn5f9o=")</f>
        <v>#VALUE!</v>
      </c>
      <c r="HL80" t="e">
        <f>AND(Bills!D244,"AAAAAEn5f9s=")</f>
        <v>#VALUE!</v>
      </c>
      <c r="HM80" t="e">
        <f>AND(Bills!E244,"AAAAAEn5f9w=")</f>
        <v>#VALUE!</v>
      </c>
      <c r="HN80" t="e">
        <f>AND(Bills!#REF!,"AAAAAEn5f90=")</f>
        <v>#REF!</v>
      </c>
      <c r="HO80" t="e">
        <f>AND(Bills!#REF!,"AAAAAEn5f94=")</f>
        <v>#REF!</v>
      </c>
      <c r="HP80" t="e">
        <f>AND(Bills!#REF!,"AAAAAEn5f98=")</f>
        <v>#REF!</v>
      </c>
      <c r="HQ80" t="e">
        <f>AND(Bills!F244,"AAAAAEn5f+A=")</f>
        <v>#VALUE!</v>
      </c>
      <c r="HR80" t="e">
        <f>AND(Bills!#REF!,"AAAAAEn5f+E=")</f>
        <v>#REF!</v>
      </c>
      <c r="HS80" t="e">
        <f>AND(Bills!G244,"AAAAAEn5f+I=")</f>
        <v>#VALUE!</v>
      </c>
      <c r="HT80" t="e">
        <f>AND(Bills!H244,"AAAAAEn5f+M=")</f>
        <v>#VALUE!</v>
      </c>
      <c r="HU80" t="e">
        <f>AND(Bills!I244,"AAAAAEn5f+Q=")</f>
        <v>#VALUE!</v>
      </c>
      <c r="HV80" t="e">
        <f>AND(Bills!J244,"AAAAAEn5f+U=")</f>
        <v>#VALUE!</v>
      </c>
      <c r="HW80" t="e">
        <f>AND(Bills!K244,"AAAAAEn5f+Y=")</f>
        <v>#VALUE!</v>
      </c>
      <c r="HX80" t="e">
        <f>AND(Bills!L244,"AAAAAEn5f+c=")</f>
        <v>#VALUE!</v>
      </c>
      <c r="HY80" t="e">
        <f>AND(Bills!#REF!,"AAAAAEn5f+g=")</f>
        <v>#REF!</v>
      </c>
      <c r="HZ80" t="e">
        <f>AND(Bills!M244,"AAAAAEn5f+k=")</f>
        <v>#VALUE!</v>
      </c>
      <c r="IA80" t="e">
        <f>AND(Bills!N244,"AAAAAEn5f+o=")</f>
        <v>#VALUE!</v>
      </c>
      <c r="IB80" t="e">
        <f>AND(Bills!O244,"AAAAAEn5f+s=")</f>
        <v>#VALUE!</v>
      </c>
      <c r="IC80" t="e">
        <f>AND(Bills!P244,"AAAAAEn5f+w=")</f>
        <v>#VALUE!</v>
      </c>
      <c r="ID80" t="e">
        <f>AND(Bills!Q244,"AAAAAEn5f+0=")</f>
        <v>#VALUE!</v>
      </c>
      <c r="IE80" t="e">
        <f>AND(Bills!R244,"AAAAAEn5f+4=")</f>
        <v>#VALUE!</v>
      </c>
      <c r="IF80" t="e">
        <f>AND(Bills!S244,"AAAAAEn5f+8=")</f>
        <v>#VALUE!</v>
      </c>
      <c r="IG80" t="e">
        <f>AND(Bills!T244,"AAAAAEn5f/A=")</f>
        <v>#VALUE!</v>
      </c>
      <c r="IH80" t="e">
        <f>AND(Bills!#REF!,"AAAAAEn5f/E=")</f>
        <v>#REF!</v>
      </c>
      <c r="II80" t="e">
        <f>AND(Bills!U244,"AAAAAEn5f/I=")</f>
        <v>#VALUE!</v>
      </c>
      <c r="IJ80" t="e">
        <f>AND(Bills!V244,"AAAAAEn5f/M=")</f>
        <v>#VALUE!</v>
      </c>
      <c r="IK80" t="e">
        <f>AND(Bills!W244,"AAAAAEn5f/Q=")</f>
        <v>#VALUE!</v>
      </c>
      <c r="IL80" t="e">
        <f>AND(Bills!#REF!,"AAAAAEn5f/U=")</f>
        <v>#REF!</v>
      </c>
      <c r="IM80" t="e">
        <f>AND(Bills!#REF!,"AAAAAEn5f/Y=")</f>
        <v>#REF!</v>
      </c>
      <c r="IN80" t="e">
        <f>AND(Bills!Y244,"AAAAAEn5f/c=")</f>
        <v>#VALUE!</v>
      </c>
      <c r="IO80" t="e">
        <f>AND(Bills!Z244,"AAAAAEn5f/g=")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AND(Bills!AA244,"AAAAAH3uzAI=")</f>
        <v>#VALUE!</v>
      </c>
      <c r="D81" t="e">
        <f>AND(Bills!AB244,"AAAAAH3uzAM=")</f>
        <v>#VALUE!</v>
      </c>
      <c r="E81" t="e">
        <f>AND(Bills!#REF!,"AAAAAH3uzAQ=")</f>
        <v>#REF!</v>
      </c>
      <c r="F81" t="e">
        <f>AND(Bills!#REF!,"AAAAAH3uzAU=")</f>
        <v>#REF!</v>
      </c>
      <c r="G81" t="e">
        <f>AND(Bills!#REF!,"AAAAAH3uzAY=")</f>
        <v>#REF!</v>
      </c>
      <c r="H81" t="e">
        <f>AND(Bills!AC244,"AAAAAH3uzAc=")</f>
        <v>#VALUE!</v>
      </c>
      <c r="I81" t="e">
        <f>AND(Bills!AD244,"AAAAAH3uzAg=")</f>
        <v>#VALUE!</v>
      </c>
      <c r="J81" t="e">
        <f>AND(Bills!#REF!,"AAAAAH3uzAk=")</f>
        <v>#REF!</v>
      </c>
      <c r="K81">
        <f>IF(Bills!245:245,"AAAAAH3uzAo=",0)</f>
        <v>0</v>
      </c>
      <c r="L81" t="e">
        <f>AND(Bills!B245,"AAAAAH3uzAs=")</f>
        <v>#VALUE!</v>
      </c>
      <c r="M81" t="e">
        <f>AND(Bills!#REF!,"AAAAAH3uzAw=")</f>
        <v>#REF!</v>
      </c>
      <c r="N81" t="e">
        <f>AND(Bills!C245,"AAAAAH3uzA0=")</f>
        <v>#VALUE!</v>
      </c>
      <c r="O81" t="e">
        <f>AND(Bills!D245,"AAAAAH3uzA4=")</f>
        <v>#VALUE!</v>
      </c>
      <c r="P81" t="e">
        <f>AND(Bills!E245,"AAAAAH3uzA8=")</f>
        <v>#VALUE!</v>
      </c>
      <c r="Q81" t="e">
        <f>AND(Bills!#REF!,"AAAAAH3uzBA=")</f>
        <v>#REF!</v>
      </c>
      <c r="R81" t="e">
        <f>AND(Bills!#REF!,"AAAAAH3uzBE=")</f>
        <v>#REF!</v>
      </c>
      <c r="S81" t="e">
        <f>AND(Bills!#REF!,"AAAAAH3uzBI=")</f>
        <v>#REF!</v>
      </c>
      <c r="T81" t="e">
        <f>AND(Bills!F245,"AAAAAH3uzBM=")</f>
        <v>#VALUE!</v>
      </c>
      <c r="U81" t="e">
        <f>AND(Bills!#REF!,"AAAAAH3uzBQ=")</f>
        <v>#REF!</v>
      </c>
      <c r="V81" t="e">
        <f>AND(Bills!G245,"AAAAAH3uzBU=")</f>
        <v>#VALUE!</v>
      </c>
      <c r="W81" t="e">
        <f>AND(Bills!H245,"AAAAAH3uzBY=")</f>
        <v>#VALUE!</v>
      </c>
      <c r="X81" t="e">
        <f>AND(Bills!I245,"AAAAAH3uzBc=")</f>
        <v>#VALUE!</v>
      </c>
      <c r="Y81" t="e">
        <f>AND(Bills!J245,"AAAAAH3uzBg=")</f>
        <v>#VALUE!</v>
      </c>
      <c r="Z81" t="e">
        <f>AND(Bills!K245,"AAAAAH3uzBk=")</f>
        <v>#VALUE!</v>
      </c>
      <c r="AA81" t="e">
        <f>AND(Bills!L245,"AAAAAH3uzBo=")</f>
        <v>#VALUE!</v>
      </c>
      <c r="AB81" t="e">
        <f>AND(Bills!#REF!,"AAAAAH3uzBs=")</f>
        <v>#REF!</v>
      </c>
      <c r="AC81" t="e">
        <f>AND(Bills!M245,"AAAAAH3uzBw=")</f>
        <v>#VALUE!</v>
      </c>
      <c r="AD81" t="e">
        <f>AND(Bills!N245,"AAAAAH3uzB0=")</f>
        <v>#VALUE!</v>
      </c>
      <c r="AE81" t="e">
        <f>AND(Bills!O245,"AAAAAH3uzB4=")</f>
        <v>#VALUE!</v>
      </c>
      <c r="AF81" t="e">
        <f>AND(Bills!P245,"AAAAAH3uzB8=")</f>
        <v>#VALUE!</v>
      </c>
      <c r="AG81" t="e">
        <f>AND(Bills!Q245,"AAAAAH3uzCA=")</f>
        <v>#VALUE!</v>
      </c>
      <c r="AH81" t="e">
        <f>AND(Bills!R245,"AAAAAH3uzCE=")</f>
        <v>#VALUE!</v>
      </c>
      <c r="AI81" t="e">
        <f>AND(Bills!S245,"AAAAAH3uzCI=")</f>
        <v>#VALUE!</v>
      </c>
      <c r="AJ81" t="e">
        <f>AND(Bills!T245,"AAAAAH3uzCM=")</f>
        <v>#VALUE!</v>
      </c>
      <c r="AK81" t="e">
        <f>AND(Bills!#REF!,"AAAAAH3uzCQ=")</f>
        <v>#REF!</v>
      </c>
      <c r="AL81" t="e">
        <f>AND(Bills!U245,"AAAAAH3uzCU=")</f>
        <v>#VALUE!</v>
      </c>
      <c r="AM81" t="e">
        <f>AND(Bills!V245,"AAAAAH3uzCY=")</f>
        <v>#VALUE!</v>
      </c>
      <c r="AN81" t="e">
        <f>AND(Bills!W245,"AAAAAH3uzCc=")</f>
        <v>#VALUE!</v>
      </c>
      <c r="AO81" t="e">
        <f>AND(Bills!#REF!,"AAAAAH3uzCg=")</f>
        <v>#REF!</v>
      </c>
      <c r="AP81" t="e">
        <f>AND(Bills!#REF!,"AAAAAH3uzCk=")</f>
        <v>#REF!</v>
      </c>
      <c r="AQ81" t="e">
        <f>AND(Bills!Y245,"AAAAAH3uzCo=")</f>
        <v>#VALUE!</v>
      </c>
      <c r="AR81" t="e">
        <f>AND(Bills!Z245,"AAAAAH3uzCs=")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AND(Bills!AA245,"AAAAAH3uzDU=")</f>
        <v>#VALUE!</v>
      </c>
      <c r="BC81" t="e">
        <f>AND(Bills!AB245,"AAAAAH3uzDY=")</f>
        <v>#VALUE!</v>
      </c>
      <c r="BD81" t="e">
        <f>AND(Bills!#REF!,"AAAAAH3uzDc=")</f>
        <v>#REF!</v>
      </c>
      <c r="BE81" t="e">
        <f>AND(Bills!#REF!,"AAAAAH3uzDg=")</f>
        <v>#REF!</v>
      </c>
      <c r="BF81" t="e">
        <f>AND(Bills!#REF!,"AAAAAH3uzDk=")</f>
        <v>#REF!</v>
      </c>
      <c r="BG81" t="e">
        <f>AND(Bills!AC245,"AAAAAH3uzDo=")</f>
        <v>#VALUE!</v>
      </c>
      <c r="BH81" t="e">
        <f>AND(Bills!AD245,"AAAAAH3uzDs=")</f>
        <v>#VALUE!</v>
      </c>
      <c r="BI81" t="e">
        <f>AND(Bills!#REF!,"AAAAAH3uzDw=")</f>
        <v>#REF!</v>
      </c>
      <c r="BJ81">
        <f>IF(Bills!246:246,"AAAAAH3uzD0=",0)</f>
        <v>0</v>
      </c>
      <c r="BK81" t="e">
        <f>AND(Bills!B246,"AAAAAH3uzD4=")</f>
        <v>#VALUE!</v>
      </c>
      <c r="BL81" t="e">
        <f>AND(Bills!#REF!,"AAAAAH3uzD8=")</f>
        <v>#REF!</v>
      </c>
      <c r="BM81" t="e">
        <f>AND(Bills!C246,"AAAAAH3uzEA=")</f>
        <v>#VALUE!</v>
      </c>
      <c r="BN81" t="e">
        <f>AND(Bills!D246,"AAAAAH3uzEE=")</f>
        <v>#VALUE!</v>
      </c>
      <c r="BO81" t="e">
        <f>AND(Bills!E246,"AAAAAH3uzEI=")</f>
        <v>#VALUE!</v>
      </c>
      <c r="BP81" t="e">
        <f>AND(Bills!#REF!,"AAAAAH3uzEM=")</f>
        <v>#REF!</v>
      </c>
      <c r="BQ81" t="e">
        <f>AND(Bills!#REF!,"AAAAAH3uzEQ=")</f>
        <v>#REF!</v>
      </c>
      <c r="BR81" t="e">
        <f>AND(Bills!#REF!,"AAAAAH3uzEU=")</f>
        <v>#REF!</v>
      </c>
      <c r="BS81" t="e">
        <f>AND(Bills!F246,"AAAAAH3uzEY=")</f>
        <v>#VALUE!</v>
      </c>
      <c r="BT81" t="e">
        <f>AND(Bills!#REF!,"AAAAAH3uzEc=")</f>
        <v>#REF!</v>
      </c>
      <c r="BU81" t="e">
        <f>AND(Bills!G246,"AAAAAH3uzEg=")</f>
        <v>#VALUE!</v>
      </c>
      <c r="BV81" t="e">
        <f>AND(Bills!H246,"AAAAAH3uzEk=")</f>
        <v>#VALUE!</v>
      </c>
      <c r="BW81" t="e">
        <f>AND(Bills!I246,"AAAAAH3uzEo=")</f>
        <v>#VALUE!</v>
      </c>
      <c r="BX81" t="e">
        <f>AND(Bills!J246,"AAAAAH3uzEs=")</f>
        <v>#VALUE!</v>
      </c>
      <c r="BY81" t="e">
        <f>AND(Bills!K246,"AAAAAH3uzEw=")</f>
        <v>#VALUE!</v>
      </c>
      <c r="BZ81" t="e">
        <f>AND(Bills!L246,"AAAAAH3uzE0=")</f>
        <v>#VALUE!</v>
      </c>
      <c r="CA81" t="e">
        <f>AND(Bills!#REF!,"AAAAAH3uzE4=")</f>
        <v>#REF!</v>
      </c>
      <c r="CB81" t="e">
        <f>AND(Bills!M246,"AAAAAH3uzE8=")</f>
        <v>#VALUE!</v>
      </c>
      <c r="CC81" t="e">
        <f>AND(Bills!N246,"AAAAAH3uzFA=")</f>
        <v>#VALUE!</v>
      </c>
      <c r="CD81" t="e">
        <f>AND(Bills!O246,"AAAAAH3uzFE=")</f>
        <v>#VALUE!</v>
      </c>
      <c r="CE81" t="e">
        <f>AND(Bills!P246,"AAAAAH3uzFI=")</f>
        <v>#VALUE!</v>
      </c>
      <c r="CF81" t="e">
        <f>AND(Bills!Q246,"AAAAAH3uzFM=")</f>
        <v>#VALUE!</v>
      </c>
      <c r="CG81" t="e">
        <f>AND(Bills!R246,"AAAAAH3uzFQ=")</f>
        <v>#VALUE!</v>
      </c>
      <c r="CH81" t="e">
        <f>AND(Bills!S246,"AAAAAH3uzFU=")</f>
        <v>#VALUE!</v>
      </c>
      <c r="CI81" t="e">
        <f>AND(Bills!T246,"AAAAAH3uzFY=")</f>
        <v>#VALUE!</v>
      </c>
      <c r="CJ81" t="e">
        <f>AND(Bills!#REF!,"AAAAAH3uzFc=")</f>
        <v>#REF!</v>
      </c>
      <c r="CK81" t="e">
        <f>AND(Bills!U246,"AAAAAH3uzFg=")</f>
        <v>#VALUE!</v>
      </c>
      <c r="CL81" t="e">
        <f>AND(Bills!V246,"AAAAAH3uzFk=")</f>
        <v>#VALUE!</v>
      </c>
      <c r="CM81" t="e">
        <f>AND(Bills!W246,"AAAAAH3uzFo=")</f>
        <v>#VALUE!</v>
      </c>
      <c r="CN81" t="e">
        <f>AND(Bills!#REF!,"AAAAAH3uzFs=")</f>
        <v>#REF!</v>
      </c>
      <c r="CO81" t="e">
        <f>AND(Bills!#REF!,"AAAAAH3uzFw=")</f>
        <v>#REF!</v>
      </c>
      <c r="CP81" t="e">
        <f>AND(Bills!Y246,"AAAAAH3uzF0=")</f>
        <v>#VALUE!</v>
      </c>
      <c r="CQ81" t="e">
        <f>AND(Bills!Z246,"AAAAAH3uzF4=")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AND(Bills!AA246,"AAAAAH3uzGg=")</f>
        <v>#VALUE!</v>
      </c>
      <c r="DB81" t="e">
        <f>AND(Bills!AB246,"AAAAAH3uzGk=")</f>
        <v>#VALUE!</v>
      </c>
      <c r="DC81" t="e">
        <f>AND(Bills!#REF!,"AAAAAH3uzGo=")</f>
        <v>#REF!</v>
      </c>
      <c r="DD81" t="e">
        <f>AND(Bills!#REF!,"AAAAAH3uzGs=")</f>
        <v>#REF!</v>
      </c>
      <c r="DE81" t="e">
        <f>AND(Bills!#REF!,"AAAAAH3uzGw=")</f>
        <v>#REF!</v>
      </c>
      <c r="DF81" t="e">
        <f>AND(Bills!AC246,"AAAAAH3uzG0=")</f>
        <v>#VALUE!</v>
      </c>
      <c r="DG81" t="e">
        <f>AND(Bills!AD246,"AAAAAH3uzG4=")</f>
        <v>#VALUE!</v>
      </c>
      <c r="DH81" t="e">
        <f>AND(Bills!#REF!,"AAAAAH3uzG8=")</f>
        <v>#REF!</v>
      </c>
      <c r="DI81">
        <f>IF(Bills!247:247,"AAAAAH3uzHA=",0)</f>
        <v>0</v>
      </c>
      <c r="DJ81" t="e">
        <f>AND(Bills!B247,"AAAAAH3uzHE=")</f>
        <v>#VALUE!</v>
      </c>
      <c r="DK81" t="e">
        <f>AND(Bills!#REF!,"AAAAAH3uzHI=")</f>
        <v>#REF!</v>
      </c>
      <c r="DL81" t="e">
        <f>AND(Bills!C247,"AAAAAH3uzHM=")</f>
        <v>#VALUE!</v>
      </c>
      <c r="DM81" t="e">
        <f>AND(Bills!D247,"AAAAAH3uzHQ=")</f>
        <v>#VALUE!</v>
      </c>
      <c r="DN81" t="e">
        <f>AND(Bills!E247,"AAAAAH3uzHU=")</f>
        <v>#VALUE!</v>
      </c>
      <c r="DO81" t="e">
        <f>AND(Bills!#REF!,"AAAAAH3uzHY=")</f>
        <v>#REF!</v>
      </c>
      <c r="DP81" t="e">
        <f>AND(Bills!#REF!,"AAAAAH3uzHc=")</f>
        <v>#REF!</v>
      </c>
      <c r="DQ81" t="e">
        <f>AND(Bills!#REF!,"AAAAAH3uzHg=")</f>
        <v>#REF!</v>
      </c>
      <c r="DR81" t="e">
        <f>AND(Bills!F247,"AAAAAH3uzHk=")</f>
        <v>#VALUE!</v>
      </c>
      <c r="DS81" t="e">
        <f>AND(Bills!#REF!,"AAAAAH3uzHo=")</f>
        <v>#REF!</v>
      </c>
      <c r="DT81" t="e">
        <f>AND(Bills!G247,"AAAAAH3uzHs=")</f>
        <v>#VALUE!</v>
      </c>
      <c r="DU81" t="e">
        <f>AND(Bills!H247,"AAAAAH3uzHw=")</f>
        <v>#VALUE!</v>
      </c>
      <c r="DV81" t="e">
        <f>AND(Bills!I247,"AAAAAH3uzH0=")</f>
        <v>#VALUE!</v>
      </c>
      <c r="DW81" t="e">
        <f>AND(Bills!J247,"AAAAAH3uzH4=")</f>
        <v>#VALUE!</v>
      </c>
      <c r="DX81" t="e">
        <f>AND(Bills!K247,"AAAAAH3uzH8=")</f>
        <v>#VALUE!</v>
      </c>
      <c r="DY81" t="e">
        <f>AND(Bills!L247,"AAAAAH3uzIA=")</f>
        <v>#VALUE!</v>
      </c>
      <c r="DZ81" t="e">
        <f>AND(Bills!#REF!,"AAAAAH3uzIE=")</f>
        <v>#REF!</v>
      </c>
      <c r="EA81" t="e">
        <f>AND(Bills!M247,"AAAAAH3uzII=")</f>
        <v>#VALUE!</v>
      </c>
      <c r="EB81" t="e">
        <f>AND(Bills!N247,"AAAAAH3uzIM=")</f>
        <v>#VALUE!</v>
      </c>
      <c r="EC81" t="e">
        <f>AND(Bills!O247,"AAAAAH3uzIQ=")</f>
        <v>#VALUE!</v>
      </c>
      <c r="ED81" t="e">
        <f>AND(Bills!P247,"AAAAAH3uzIU=")</f>
        <v>#VALUE!</v>
      </c>
      <c r="EE81" t="e">
        <f>AND(Bills!Q247,"AAAAAH3uzIY=")</f>
        <v>#VALUE!</v>
      </c>
      <c r="EF81" t="e">
        <f>AND(Bills!R247,"AAAAAH3uzIc=")</f>
        <v>#VALUE!</v>
      </c>
      <c r="EG81" t="e">
        <f>AND(Bills!S247,"AAAAAH3uzIg=")</f>
        <v>#VALUE!</v>
      </c>
      <c r="EH81" t="e">
        <f>AND(Bills!T247,"AAAAAH3uzIk=")</f>
        <v>#VALUE!</v>
      </c>
      <c r="EI81" t="e">
        <f>AND(Bills!#REF!,"AAAAAH3uzIo=")</f>
        <v>#REF!</v>
      </c>
      <c r="EJ81" t="e">
        <f>AND(Bills!U247,"AAAAAH3uzIs=")</f>
        <v>#VALUE!</v>
      </c>
      <c r="EK81" t="e">
        <f>AND(Bills!V247,"AAAAAH3uzIw=")</f>
        <v>#VALUE!</v>
      </c>
      <c r="EL81" t="e">
        <f>AND(Bills!W247,"AAAAAH3uzI0=")</f>
        <v>#VALUE!</v>
      </c>
      <c r="EM81" t="e">
        <f>AND(Bills!#REF!,"AAAAAH3uzI4=")</f>
        <v>#REF!</v>
      </c>
      <c r="EN81" t="e">
        <f>AND(Bills!#REF!,"AAAAAH3uzI8=")</f>
        <v>#REF!</v>
      </c>
      <c r="EO81" t="e">
        <f>AND(Bills!Y247,"AAAAAH3uzJA=")</f>
        <v>#VALUE!</v>
      </c>
      <c r="EP81" t="e">
        <f>AND(Bills!Z247,"AAAAAH3uzJE=")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AND(Bills!AA247,"AAAAAH3uzJs=")</f>
        <v>#VALUE!</v>
      </c>
      <c r="FA81" t="e">
        <f>AND(Bills!AB247,"AAAAAH3uzJw=")</f>
        <v>#VALUE!</v>
      </c>
      <c r="FB81" t="e">
        <f>AND(Bills!#REF!,"AAAAAH3uzJ0=")</f>
        <v>#REF!</v>
      </c>
      <c r="FC81" t="e">
        <f>AND(Bills!#REF!,"AAAAAH3uzJ4=")</f>
        <v>#REF!</v>
      </c>
      <c r="FD81" t="e">
        <f>AND(Bills!#REF!,"AAAAAH3uzJ8=")</f>
        <v>#REF!</v>
      </c>
      <c r="FE81" t="e">
        <f>AND(Bills!AC247,"AAAAAH3uzKA=")</f>
        <v>#VALUE!</v>
      </c>
      <c r="FF81" t="e">
        <f>AND(Bills!AD247,"AAAAAH3uzKE=")</f>
        <v>#VALUE!</v>
      </c>
      <c r="FG81" t="e">
        <f>AND(Bills!#REF!,"AAAAAH3uzKI=")</f>
        <v>#REF!</v>
      </c>
      <c r="FH81">
        <f>IF(Bills!248:248,"AAAAAH3uzKM=",0)</f>
        <v>0</v>
      </c>
      <c r="FI81" t="e">
        <f>AND(Bills!B248,"AAAAAH3uzKQ=")</f>
        <v>#VALUE!</v>
      </c>
      <c r="FJ81" t="e">
        <f>AND(Bills!#REF!,"AAAAAH3uzKU=")</f>
        <v>#REF!</v>
      </c>
      <c r="FK81" t="e">
        <f>AND(Bills!C248,"AAAAAH3uzKY=")</f>
        <v>#VALUE!</v>
      </c>
      <c r="FL81" t="e">
        <f>AND(Bills!D248,"AAAAAH3uzKc=")</f>
        <v>#VALUE!</v>
      </c>
      <c r="FM81" t="e">
        <f>AND(Bills!E248,"AAAAAH3uzKg=")</f>
        <v>#VALUE!</v>
      </c>
      <c r="FN81" t="e">
        <f>AND(Bills!#REF!,"AAAAAH3uzKk=")</f>
        <v>#REF!</v>
      </c>
      <c r="FO81" t="e">
        <f>AND(Bills!#REF!,"AAAAAH3uzKo=")</f>
        <v>#REF!</v>
      </c>
      <c r="FP81" t="e">
        <f>AND(Bills!#REF!,"AAAAAH3uzKs=")</f>
        <v>#REF!</v>
      </c>
      <c r="FQ81" t="e">
        <f>AND(Bills!F248,"AAAAAH3uzKw=")</f>
        <v>#VALUE!</v>
      </c>
      <c r="FR81" t="e">
        <f>AND(Bills!#REF!,"AAAAAH3uzK0=")</f>
        <v>#REF!</v>
      </c>
      <c r="FS81" t="e">
        <f>AND(Bills!G248,"AAAAAH3uzK4=")</f>
        <v>#VALUE!</v>
      </c>
      <c r="FT81" t="e">
        <f>AND(Bills!H248,"AAAAAH3uzK8=")</f>
        <v>#VALUE!</v>
      </c>
      <c r="FU81" t="e">
        <f>AND(Bills!I248,"AAAAAH3uzLA=")</f>
        <v>#VALUE!</v>
      </c>
      <c r="FV81" t="e">
        <f>AND(Bills!J248,"AAAAAH3uzLE=")</f>
        <v>#VALUE!</v>
      </c>
      <c r="FW81" t="e">
        <f>AND(Bills!K248,"AAAAAH3uzLI=")</f>
        <v>#VALUE!</v>
      </c>
      <c r="FX81" t="e">
        <f>AND(Bills!L248,"AAAAAH3uzLM=")</f>
        <v>#VALUE!</v>
      </c>
      <c r="FY81" t="e">
        <f>AND(Bills!#REF!,"AAAAAH3uzLQ=")</f>
        <v>#REF!</v>
      </c>
      <c r="FZ81" t="e">
        <f>AND(Bills!M248,"AAAAAH3uzLU=")</f>
        <v>#VALUE!</v>
      </c>
      <c r="GA81" t="e">
        <f>AND(Bills!N248,"AAAAAH3uzLY=")</f>
        <v>#VALUE!</v>
      </c>
      <c r="GB81" t="e">
        <f>AND(Bills!O248,"AAAAAH3uzLc=")</f>
        <v>#VALUE!</v>
      </c>
      <c r="GC81" t="e">
        <f>AND(Bills!P248,"AAAAAH3uzLg=")</f>
        <v>#VALUE!</v>
      </c>
      <c r="GD81" t="e">
        <f>AND(Bills!Q248,"AAAAAH3uzLk=")</f>
        <v>#VALUE!</v>
      </c>
      <c r="GE81" t="e">
        <f>AND(Bills!R248,"AAAAAH3uzLo=")</f>
        <v>#VALUE!</v>
      </c>
      <c r="GF81" t="e">
        <f>AND(Bills!S248,"AAAAAH3uzLs=")</f>
        <v>#VALUE!</v>
      </c>
      <c r="GG81" t="e">
        <f>AND(Bills!T248,"AAAAAH3uzLw=")</f>
        <v>#VALUE!</v>
      </c>
      <c r="GH81" t="e">
        <f>AND(Bills!#REF!,"AAAAAH3uzL0=")</f>
        <v>#REF!</v>
      </c>
      <c r="GI81" t="e">
        <f>AND(Bills!U248,"AAAAAH3uzL4=")</f>
        <v>#VALUE!</v>
      </c>
      <c r="GJ81" t="e">
        <f>AND(Bills!V248,"AAAAAH3uzL8=")</f>
        <v>#VALUE!</v>
      </c>
      <c r="GK81" t="e">
        <f>AND(Bills!W248,"AAAAAH3uzMA=")</f>
        <v>#VALUE!</v>
      </c>
      <c r="GL81" t="e">
        <f>AND(Bills!#REF!,"AAAAAH3uzME=")</f>
        <v>#REF!</v>
      </c>
      <c r="GM81" t="e">
        <f>AND(Bills!#REF!,"AAAAAH3uzMI=")</f>
        <v>#REF!</v>
      </c>
      <c r="GN81" t="e">
        <f>AND(Bills!Y248,"AAAAAH3uzMM=")</f>
        <v>#VALUE!</v>
      </c>
      <c r="GO81" t="e">
        <f>AND(Bills!Z248,"AAAAAH3uzMQ=")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AND(Bills!AA248,"AAAAAH3uzM4=")</f>
        <v>#VALUE!</v>
      </c>
      <c r="GZ81" t="e">
        <f>AND(Bills!AB248,"AAAAAH3uzM8=")</f>
        <v>#VALUE!</v>
      </c>
      <c r="HA81" t="e">
        <f>AND(Bills!#REF!,"AAAAAH3uzNA=")</f>
        <v>#REF!</v>
      </c>
      <c r="HB81" t="e">
        <f>AND(Bills!#REF!,"AAAAAH3uzNE=")</f>
        <v>#REF!</v>
      </c>
      <c r="HC81" t="e">
        <f>AND(Bills!#REF!,"AAAAAH3uzNI=")</f>
        <v>#REF!</v>
      </c>
      <c r="HD81" t="e">
        <f>AND(Bills!AC248,"AAAAAH3uzNM=")</f>
        <v>#VALUE!</v>
      </c>
      <c r="HE81" t="e">
        <f>AND(Bills!AD248,"AAAAAH3uzNQ=")</f>
        <v>#VALUE!</v>
      </c>
      <c r="HF81" t="e">
        <f>AND(Bills!#REF!,"AAAAAH3uzNU=")</f>
        <v>#REF!</v>
      </c>
      <c r="HG81">
        <f>IF(Bills!249:249,"AAAAAH3uzNY=",0)</f>
        <v>0</v>
      </c>
      <c r="HH81" t="e">
        <f>AND(Bills!B249,"AAAAAH3uzNc=")</f>
        <v>#VALUE!</v>
      </c>
      <c r="HI81" t="e">
        <f>AND(Bills!#REF!,"AAAAAH3uzNg=")</f>
        <v>#REF!</v>
      </c>
      <c r="HJ81" t="e">
        <f>AND(Bills!C249,"AAAAAH3uzNk=")</f>
        <v>#VALUE!</v>
      </c>
      <c r="HK81" t="e">
        <f>AND(Bills!D249,"AAAAAH3uzNo=")</f>
        <v>#VALUE!</v>
      </c>
      <c r="HL81" t="e">
        <f>AND(Bills!E249,"AAAAAH3uzNs=")</f>
        <v>#VALUE!</v>
      </c>
      <c r="HM81" t="e">
        <f>AND(Bills!#REF!,"AAAAAH3uzNw=")</f>
        <v>#REF!</v>
      </c>
      <c r="HN81" t="e">
        <f>AND(Bills!#REF!,"AAAAAH3uzN0=")</f>
        <v>#REF!</v>
      </c>
      <c r="HO81" t="e">
        <f>AND(Bills!#REF!,"AAAAAH3uzN4=")</f>
        <v>#REF!</v>
      </c>
      <c r="HP81" t="e">
        <f>AND(Bills!F249,"AAAAAH3uzN8=")</f>
        <v>#VALUE!</v>
      </c>
      <c r="HQ81" t="e">
        <f>AND(Bills!#REF!,"AAAAAH3uzOA=")</f>
        <v>#REF!</v>
      </c>
      <c r="HR81" t="e">
        <f>AND(Bills!G249,"AAAAAH3uzOE=")</f>
        <v>#VALUE!</v>
      </c>
      <c r="HS81" t="e">
        <f>AND(Bills!H249,"AAAAAH3uzOI=")</f>
        <v>#VALUE!</v>
      </c>
      <c r="HT81" t="e">
        <f>AND(Bills!I249,"AAAAAH3uzOM=")</f>
        <v>#VALUE!</v>
      </c>
      <c r="HU81" t="e">
        <f>AND(Bills!J249,"AAAAAH3uzOQ=")</f>
        <v>#VALUE!</v>
      </c>
      <c r="HV81" t="e">
        <f>AND(Bills!K249,"AAAAAH3uzOU=")</f>
        <v>#VALUE!</v>
      </c>
      <c r="HW81" t="e">
        <f>AND(Bills!L249,"AAAAAH3uzOY=")</f>
        <v>#VALUE!</v>
      </c>
      <c r="HX81" t="e">
        <f>AND(Bills!#REF!,"AAAAAH3uzOc=")</f>
        <v>#REF!</v>
      </c>
      <c r="HY81" t="e">
        <f>AND(Bills!M249,"AAAAAH3uzOg=")</f>
        <v>#VALUE!</v>
      </c>
      <c r="HZ81" t="e">
        <f>AND(Bills!N249,"AAAAAH3uzOk=")</f>
        <v>#VALUE!</v>
      </c>
      <c r="IA81" t="e">
        <f>AND(Bills!O249,"AAAAAH3uzOo=")</f>
        <v>#VALUE!</v>
      </c>
      <c r="IB81" t="e">
        <f>AND(Bills!P249,"AAAAAH3uzOs=")</f>
        <v>#VALUE!</v>
      </c>
      <c r="IC81" t="e">
        <f>AND(Bills!Q249,"AAAAAH3uzOw=")</f>
        <v>#VALUE!</v>
      </c>
      <c r="ID81" t="e">
        <f>AND(Bills!R249,"AAAAAH3uzO0=")</f>
        <v>#VALUE!</v>
      </c>
      <c r="IE81" t="e">
        <f>AND(Bills!S249,"AAAAAH3uzO4=")</f>
        <v>#VALUE!</v>
      </c>
      <c r="IF81" t="e">
        <f>AND(Bills!T249,"AAAAAH3uzO8=")</f>
        <v>#VALUE!</v>
      </c>
      <c r="IG81" t="e">
        <f>AND(Bills!#REF!,"AAAAAH3uzPA=")</f>
        <v>#REF!</v>
      </c>
      <c r="IH81" t="e">
        <f>AND(Bills!U249,"AAAAAH3uzPE=")</f>
        <v>#VALUE!</v>
      </c>
      <c r="II81" t="e">
        <f>AND(Bills!V249,"AAAAAH3uzPI=")</f>
        <v>#VALUE!</v>
      </c>
      <c r="IJ81" t="e">
        <f>AND(Bills!W249,"AAAAAH3uzPM=")</f>
        <v>#VALUE!</v>
      </c>
      <c r="IK81" t="e">
        <f>AND(Bills!#REF!,"AAAAAH3uzPQ=")</f>
        <v>#REF!</v>
      </c>
      <c r="IL81" t="e">
        <f>AND(Bills!#REF!,"AAAAAH3uzPU=")</f>
        <v>#REF!</v>
      </c>
      <c r="IM81" t="e">
        <f>AND(Bills!Y249,"AAAAAH3uzPY=")</f>
        <v>#VALUE!</v>
      </c>
      <c r="IN81" t="e">
        <f>AND(Bills!Z249,"AAAAAH3uzPc=")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AND(Bills!AA249,"AAAAADvPYwE=")</f>
        <v>#VALUE!</v>
      </c>
      <c r="C82" t="e">
        <f>AND(Bills!AB249,"AAAAADvPYwI=")</f>
        <v>#VALUE!</v>
      </c>
      <c r="D82" t="e">
        <f>AND(Bills!#REF!,"AAAAADvPYwM=")</f>
        <v>#REF!</v>
      </c>
      <c r="E82" t="e">
        <f>AND(Bills!#REF!,"AAAAADvPYwQ=")</f>
        <v>#REF!</v>
      </c>
      <c r="F82" t="e">
        <f>AND(Bills!#REF!,"AAAAADvPYwU=")</f>
        <v>#REF!</v>
      </c>
      <c r="G82" t="e">
        <f>AND(Bills!AC249,"AAAAADvPYwY=")</f>
        <v>#VALUE!</v>
      </c>
      <c r="H82" t="e">
        <f>AND(Bills!AD249,"AAAAADvPYwc=")</f>
        <v>#VALUE!</v>
      </c>
      <c r="I82" t="e">
        <f>AND(Bills!#REF!,"AAAAADvPYwg=")</f>
        <v>#REF!</v>
      </c>
      <c r="J82">
        <f>IF(Bills!250:250,"AAAAADvPYwk=",0)</f>
        <v>0</v>
      </c>
      <c r="K82" t="e">
        <f>AND(Bills!B250,"AAAAADvPYwo=")</f>
        <v>#VALUE!</v>
      </c>
      <c r="L82" t="e">
        <f>AND(Bills!#REF!,"AAAAADvPYws=")</f>
        <v>#REF!</v>
      </c>
      <c r="M82" t="e">
        <f>AND(Bills!C250,"AAAAADvPYww=")</f>
        <v>#VALUE!</v>
      </c>
      <c r="N82" t="e">
        <f>AND(Bills!D250,"AAAAADvPYw0=")</f>
        <v>#VALUE!</v>
      </c>
      <c r="O82" t="e">
        <f>AND(Bills!E250,"AAAAADvPYw4=")</f>
        <v>#VALUE!</v>
      </c>
      <c r="P82" t="e">
        <f>AND(Bills!#REF!,"AAAAADvPYw8=")</f>
        <v>#REF!</v>
      </c>
      <c r="Q82" t="e">
        <f>AND(Bills!#REF!,"AAAAADvPYxA=")</f>
        <v>#REF!</v>
      </c>
      <c r="R82" t="e">
        <f>AND(Bills!#REF!,"AAAAADvPYxE=")</f>
        <v>#REF!</v>
      </c>
      <c r="S82" t="e">
        <f>AND(Bills!F250,"AAAAADvPYxI=")</f>
        <v>#VALUE!</v>
      </c>
      <c r="T82" t="e">
        <f>AND(Bills!#REF!,"AAAAADvPYxM=")</f>
        <v>#REF!</v>
      </c>
      <c r="U82" t="e">
        <f>AND(Bills!G250,"AAAAADvPYxQ=")</f>
        <v>#VALUE!</v>
      </c>
      <c r="V82" t="e">
        <f>AND(Bills!H250,"AAAAADvPYxU=")</f>
        <v>#VALUE!</v>
      </c>
      <c r="W82" t="e">
        <f>AND(Bills!I250,"AAAAADvPYxY=")</f>
        <v>#VALUE!</v>
      </c>
      <c r="X82" t="e">
        <f>AND(Bills!J250,"AAAAADvPYxc=")</f>
        <v>#VALUE!</v>
      </c>
      <c r="Y82" t="e">
        <f>AND(Bills!K250,"AAAAADvPYxg=")</f>
        <v>#VALUE!</v>
      </c>
      <c r="Z82" t="e">
        <f>AND(Bills!L250,"AAAAADvPYxk=")</f>
        <v>#VALUE!</v>
      </c>
      <c r="AA82" t="e">
        <f>AND(Bills!#REF!,"AAAAADvPYxo=")</f>
        <v>#REF!</v>
      </c>
      <c r="AB82" t="e">
        <f>AND(Bills!M250,"AAAAADvPYxs=")</f>
        <v>#VALUE!</v>
      </c>
      <c r="AC82" t="e">
        <f>AND(Bills!N250,"AAAAADvPYxw=")</f>
        <v>#VALUE!</v>
      </c>
      <c r="AD82" t="e">
        <f>AND(Bills!O250,"AAAAADvPYx0=")</f>
        <v>#VALUE!</v>
      </c>
      <c r="AE82" t="e">
        <f>AND(Bills!P250,"AAAAADvPYx4=")</f>
        <v>#VALUE!</v>
      </c>
      <c r="AF82" t="e">
        <f>AND(Bills!Q250,"AAAAADvPYx8=")</f>
        <v>#VALUE!</v>
      </c>
      <c r="AG82" t="e">
        <f>AND(Bills!R250,"AAAAADvPYyA=")</f>
        <v>#VALUE!</v>
      </c>
      <c r="AH82" t="e">
        <f>AND(Bills!S250,"AAAAADvPYyE=")</f>
        <v>#VALUE!</v>
      </c>
      <c r="AI82" t="e">
        <f>AND(Bills!T250,"AAAAADvPYyI=")</f>
        <v>#VALUE!</v>
      </c>
      <c r="AJ82" t="e">
        <f>AND(Bills!#REF!,"AAAAADvPYyM=")</f>
        <v>#REF!</v>
      </c>
      <c r="AK82" t="e">
        <f>AND(Bills!U250,"AAAAADvPYyQ=")</f>
        <v>#VALUE!</v>
      </c>
      <c r="AL82" t="e">
        <f>AND(Bills!V250,"AAAAADvPYyU=")</f>
        <v>#VALUE!</v>
      </c>
      <c r="AM82" t="e">
        <f>AND(Bills!W250,"AAAAADvPYyY=")</f>
        <v>#VALUE!</v>
      </c>
      <c r="AN82" t="e">
        <f>AND(Bills!#REF!,"AAAAADvPYyc=")</f>
        <v>#REF!</v>
      </c>
      <c r="AO82" t="e">
        <f>AND(Bills!#REF!,"AAAAADvPYyg=")</f>
        <v>#REF!</v>
      </c>
      <c r="AP82" t="e">
        <f>AND(Bills!Y250,"AAAAADvPYyk=")</f>
        <v>#VALUE!</v>
      </c>
      <c r="AQ82" t="e">
        <f>AND(Bills!Z250,"AAAAADvPYyo=")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AND(Bills!AA250,"AAAAADvPYzQ=")</f>
        <v>#VALUE!</v>
      </c>
      <c r="BB82" t="e">
        <f>AND(Bills!AB250,"AAAAADvPYzU=")</f>
        <v>#VALUE!</v>
      </c>
      <c r="BC82" t="e">
        <f>AND(Bills!#REF!,"AAAAADvPYzY=")</f>
        <v>#REF!</v>
      </c>
      <c r="BD82" t="e">
        <f>AND(Bills!#REF!,"AAAAADvPYzc=")</f>
        <v>#REF!</v>
      </c>
      <c r="BE82" t="e">
        <f>AND(Bills!#REF!,"AAAAADvPYzg=")</f>
        <v>#REF!</v>
      </c>
      <c r="BF82" t="e">
        <f>AND(Bills!AC250,"AAAAADvPYzk=")</f>
        <v>#VALUE!</v>
      </c>
      <c r="BG82" t="e">
        <f>AND(Bills!AD250,"AAAAADvPYzo=")</f>
        <v>#VALUE!</v>
      </c>
      <c r="BH82" t="e">
        <f>AND(Bills!#REF!,"AAAAADvPYzs=")</f>
        <v>#REF!</v>
      </c>
      <c r="BI82">
        <f>IF(Bills!251:251,"AAAAADvPYzw=",0)</f>
        <v>0</v>
      </c>
      <c r="BJ82" t="e">
        <f>AND(Bills!B251,"AAAAADvPYz0=")</f>
        <v>#VALUE!</v>
      </c>
      <c r="BK82" t="e">
        <f>AND(Bills!#REF!,"AAAAADvPYz4=")</f>
        <v>#REF!</v>
      </c>
      <c r="BL82" t="e">
        <f>AND(Bills!C251,"AAAAADvPYz8=")</f>
        <v>#VALUE!</v>
      </c>
      <c r="BM82" t="e">
        <f>AND(Bills!D251,"AAAAADvPY0A=")</f>
        <v>#VALUE!</v>
      </c>
      <c r="BN82" t="e">
        <f>AND(Bills!E251,"AAAAADvPY0E=")</f>
        <v>#VALUE!</v>
      </c>
      <c r="BO82" t="e">
        <f>AND(Bills!#REF!,"AAAAADvPY0I=")</f>
        <v>#REF!</v>
      </c>
      <c r="BP82" t="e">
        <f>AND(Bills!#REF!,"AAAAADvPY0M=")</f>
        <v>#REF!</v>
      </c>
      <c r="BQ82" t="e">
        <f>AND(Bills!#REF!,"AAAAADvPY0Q=")</f>
        <v>#REF!</v>
      </c>
      <c r="BR82" t="e">
        <f>AND(Bills!F251,"AAAAADvPY0U=")</f>
        <v>#VALUE!</v>
      </c>
      <c r="BS82" t="e">
        <f>AND(Bills!#REF!,"AAAAADvPY0Y=")</f>
        <v>#REF!</v>
      </c>
      <c r="BT82" t="e">
        <f>AND(Bills!G251,"AAAAADvPY0c=")</f>
        <v>#VALUE!</v>
      </c>
      <c r="BU82" t="e">
        <f>AND(Bills!H251,"AAAAADvPY0g=")</f>
        <v>#VALUE!</v>
      </c>
      <c r="BV82" t="e">
        <f>AND(Bills!I251,"AAAAADvPY0k=")</f>
        <v>#VALUE!</v>
      </c>
      <c r="BW82" t="e">
        <f>AND(Bills!J251,"AAAAADvPY0o=")</f>
        <v>#VALUE!</v>
      </c>
      <c r="BX82" t="e">
        <f>AND(Bills!K251,"AAAAADvPY0s=")</f>
        <v>#VALUE!</v>
      </c>
      <c r="BY82" t="e">
        <f>AND(Bills!L251,"AAAAADvPY0w=")</f>
        <v>#VALUE!</v>
      </c>
      <c r="BZ82" t="e">
        <f>AND(Bills!#REF!,"AAAAADvPY00=")</f>
        <v>#REF!</v>
      </c>
      <c r="CA82" t="e">
        <f>AND(Bills!M251,"AAAAADvPY04=")</f>
        <v>#VALUE!</v>
      </c>
      <c r="CB82" t="e">
        <f>AND(Bills!N251,"AAAAADvPY08=")</f>
        <v>#VALUE!</v>
      </c>
      <c r="CC82" t="e">
        <f>AND(Bills!O251,"AAAAADvPY1A=")</f>
        <v>#VALUE!</v>
      </c>
      <c r="CD82" t="e">
        <f>AND(Bills!P251,"AAAAADvPY1E=")</f>
        <v>#VALUE!</v>
      </c>
      <c r="CE82" t="e">
        <f>AND(Bills!Q251,"AAAAADvPY1I=")</f>
        <v>#VALUE!</v>
      </c>
      <c r="CF82" t="e">
        <f>AND(Bills!R251,"AAAAADvPY1M=")</f>
        <v>#VALUE!</v>
      </c>
      <c r="CG82" t="e">
        <f>AND(Bills!S251,"AAAAADvPY1Q=")</f>
        <v>#VALUE!</v>
      </c>
      <c r="CH82" t="e">
        <f>AND(Bills!T251,"AAAAADvPY1U=")</f>
        <v>#VALUE!</v>
      </c>
      <c r="CI82" t="e">
        <f>AND(Bills!#REF!,"AAAAADvPY1Y=")</f>
        <v>#REF!</v>
      </c>
      <c r="CJ82" t="e">
        <f>AND(Bills!U251,"AAAAADvPY1c=")</f>
        <v>#VALUE!</v>
      </c>
      <c r="CK82" t="e">
        <f>AND(Bills!V251,"AAAAADvPY1g=")</f>
        <v>#VALUE!</v>
      </c>
      <c r="CL82" t="e">
        <f>AND(Bills!W251,"AAAAADvPY1k=")</f>
        <v>#VALUE!</v>
      </c>
      <c r="CM82" t="e">
        <f>AND(Bills!#REF!,"AAAAADvPY1o=")</f>
        <v>#REF!</v>
      </c>
      <c r="CN82" t="e">
        <f>AND(Bills!#REF!,"AAAAADvPY1s=")</f>
        <v>#REF!</v>
      </c>
      <c r="CO82" t="e">
        <f>AND(Bills!Y251,"AAAAADvPY1w=")</f>
        <v>#VALUE!</v>
      </c>
      <c r="CP82" t="e">
        <f>AND(Bills!Z251,"AAAAADvPY10=")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AND(Bills!AA251,"AAAAADvPY2c=")</f>
        <v>#VALUE!</v>
      </c>
      <c r="DA82" t="e">
        <f>AND(Bills!AB251,"AAAAADvPY2g=")</f>
        <v>#VALUE!</v>
      </c>
      <c r="DB82" t="e">
        <f>AND(Bills!#REF!,"AAAAADvPY2k=")</f>
        <v>#REF!</v>
      </c>
      <c r="DC82" t="e">
        <f>AND(Bills!#REF!,"AAAAADvPY2o=")</f>
        <v>#REF!</v>
      </c>
      <c r="DD82" t="e">
        <f>AND(Bills!#REF!,"AAAAADvPY2s=")</f>
        <v>#REF!</v>
      </c>
      <c r="DE82" t="e">
        <f>AND(Bills!AC251,"AAAAADvPY2w=")</f>
        <v>#VALUE!</v>
      </c>
      <c r="DF82" t="e">
        <f>AND(Bills!AD251,"AAAAADvPY20=")</f>
        <v>#VALUE!</v>
      </c>
      <c r="DG82" t="e">
        <f>AND(Bills!#REF!,"AAAAADvPY24=")</f>
        <v>#REF!</v>
      </c>
      <c r="DH82">
        <f>IF(Bills!252:252,"AAAAADvPY28=",0)</f>
        <v>0</v>
      </c>
      <c r="DI82" t="e">
        <f>AND(Bills!B252,"AAAAADvPY3A=")</f>
        <v>#VALUE!</v>
      </c>
      <c r="DJ82" t="e">
        <f>AND(Bills!#REF!,"AAAAADvPY3E=")</f>
        <v>#REF!</v>
      </c>
      <c r="DK82" t="e">
        <f>AND(Bills!C252,"AAAAADvPY3I=")</f>
        <v>#VALUE!</v>
      </c>
      <c r="DL82" t="e">
        <f>AND(Bills!D252,"AAAAADvPY3M=")</f>
        <v>#VALUE!</v>
      </c>
      <c r="DM82" t="e">
        <f>AND(Bills!E252,"AAAAADvPY3Q=")</f>
        <v>#VALUE!</v>
      </c>
      <c r="DN82" t="e">
        <f>AND(Bills!#REF!,"AAAAADvPY3U=")</f>
        <v>#REF!</v>
      </c>
      <c r="DO82" t="e">
        <f>AND(Bills!#REF!,"AAAAADvPY3Y=")</f>
        <v>#REF!</v>
      </c>
      <c r="DP82" t="e">
        <f>AND(Bills!#REF!,"AAAAADvPY3c=")</f>
        <v>#REF!</v>
      </c>
      <c r="DQ82" t="e">
        <f>AND(Bills!F252,"AAAAADvPY3g=")</f>
        <v>#VALUE!</v>
      </c>
      <c r="DR82" t="e">
        <f>AND(Bills!#REF!,"AAAAADvPY3k=")</f>
        <v>#REF!</v>
      </c>
      <c r="DS82" t="e">
        <f>AND(Bills!G252,"AAAAADvPY3o=")</f>
        <v>#VALUE!</v>
      </c>
      <c r="DT82" t="e">
        <f>AND(Bills!H252,"AAAAADvPY3s=")</f>
        <v>#VALUE!</v>
      </c>
      <c r="DU82" t="e">
        <f>AND(Bills!I252,"AAAAADvPY3w=")</f>
        <v>#VALUE!</v>
      </c>
      <c r="DV82" t="e">
        <f>AND(Bills!J252,"AAAAADvPY30=")</f>
        <v>#VALUE!</v>
      </c>
      <c r="DW82" t="e">
        <f>AND(Bills!K252,"AAAAADvPY34=")</f>
        <v>#VALUE!</v>
      </c>
      <c r="DX82" t="e">
        <f>AND(Bills!L252,"AAAAADvPY38=")</f>
        <v>#VALUE!</v>
      </c>
      <c r="DY82" t="e">
        <f>AND(Bills!#REF!,"AAAAADvPY4A=")</f>
        <v>#REF!</v>
      </c>
      <c r="DZ82" t="e">
        <f>AND(Bills!M252,"AAAAADvPY4E=")</f>
        <v>#VALUE!</v>
      </c>
      <c r="EA82" t="e">
        <f>AND(Bills!N252,"AAAAADvPY4I=")</f>
        <v>#VALUE!</v>
      </c>
      <c r="EB82" t="e">
        <f>AND(Bills!O252,"AAAAADvPY4M=")</f>
        <v>#VALUE!</v>
      </c>
      <c r="EC82" t="e">
        <f>AND(Bills!P252,"AAAAADvPY4Q=")</f>
        <v>#VALUE!</v>
      </c>
      <c r="ED82" t="e">
        <f>AND(Bills!Q252,"AAAAADvPY4U=")</f>
        <v>#VALUE!</v>
      </c>
      <c r="EE82" t="e">
        <f>AND(Bills!R252,"AAAAADvPY4Y=")</f>
        <v>#VALUE!</v>
      </c>
      <c r="EF82" t="e">
        <f>AND(Bills!S252,"AAAAADvPY4c=")</f>
        <v>#VALUE!</v>
      </c>
      <c r="EG82" t="e">
        <f>AND(Bills!T252,"AAAAADvPY4g=")</f>
        <v>#VALUE!</v>
      </c>
      <c r="EH82" t="e">
        <f>AND(Bills!#REF!,"AAAAADvPY4k=")</f>
        <v>#REF!</v>
      </c>
      <c r="EI82" t="e">
        <f>AND(Bills!U252,"AAAAADvPY4o=")</f>
        <v>#VALUE!</v>
      </c>
      <c r="EJ82" t="e">
        <f>AND(Bills!V252,"AAAAADvPY4s=")</f>
        <v>#VALUE!</v>
      </c>
      <c r="EK82" t="e">
        <f>AND(Bills!W252,"AAAAADvPY4w=")</f>
        <v>#VALUE!</v>
      </c>
      <c r="EL82" t="e">
        <f>AND(Bills!#REF!,"AAAAADvPY40=")</f>
        <v>#REF!</v>
      </c>
      <c r="EM82" t="e">
        <f>AND(Bills!#REF!,"AAAAADvPY44=")</f>
        <v>#REF!</v>
      </c>
      <c r="EN82" t="e">
        <f>AND(Bills!Y252,"AAAAADvPY48=")</f>
        <v>#VALUE!</v>
      </c>
      <c r="EO82" t="e">
        <f>AND(Bills!Z252,"AAAAADvPY5A=")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AND(Bills!AA252,"AAAAADvPY5o=")</f>
        <v>#VALUE!</v>
      </c>
      <c r="EZ82" t="e">
        <f>AND(Bills!AB252,"AAAAADvPY5s=")</f>
        <v>#VALUE!</v>
      </c>
      <c r="FA82" t="e">
        <f>AND(Bills!#REF!,"AAAAADvPY5w=")</f>
        <v>#REF!</v>
      </c>
      <c r="FB82" t="e">
        <f>AND(Bills!#REF!,"AAAAADvPY50=")</f>
        <v>#REF!</v>
      </c>
      <c r="FC82" t="e">
        <f>AND(Bills!#REF!,"AAAAADvPY54=")</f>
        <v>#REF!</v>
      </c>
      <c r="FD82" t="e">
        <f>AND(Bills!AC252,"AAAAADvPY58=")</f>
        <v>#VALUE!</v>
      </c>
      <c r="FE82" t="e">
        <f>AND(Bills!AD252,"AAAAADvPY6A=")</f>
        <v>#VALUE!</v>
      </c>
      <c r="FF82" t="e">
        <f>AND(Bills!#REF!,"AAAAADvPY6E=")</f>
        <v>#REF!</v>
      </c>
      <c r="FG82">
        <f>IF(Bills!253:253,"AAAAADvPY6I=",0)</f>
        <v>0</v>
      </c>
      <c r="FH82" t="e">
        <f>AND(Bills!B253,"AAAAADvPY6M=")</f>
        <v>#VALUE!</v>
      </c>
      <c r="FI82" t="e">
        <f>AND(Bills!#REF!,"AAAAADvPY6Q=")</f>
        <v>#REF!</v>
      </c>
      <c r="FJ82" t="e">
        <f>AND(Bills!C253,"AAAAADvPY6U=")</f>
        <v>#VALUE!</v>
      </c>
      <c r="FK82" t="e">
        <f>AND(Bills!D253,"AAAAADvPY6Y=")</f>
        <v>#VALUE!</v>
      </c>
      <c r="FL82" t="e">
        <f>AND(Bills!E253,"AAAAADvPY6c=")</f>
        <v>#VALUE!</v>
      </c>
      <c r="FM82" t="e">
        <f>AND(Bills!#REF!,"AAAAADvPY6g=")</f>
        <v>#REF!</v>
      </c>
      <c r="FN82" t="e">
        <f>AND(Bills!#REF!,"AAAAADvPY6k=")</f>
        <v>#REF!</v>
      </c>
      <c r="FO82" t="e">
        <f>AND(Bills!#REF!,"AAAAADvPY6o=")</f>
        <v>#REF!</v>
      </c>
      <c r="FP82" t="e">
        <f>AND(Bills!F253,"AAAAADvPY6s=")</f>
        <v>#VALUE!</v>
      </c>
      <c r="FQ82" t="e">
        <f>AND(Bills!#REF!,"AAAAADvPY6w=")</f>
        <v>#REF!</v>
      </c>
      <c r="FR82" t="e">
        <f>AND(Bills!G253,"AAAAADvPY60=")</f>
        <v>#VALUE!</v>
      </c>
      <c r="FS82" t="e">
        <f>AND(Bills!H253,"AAAAADvPY64=")</f>
        <v>#VALUE!</v>
      </c>
      <c r="FT82" t="e">
        <f>AND(Bills!I253,"AAAAADvPY68=")</f>
        <v>#VALUE!</v>
      </c>
      <c r="FU82" t="e">
        <f>AND(Bills!J253,"AAAAADvPY7A=")</f>
        <v>#VALUE!</v>
      </c>
      <c r="FV82" t="e">
        <f>AND(Bills!K253,"AAAAADvPY7E=")</f>
        <v>#VALUE!</v>
      </c>
      <c r="FW82" t="e">
        <f>AND(Bills!L253,"AAAAADvPY7I=")</f>
        <v>#VALUE!</v>
      </c>
      <c r="FX82" t="e">
        <f>AND(Bills!#REF!,"AAAAADvPY7M=")</f>
        <v>#REF!</v>
      </c>
      <c r="FY82" t="e">
        <f>AND(Bills!M253,"AAAAADvPY7Q=")</f>
        <v>#VALUE!</v>
      </c>
      <c r="FZ82" t="e">
        <f>AND(Bills!N253,"AAAAADvPY7U=")</f>
        <v>#VALUE!</v>
      </c>
      <c r="GA82" t="e">
        <f>AND(Bills!O253,"AAAAADvPY7Y=")</f>
        <v>#VALUE!</v>
      </c>
      <c r="GB82" t="e">
        <f>AND(Bills!P253,"AAAAADvPY7c=")</f>
        <v>#VALUE!</v>
      </c>
      <c r="GC82" t="e">
        <f>AND(Bills!Q253,"AAAAADvPY7g=")</f>
        <v>#VALUE!</v>
      </c>
      <c r="GD82" t="e">
        <f>AND(Bills!R253,"AAAAADvPY7k=")</f>
        <v>#VALUE!</v>
      </c>
      <c r="GE82" t="e">
        <f>AND(Bills!S253,"AAAAADvPY7o=")</f>
        <v>#VALUE!</v>
      </c>
      <c r="GF82" t="e">
        <f>AND(Bills!T253,"AAAAADvPY7s=")</f>
        <v>#VALUE!</v>
      </c>
      <c r="GG82" t="e">
        <f>AND(Bills!#REF!,"AAAAADvPY7w=")</f>
        <v>#REF!</v>
      </c>
      <c r="GH82" t="e">
        <f>AND(Bills!U253,"AAAAADvPY70=")</f>
        <v>#VALUE!</v>
      </c>
      <c r="GI82" t="e">
        <f>AND(Bills!V253,"AAAAADvPY74=")</f>
        <v>#VALUE!</v>
      </c>
      <c r="GJ82" t="e">
        <f>AND(Bills!W253,"AAAAADvPY78=")</f>
        <v>#VALUE!</v>
      </c>
      <c r="GK82" t="e">
        <f>AND(Bills!#REF!,"AAAAADvPY8A=")</f>
        <v>#REF!</v>
      </c>
      <c r="GL82" t="e">
        <f>AND(Bills!#REF!,"AAAAADvPY8E=")</f>
        <v>#REF!</v>
      </c>
      <c r="GM82" t="e">
        <f>AND(Bills!Y253,"AAAAADvPY8I=")</f>
        <v>#VALUE!</v>
      </c>
      <c r="GN82" t="e">
        <f>AND(Bills!Z253,"AAAAADvPY8M=")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AND(Bills!AA253,"AAAAADvPY80=")</f>
        <v>#VALUE!</v>
      </c>
      <c r="GY82" t="e">
        <f>AND(Bills!AB253,"AAAAADvPY84=")</f>
        <v>#VALUE!</v>
      </c>
      <c r="GZ82" t="e">
        <f>AND(Bills!#REF!,"AAAAADvPY88=")</f>
        <v>#REF!</v>
      </c>
      <c r="HA82" t="e">
        <f>AND(Bills!#REF!,"AAAAADvPY9A=")</f>
        <v>#REF!</v>
      </c>
      <c r="HB82" t="e">
        <f>AND(Bills!#REF!,"AAAAADvPY9E=")</f>
        <v>#REF!</v>
      </c>
      <c r="HC82" t="e">
        <f>AND(Bills!AC253,"AAAAADvPY9I=")</f>
        <v>#VALUE!</v>
      </c>
      <c r="HD82" t="e">
        <f>AND(Bills!AD253,"AAAAADvPY9M=")</f>
        <v>#VALUE!</v>
      </c>
      <c r="HE82" t="e">
        <f>AND(Bills!#REF!,"AAAAADvPY9Q=")</f>
        <v>#REF!</v>
      </c>
      <c r="HF82">
        <f>IF(Bills!254:254,"AAAAADvPY9U=",0)</f>
        <v>0</v>
      </c>
      <c r="HG82" t="e">
        <f>AND(Bills!B254,"AAAAADvPY9Y=")</f>
        <v>#VALUE!</v>
      </c>
      <c r="HH82" t="e">
        <f>AND(Bills!#REF!,"AAAAADvPY9c=")</f>
        <v>#REF!</v>
      </c>
      <c r="HI82" t="e">
        <f>AND(Bills!C254,"AAAAADvPY9g=")</f>
        <v>#VALUE!</v>
      </c>
      <c r="HJ82" t="e">
        <f>AND(Bills!D254,"AAAAADvPY9k=")</f>
        <v>#VALUE!</v>
      </c>
      <c r="HK82" t="e">
        <f>AND(Bills!E254,"AAAAADvPY9o=")</f>
        <v>#VALUE!</v>
      </c>
      <c r="HL82" t="e">
        <f>AND(Bills!#REF!,"AAAAADvPY9s=")</f>
        <v>#REF!</v>
      </c>
      <c r="HM82" t="e">
        <f>AND(Bills!#REF!,"AAAAADvPY9w=")</f>
        <v>#REF!</v>
      </c>
      <c r="HN82" t="e">
        <f>AND(Bills!#REF!,"AAAAADvPY90=")</f>
        <v>#REF!</v>
      </c>
      <c r="HO82" t="e">
        <f>AND(Bills!F254,"AAAAADvPY94=")</f>
        <v>#VALUE!</v>
      </c>
      <c r="HP82" t="e">
        <f>AND(Bills!#REF!,"AAAAADvPY98=")</f>
        <v>#REF!</v>
      </c>
      <c r="HQ82" t="e">
        <f>AND(Bills!G254,"AAAAADvPY+A=")</f>
        <v>#VALUE!</v>
      </c>
      <c r="HR82" t="e">
        <f>AND(Bills!H254,"AAAAADvPY+E=")</f>
        <v>#VALUE!</v>
      </c>
      <c r="HS82" t="e">
        <f>AND(Bills!I254,"AAAAADvPY+I=")</f>
        <v>#VALUE!</v>
      </c>
      <c r="HT82" t="e">
        <f>AND(Bills!J254,"AAAAADvPY+M=")</f>
        <v>#VALUE!</v>
      </c>
      <c r="HU82" t="e">
        <f>AND(Bills!K254,"AAAAADvPY+Q=")</f>
        <v>#VALUE!</v>
      </c>
      <c r="HV82" t="e">
        <f>AND(Bills!L254,"AAAAADvPY+U=")</f>
        <v>#VALUE!</v>
      </c>
      <c r="HW82" t="e">
        <f>AND(Bills!#REF!,"AAAAADvPY+Y=")</f>
        <v>#REF!</v>
      </c>
      <c r="HX82" t="e">
        <f>AND(Bills!M254,"AAAAADvPY+c=")</f>
        <v>#VALUE!</v>
      </c>
      <c r="HY82" t="e">
        <f>AND(Bills!N254,"AAAAADvPY+g=")</f>
        <v>#VALUE!</v>
      </c>
      <c r="HZ82" t="e">
        <f>AND(Bills!O254,"AAAAADvPY+k=")</f>
        <v>#VALUE!</v>
      </c>
      <c r="IA82" t="e">
        <f>AND(Bills!P254,"AAAAADvPY+o=")</f>
        <v>#VALUE!</v>
      </c>
      <c r="IB82" t="e">
        <f>AND(Bills!Q254,"AAAAADvPY+s=")</f>
        <v>#VALUE!</v>
      </c>
      <c r="IC82" t="e">
        <f>AND(Bills!R254,"AAAAADvPY+w=")</f>
        <v>#VALUE!</v>
      </c>
      <c r="ID82" t="e">
        <f>AND(Bills!S254,"AAAAADvPY+0=")</f>
        <v>#VALUE!</v>
      </c>
      <c r="IE82" t="e">
        <f>AND(Bills!T254,"AAAAADvPY+4=")</f>
        <v>#VALUE!</v>
      </c>
      <c r="IF82" t="e">
        <f>AND(Bills!#REF!,"AAAAADvPY+8=")</f>
        <v>#REF!</v>
      </c>
      <c r="IG82" t="e">
        <f>AND(Bills!U254,"AAAAADvPY/A=")</f>
        <v>#VALUE!</v>
      </c>
      <c r="IH82" t="e">
        <f>AND(Bills!V254,"AAAAADvPY/E=")</f>
        <v>#VALUE!</v>
      </c>
      <c r="II82" t="e">
        <f>AND(Bills!W254,"AAAAADvPY/I=")</f>
        <v>#VALUE!</v>
      </c>
      <c r="IJ82" t="e">
        <f>AND(Bills!#REF!,"AAAAADvPY/M=")</f>
        <v>#REF!</v>
      </c>
      <c r="IK82" t="e">
        <f>AND(Bills!#REF!,"AAAAADvPY/Q=")</f>
        <v>#REF!</v>
      </c>
      <c r="IL82" t="e">
        <f>AND(Bills!Y254,"AAAAADvPY/U=")</f>
        <v>#VALUE!</v>
      </c>
      <c r="IM82" t="e">
        <f>AND(Bills!Z254,"AAAAADvPY/Y=")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AND(Bills!AA254,"AAAAAD+8twA=")</f>
        <v>#VALUE!</v>
      </c>
      <c r="B83" t="e">
        <f>AND(Bills!AB254,"AAAAAD+8twE=")</f>
        <v>#VALUE!</v>
      </c>
      <c r="C83" t="e">
        <f>AND(Bills!#REF!,"AAAAAD+8twI=")</f>
        <v>#REF!</v>
      </c>
      <c r="D83" t="e">
        <f>AND(Bills!#REF!,"AAAAAD+8twM=")</f>
        <v>#REF!</v>
      </c>
      <c r="E83" t="e">
        <f>AND(Bills!#REF!,"AAAAAD+8twQ=")</f>
        <v>#REF!</v>
      </c>
      <c r="F83" t="e">
        <f>AND(Bills!AC254,"AAAAAD+8twU=")</f>
        <v>#VALUE!</v>
      </c>
      <c r="G83" t="e">
        <f>AND(Bills!AD254,"AAAAAD+8twY=")</f>
        <v>#VALUE!</v>
      </c>
      <c r="H83" t="e">
        <f>AND(Bills!#REF!,"AAAAAD+8twc=")</f>
        <v>#REF!</v>
      </c>
      <c r="I83">
        <f>IF(Bills!255:255,"AAAAAD+8twg=",0)</f>
        <v>0</v>
      </c>
      <c r="J83" t="e">
        <f>AND(Bills!B255,"AAAAAD+8twk=")</f>
        <v>#VALUE!</v>
      </c>
      <c r="K83" t="e">
        <f>AND(Bills!#REF!,"AAAAAD+8two=")</f>
        <v>#REF!</v>
      </c>
      <c r="L83" t="e">
        <f>AND(Bills!C255,"AAAAAD+8tws=")</f>
        <v>#VALUE!</v>
      </c>
      <c r="M83" t="e">
        <f>AND(Bills!D255,"AAAAAD+8tww=")</f>
        <v>#VALUE!</v>
      </c>
      <c r="N83" t="e">
        <f>AND(Bills!E255,"AAAAAD+8tw0=")</f>
        <v>#VALUE!</v>
      </c>
      <c r="O83" t="e">
        <f>AND(Bills!#REF!,"AAAAAD+8tw4=")</f>
        <v>#REF!</v>
      </c>
      <c r="P83" t="e">
        <f>AND(Bills!#REF!,"AAAAAD+8tw8=")</f>
        <v>#REF!</v>
      </c>
      <c r="Q83" t="e">
        <f>AND(Bills!#REF!,"AAAAAD+8txA=")</f>
        <v>#REF!</v>
      </c>
      <c r="R83" t="e">
        <f>AND(Bills!F255,"AAAAAD+8txE=")</f>
        <v>#VALUE!</v>
      </c>
      <c r="S83" t="e">
        <f>AND(Bills!#REF!,"AAAAAD+8txI=")</f>
        <v>#REF!</v>
      </c>
      <c r="T83" t="e">
        <f>AND(Bills!G255,"AAAAAD+8txM=")</f>
        <v>#VALUE!</v>
      </c>
      <c r="U83" t="e">
        <f>AND(Bills!H255,"AAAAAD+8txQ=")</f>
        <v>#VALUE!</v>
      </c>
      <c r="V83" t="e">
        <f>AND(Bills!I255,"AAAAAD+8txU=")</f>
        <v>#VALUE!</v>
      </c>
      <c r="W83" t="e">
        <f>AND(Bills!J255,"AAAAAD+8txY=")</f>
        <v>#VALUE!</v>
      </c>
      <c r="X83" t="e">
        <f>AND(Bills!K255,"AAAAAD+8txc=")</f>
        <v>#VALUE!</v>
      </c>
      <c r="Y83" t="e">
        <f>AND(Bills!L255,"AAAAAD+8txg=")</f>
        <v>#VALUE!</v>
      </c>
      <c r="Z83" t="e">
        <f>AND(Bills!#REF!,"AAAAAD+8txk=")</f>
        <v>#REF!</v>
      </c>
      <c r="AA83" t="e">
        <f>AND(Bills!M255,"AAAAAD+8txo=")</f>
        <v>#VALUE!</v>
      </c>
      <c r="AB83" t="e">
        <f>AND(Bills!N255,"AAAAAD+8txs=")</f>
        <v>#VALUE!</v>
      </c>
      <c r="AC83" t="e">
        <f>AND(Bills!O255,"AAAAAD+8txw=")</f>
        <v>#VALUE!</v>
      </c>
      <c r="AD83" t="e">
        <f>AND(Bills!P255,"AAAAAD+8tx0=")</f>
        <v>#VALUE!</v>
      </c>
      <c r="AE83" t="e">
        <f>AND(Bills!Q255,"AAAAAD+8tx4=")</f>
        <v>#VALUE!</v>
      </c>
      <c r="AF83" t="e">
        <f>AND(Bills!R255,"AAAAAD+8tx8=")</f>
        <v>#VALUE!</v>
      </c>
      <c r="AG83" t="e">
        <f>AND(Bills!S255,"AAAAAD+8tyA=")</f>
        <v>#VALUE!</v>
      </c>
      <c r="AH83" t="e">
        <f>AND(Bills!T255,"AAAAAD+8tyE=")</f>
        <v>#VALUE!</v>
      </c>
      <c r="AI83" t="e">
        <f>AND(Bills!#REF!,"AAAAAD+8tyI=")</f>
        <v>#REF!</v>
      </c>
      <c r="AJ83" t="e">
        <f>AND(Bills!U255,"AAAAAD+8tyM=")</f>
        <v>#VALUE!</v>
      </c>
      <c r="AK83" t="e">
        <f>AND(Bills!V255,"AAAAAD+8tyQ=")</f>
        <v>#VALUE!</v>
      </c>
      <c r="AL83" t="e">
        <f>AND(Bills!W255,"AAAAAD+8tyU=")</f>
        <v>#VALUE!</v>
      </c>
      <c r="AM83" t="e">
        <f>AND(Bills!#REF!,"AAAAAD+8tyY=")</f>
        <v>#REF!</v>
      </c>
      <c r="AN83" t="e">
        <f>AND(Bills!#REF!,"AAAAAD+8tyc=")</f>
        <v>#REF!</v>
      </c>
      <c r="AO83" t="e">
        <f>AND(Bills!Y255,"AAAAAD+8tyg=")</f>
        <v>#VALUE!</v>
      </c>
      <c r="AP83" t="e">
        <f>AND(Bills!Z255,"AAAAAD+8tyk=")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AND(Bills!AA255,"AAAAAD+8tzM=")</f>
        <v>#VALUE!</v>
      </c>
      <c r="BA83" t="e">
        <f>AND(Bills!AB255,"AAAAAD+8tzQ=")</f>
        <v>#VALUE!</v>
      </c>
      <c r="BB83" t="e">
        <f>AND(Bills!#REF!,"AAAAAD+8tzU=")</f>
        <v>#REF!</v>
      </c>
      <c r="BC83" t="e">
        <f>AND(Bills!#REF!,"AAAAAD+8tzY=")</f>
        <v>#REF!</v>
      </c>
      <c r="BD83" t="e">
        <f>AND(Bills!#REF!,"AAAAAD+8tzc=")</f>
        <v>#REF!</v>
      </c>
      <c r="BE83" t="e">
        <f>AND(Bills!AC255,"AAAAAD+8tzg=")</f>
        <v>#VALUE!</v>
      </c>
      <c r="BF83" t="e">
        <f>AND(Bills!AD255,"AAAAAD+8tzk=")</f>
        <v>#VALUE!</v>
      </c>
      <c r="BG83" t="e">
        <f>AND(Bills!#REF!,"AAAAAD+8tzo=")</f>
        <v>#REF!</v>
      </c>
      <c r="BH83">
        <f>IF(Bills!256:256,"AAAAAD+8tzs=",0)</f>
        <v>0</v>
      </c>
      <c r="BI83" t="e">
        <f>AND(Bills!B256,"AAAAAD+8tzw=")</f>
        <v>#VALUE!</v>
      </c>
      <c r="BJ83" t="e">
        <f>AND(Bills!#REF!,"AAAAAD+8tz0=")</f>
        <v>#REF!</v>
      </c>
      <c r="BK83" t="e">
        <f>AND(Bills!C256,"AAAAAD+8tz4=")</f>
        <v>#VALUE!</v>
      </c>
      <c r="BL83" t="e">
        <f>AND(Bills!D256,"AAAAAD+8tz8=")</f>
        <v>#VALUE!</v>
      </c>
      <c r="BM83" t="e">
        <f>AND(Bills!E256,"AAAAAD+8t0A=")</f>
        <v>#VALUE!</v>
      </c>
      <c r="BN83" t="e">
        <f>AND(Bills!#REF!,"AAAAAD+8t0E=")</f>
        <v>#REF!</v>
      </c>
      <c r="BO83" t="e">
        <f>AND(Bills!#REF!,"AAAAAD+8t0I=")</f>
        <v>#REF!</v>
      </c>
      <c r="BP83" t="e">
        <f>AND(Bills!#REF!,"AAAAAD+8t0M=")</f>
        <v>#REF!</v>
      </c>
      <c r="BQ83" t="e">
        <f>AND(Bills!F256,"AAAAAD+8t0Q=")</f>
        <v>#VALUE!</v>
      </c>
      <c r="BR83" t="e">
        <f>AND(Bills!#REF!,"AAAAAD+8t0U=")</f>
        <v>#REF!</v>
      </c>
      <c r="BS83" t="e">
        <f>AND(Bills!G256,"AAAAAD+8t0Y=")</f>
        <v>#VALUE!</v>
      </c>
      <c r="BT83" t="e">
        <f>AND(Bills!H256,"AAAAAD+8t0c=")</f>
        <v>#VALUE!</v>
      </c>
      <c r="BU83" t="e">
        <f>AND(Bills!I256,"AAAAAD+8t0g=")</f>
        <v>#VALUE!</v>
      </c>
      <c r="BV83" t="e">
        <f>AND(Bills!J256,"AAAAAD+8t0k=")</f>
        <v>#VALUE!</v>
      </c>
      <c r="BW83" t="e">
        <f>AND(Bills!K256,"AAAAAD+8t0o=")</f>
        <v>#VALUE!</v>
      </c>
      <c r="BX83" t="e">
        <f>AND(Bills!L256,"AAAAAD+8t0s=")</f>
        <v>#VALUE!</v>
      </c>
      <c r="BY83" t="e">
        <f>AND(Bills!#REF!,"AAAAAD+8t0w=")</f>
        <v>#REF!</v>
      </c>
      <c r="BZ83" t="e">
        <f>AND(Bills!M256,"AAAAAD+8t00=")</f>
        <v>#VALUE!</v>
      </c>
      <c r="CA83" t="e">
        <f>AND(Bills!N256,"AAAAAD+8t04=")</f>
        <v>#VALUE!</v>
      </c>
      <c r="CB83" t="e">
        <f>AND(Bills!O256,"AAAAAD+8t08=")</f>
        <v>#VALUE!</v>
      </c>
      <c r="CC83" t="e">
        <f>AND(Bills!P256,"AAAAAD+8t1A=")</f>
        <v>#VALUE!</v>
      </c>
      <c r="CD83" t="e">
        <f>AND(Bills!Q256,"AAAAAD+8t1E=")</f>
        <v>#VALUE!</v>
      </c>
      <c r="CE83" t="e">
        <f>AND(Bills!R256,"AAAAAD+8t1I=")</f>
        <v>#VALUE!</v>
      </c>
      <c r="CF83" t="e">
        <f>AND(Bills!S256,"AAAAAD+8t1M=")</f>
        <v>#VALUE!</v>
      </c>
      <c r="CG83" t="e">
        <f>AND(Bills!T256,"AAAAAD+8t1Q=")</f>
        <v>#VALUE!</v>
      </c>
      <c r="CH83" t="e">
        <f>AND(Bills!#REF!,"AAAAAD+8t1U=")</f>
        <v>#REF!</v>
      </c>
      <c r="CI83" t="e">
        <f>AND(Bills!U256,"AAAAAD+8t1Y=")</f>
        <v>#VALUE!</v>
      </c>
      <c r="CJ83" t="e">
        <f>AND(Bills!V256,"AAAAAD+8t1c=")</f>
        <v>#VALUE!</v>
      </c>
      <c r="CK83" t="e">
        <f>AND(Bills!W256,"AAAAAD+8t1g=")</f>
        <v>#VALUE!</v>
      </c>
      <c r="CL83" t="e">
        <f>AND(Bills!#REF!,"AAAAAD+8t1k=")</f>
        <v>#REF!</v>
      </c>
      <c r="CM83" t="e">
        <f>AND(Bills!#REF!,"AAAAAD+8t1o=")</f>
        <v>#REF!</v>
      </c>
      <c r="CN83" t="e">
        <f>AND(Bills!Y256,"AAAAAD+8t1s=")</f>
        <v>#VALUE!</v>
      </c>
      <c r="CO83" t="e">
        <f>AND(Bills!Z256,"AAAAAD+8t1w=")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AND(Bills!AA256,"AAAAAD+8t2Y=")</f>
        <v>#VALUE!</v>
      </c>
      <c r="CZ83" t="e">
        <f>AND(Bills!AB256,"AAAAAD+8t2c=")</f>
        <v>#VALUE!</v>
      </c>
      <c r="DA83" t="e">
        <f>AND(Bills!#REF!,"AAAAAD+8t2g=")</f>
        <v>#REF!</v>
      </c>
      <c r="DB83" t="e">
        <f>AND(Bills!#REF!,"AAAAAD+8t2k=")</f>
        <v>#REF!</v>
      </c>
      <c r="DC83" t="e">
        <f>AND(Bills!#REF!,"AAAAAD+8t2o=")</f>
        <v>#REF!</v>
      </c>
      <c r="DD83" t="e">
        <f>AND(Bills!AC256,"AAAAAD+8t2s=")</f>
        <v>#VALUE!</v>
      </c>
      <c r="DE83" t="e">
        <f>AND(Bills!AD256,"AAAAAD+8t2w=")</f>
        <v>#VALUE!</v>
      </c>
      <c r="DF83" t="e">
        <f>AND(Bills!#REF!,"AAAAAD+8t20=")</f>
        <v>#REF!</v>
      </c>
      <c r="DG83">
        <f>IF(Bills!257:257,"AAAAAD+8t24=",0)</f>
        <v>0</v>
      </c>
      <c r="DH83" t="e">
        <f>AND(Bills!B257,"AAAAAD+8t28=")</f>
        <v>#VALUE!</v>
      </c>
      <c r="DI83" t="e">
        <f>AND(Bills!#REF!,"AAAAAD+8t3A=")</f>
        <v>#REF!</v>
      </c>
      <c r="DJ83" t="e">
        <f>AND(Bills!C257,"AAAAAD+8t3E=")</f>
        <v>#VALUE!</v>
      </c>
      <c r="DK83" t="e">
        <f>AND(Bills!D257,"AAAAAD+8t3I=")</f>
        <v>#VALUE!</v>
      </c>
      <c r="DL83" t="e">
        <f>AND(Bills!E257,"AAAAAD+8t3M=")</f>
        <v>#VALUE!</v>
      </c>
      <c r="DM83" t="e">
        <f>AND(Bills!#REF!,"AAAAAD+8t3Q=")</f>
        <v>#REF!</v>
      </c>
      <c r="DN83" t="e">
        <f>AND(Bills!#REF!,"AAAAAD+8t3U=")</f>
        <v>#REF!</v>
      </c>
      <c r="DO83" t="e">
        <f>AND(Bills!#REF!,"AAAAAD+8t3Y=")</f>
        <v>#REF!</v>
      </c>
      <c r="DP83" t="e">
        <f>AND(Bills!F257,"AAAAAD+8t3c=")</f>
        <v>#VALUE!</v>
      </c>
      <c r="DQ83" t="e">
        <f>AND(Bills!#REF!,"AAAAAD+8t3g=")</f>
        <v>#REF!</v>
      </c>
      <c r="DR83" t="e">
        <f>AND(Bills!G257,"AAAAAD+8t3k=")</f>
        <v>#VALUE!</v>
      </c>
      <c r="DS83" t="e">
        <f>AND(Bills!H257,"AAAAAD+8t3o=")</f>
        <v>#VALUE!</v>
      </c>
      <c r="DT83" t="e">
        <f>AND(Bills!I257,"AAAAAD+8t3s=")</f>
        <v>#VALUE!</v>
      </c>
      <c r="DU83" t="e">
        <f>AND(Bills!J257,"AAAAAD+8t3w=")</f>
        <v>#VALUE!</v>
      </c>
      <c r="DV83" t="e">
        <f>AND(Bills!K257,"AAAAAD+8t30=")</f>
        <v>#VALUE!</v>
      </c>
      <c r="DW83" t="e">
        <f>AND(Bills!L257,"AAAAAD+8t34=")</f>
        <v>#VALUE!</v>
      </c>
      <c r="DX83" t="e">
        <f>AND(Bills!#REF!,"AAAAAD+8t38=")</f>
        <v>#REF!</v>
      </c>
      <c r="DY83" t="e">
        <f>AND(Bills!M257,"AAAAAD+8t4A=")</f>
        <v>#VALUE!</v>
      </c>
      <c r="DZ83" t="e">
        <f>AND(Bills!N257,"AAAAAD+8t4E=")</f>
        <v>#VALUE!</v>
      </c>
      <c r="EA83" t="e">
        <f>AND(Bills!O257,"AAAAAD+8t4I=")</f>
        <v>#VALUE!</v>
      </c>
      <c r="EB83" t="e">
        <f>AND(Bills!P257,"AAAAAD+8t4M=")</f>
        <v>#VALUE!</v>
      </c>
      <c r="EC83" t="e">
        <f>AND(Bills!Q257,"AAAAAD+8t4Q=")</f>
        <v>#VALUE!</v>
      </c>
      <c r="ED83" t="e">
        <f>AND(Bills!R257,"AAAAAD+8t4U=")</f>
        <v>#VALUE!</v>
      </c>
      <c r="EE83" t="e">
        <f>AND(Bills!S257,"AAAAAD+8t4Y=")</f>
        <v>#VALUE!</v>
      </c>
      <c r="EF83" t="e">
        <f>AND(Bills!T257,"AAAAAD+8t4c=")</f>
        <v>#VALUE!</v>
      </c>
      <c r="EG83" t="e">
        <f>AND(Bills!#REF!,"AAAAAD+8t4g=")</f>
        <v>#REF!</v>
      </c>
      <c r="EH83" t="e">
        <f>AND(Bills!U257,"AAAAAD+8t4k=")</f>
        <v>#VALUE!</v>
      </c>
      <c r="EI83" t="e">
        <f>AND(Bills!V257,"AAAAAD+8t4o=")</f>
        <v>#VALUE!</v>
      </c>
      <c r="EJ83" t="e">
        <f>AND(Bills!W257,"AAAAAD+8t4s=")</f>
        <v>#VALUE!</v>
      </c>
      <c r="EK83" t="e">
        <f>AND(Bills!#REF!,"AAAAAD+8t4w=")</f>
        <v>#REF!</v>
      </c>
      <c r="EL83" t="e">
        <f>AND(Bills!#REF!,"AAAAAD+8t40=")</f>
        <v>#REF!</v>
      </c>
      <c r="EM83" t="e">
        <f>AND(Bills!Y257,"AAAAAD+8t44=")</f>
        <v>#VALUE!</v>
      </c>
      <c r="EN83" t="e">
        <f>AND(Bills!Z257,"AAAAAD+8t48=")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AND(Bills!AA257,"AAAAAD+8t5k=")</f>
        <v>#VALUE!</v>
      </c>
      <c r="EY83" t="e">
        <f>AND(Bills!AB257,"AAAAAD+8t5o=")</f>
        <v>#VALUE!</v>
      </c>
      <c r="EZ83" t="e">
        <f>AND(Bills!#REF!,"AAAAAD+8t5s=")</f>
        <v>#REF!</v>
      </c>
      <c r="FA83" t="e">
        <f>AND(Bills!#REF!,"AAAAAD+8t5w=")</f>
        <v>#REF!</v>
      </c>
      <c r="FB83" t="e">
        <f>AND(Bills!#REF!,"AAAAAD+8t50=")</f>
        <v>#REF!</v>
      </c>
      <c r="FC83" t="e">
        <f>AND(Bills!AC257,"AAAAAD+8t54=")</f>
        <v>#VALUE!</v>
      </c>
      <c r="FD83" t="e">
        <f>AND(Bills!AD257,"AAAAAD+8t58=")</f>
        <v>#VALUE!</v>
      </c>
      <c r="FE83" t="e">
        <f>AND(Bills!#REF!,"AAAAAD+8t6A=")</f>
        <v>#REF!</v>
      </c>
      <c r="FF83">
        <f>IF(Bills!258:258,"AAAAAD+8t6E=",0)</f>
        <v>0</v>
      </c>
      <c r="FG83" t="e">
        <f>AND(Bills!B258,"AAAAAD+8t6I=")</f>
        <v>#VALUE!</v>
      </c>
      <c r="FH83" t="e">
        <f>AND(Bills!#REF!,"AAAAAD+8t6M=")</f>
        <v>#REF!</v>
      </c>
      <c r="FI83" t="e">
        <f>AND(Bills!C258,"AAAAAD+8t6Q=")</f>
        <v>#VALUE!</v>
      </c>
      <c r="FJ83" t="e">
        <f>AND(Bills!D258,"AAAAAD+8t6U=")</f>
        <v>#VALUE!</v>
      </c>
      <c r="FK83" t="e">
        <f>AND(Bills!E258,"AAAAAD+8t6Y=")</f>
        <v>#VALUE!</v>
      </c>
      <c r="FL83" t="e">
        <f>AND(Bills!#REF!,"AAAAAD+8t6c=")</f>
        <v>#REF!</v>
      </c>
      <c r="FM83" t="e">
        <f>AND(Bills!#REF!,"AAAAAD+8t6g=")</f>
        <v>#REF!</v>
      </c>
      <c r="FN83" t="e">
        <f>AND(Bills!#REF!,"AAAAAD+8t6k=")</f>
        <v>#REF!</v>
      </c>
      <c r="FO83" t="e">
        <f>AND(Bills!F258,"AAAAAD+8t6o=")</f>
        <v>#VALUE!</v>
      </c>
      <c r="FP83" t="e">
        <f>AND(Bills!#REF!,"AAAAAD+8t6s=")</f>
        <v>#REF!</v>
      </c>
      <c r="FQ83" t="e">
        <f>AND(Bills!G258,"AAAAAD+8t6w=")</f>
        <v>#VALUE!</v>
      </c>
      <c r="FR83" t="e">
        <f>AND(Bills!H258,"AAAAAD+8t60=")</f>
        <v>#VALUE!</v>
      </c>
      <c r="FS83" t="e">
        <f>AND(Bills!I258,"AAAAAD+8t64=")</f>
        <v>#VALUE!</v>
      </c>
      <c r="FT83" t="e">
        <f>AND(Bills!J258,"AAAAAD+8t68=")</f>
        <v>#VALUE!</v>
      </c>
      <c r="FU83" t="e">
        <f>AND(Bills!K258,"AAAAAD+8t7A=")</f>
        <v>#VALUE!</v>
      </c>
      <c r="FV83" t="e">
        <f>AND(Bills!L258,"AAAAAD+8t7E=")</f>
        <v>#VALUE!</v>
      </c>
      <c r="FW83" t="e">
        <f>AND(Bills!#REF!,"AAAAAD+8t7I=")</f>
        <v>#REF!</v>
      </c>
      <c r="FX83" t="e">
        <f>AND(Bills!M258,"AAAAAD+8t7M=")</f>
        <v>#VALUE!</v>
      </c>
      <c r="FY83" t="e">
        <f>AND(Bills!N258,"AAAAAD+8t7Q=")</f>
        <v>#VALUE!</v>
      </c>
      <c r="FZ83" t="e">
        <f>AND(Bills!O258,"AAAAAD+8t7U=")</f>
        <v>#VALUE!</v>
      </c>
      <c r="GA83" t="e">
        <f>AND(Bills!P258,"AAAAAD+8t7Y=")</f>
        <v>#VALUE!</v>
      </c>
      <c r="GB83" t="e">
        <f>AND(Bills!Q258,"AAAAAD+8t7c=")</f>
        <v>#VALUE!</v>
      </c>
      <c r="GC83" t="e">
        <f>AND(Bills!R258,"AAAAAD+8t7g=")</f>
        <v>#VALUE!</v>
      </c>
      <c r="GD83" t="e">
        <f>AND(Bills!S258,"AAAAAD+8t7k=")</f>
        <v>#VALUE!</v>
      </c>
      <c r="GE83" t="e">
        <f>AND(Bills!T258,"AAAAAD+8t7o=")</f>
        <v>#VALUE!</v>
      </c>
      <c r="GF83" t="e">
        <f>AND(Bills!#REF!,"AAAAAD+8t7s=")</f>
        <v>#REF!</v>
      </c>
      <c r="GG83" t="e">
        <f>AND(Bills!U258,"AAAAAD+8t7w=")</f>
        <v>#VALUE!</v>
      </c>
      <c r="GH83" t="e">
        <f>AND(Bills!V258,"AAAAAD+8t70=")</f>
        <v>#VALUE!</v>
      </c>
      <c r="GI83" t="e">
        <f>AND(Bills!W258,"AAAAAD+8t74=")</f>
        <v>#VALUE!</v>
      </c>
      <c r="GJ83" t="e">
        <f>AND(Bills!#REF!,"AAAAAD+8t78=")</f>
        <v>#REF!</v>
      </c>
      <c r="GK83" t="e">
        <f>AND(Bills!#REF!,"AAAAAD+8t8A=")</f>
        <v>#REF!</v>
      </c>
      <c r="GL83" t="e">
        <f>AND(Bills!Y258,"AAAAAD+8t8E=")</f>
        <v>#VALUE!</v>
      </c>
      <c r="GM83" t="e">
        <f>AND(Bills!Z258,"AAAAAD+8t8I=")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AND(Bills!AA258,"AAAAAD+8t8w=")</f>
        <v>#VALUE!</v>
      </c>
      <c r="GX83" t="e">
        <f>AND(Bills!AB258,"AAAAAD+8t80=")</f>
        <v>#VALUE!</v>
      </c>
      <c r="GY83" t="e">
        <f>AND(Bills!#REF!,"AAAAAD+8t84=")</f>
        <v>#REF!</v>
      </c>
      <c r="GZ83" t="e">
        <f>AND(Bills!#REF!,"AAAAAD+8t88=")</f>
        <v>#REF!</v>
      </c>
      <c r="HA83" t="e">
        <f>AND(Bills!#REF!,"AAAAAD+8t9A=")</f>
        <v>#REF!</v>
      </c>
      <c r="HB83" t="e">
        <f>AND(Bills!AC258,"AAAAAD+8t9E=")</f>
        <v>#VALUE!</v>
      </c>
      <c r="HC83" t="e">
        <f>AND(Bills!AD258,"AAAAAD+8t9I=")</f>
        <v>#VALUE!</v>
      </c>
      <c r="HD83" t="e">
        <f>AND(Bills!#REF!,"AAAAAD+8t9M=")</f>
        <v>#REF!</v>
      </c>
      <c r="HE83">
        <f>IF(Bills!259:259,"AAAAAD+8t9Q=",0)</f>
        <v>0</v>
      </c>
      <c r="HF83" t="e">
        <f>AND(Bills!B259,"AAAAAD+8t9U=")</f>
        <v>#VALUE!</v>
      </c>
      <c r="HG83" t="e">
        <f>AND(Bills!#REF!,"AAAAAD+8t9Y=")</f>
        <v>#REF!</v>
      </c>
      <c r="HH83" t="e">
        <f>AND(Bills!C259,"AAAAAD+8t9c=")</f>
        <v>#VALUE!</v>
      </c>
      <c r="HI83" t="e">
        <f>AND(Bills!D259,"AAAAAD+8t9g=")</f>
        <v>#VALUE!</v>
      </c>
      <c r="HJ83" t="e">
        <f>AND(Bills!E259,"AAAAAD+8t9k=")</f>
        <v>#VALUE!</v>
      </c>
      <c r="HK83" t="e">
        <f>AND(Bills!#REF!,"AAAAAD+8t9o=")</f>
        <v>#REF!</v>
      </c>
      <c r="HL83" t="e">
        <f>AND(Bills!#REF!,"AAAAAD+8t9s=")</f>
        <v>#REF!</v>
      </c>
      <c r="HM83" t="e">
        <f>AND(Bills!#REF!,"AAAAAD+8t9w=")</f>
        <v>#REF!</v>
      </c>
      <c r="HN83" t="e">
        <f>AND(Bills!F259,"AAAAAD+8t90=")</f>
        <v>#VALUE!</v>
      </c>
      <c r="HO83" t="e">
        <f>AND(Bills!#REF!,"AAAAAD+8t94=")</f>
        <v>#REF!</v>
      </c>
      <c r="HP83" t="e">
        <f>AND(Bills!G259,"AAAAAD+8t98=")</f>
        <v>#VALUE!</v>
      </c>
      <c r="HQ83" t="e">
        <f>AND(Bills!H259,"AAAAAD+8t+A=")</f>
        <v>#VALUE!</v>
      </c>
      <c r="HR83" t="e">
        <f>AND(Bills!I259,"AAAAAD+8t+E=")</f>
        <v>#VALUE!</v>
      </c>
      <c r="HS83" t="e">
        <f>AND(Bills!J259,"AAAAAD+8t+I=")</f>
        <v>#VALUE!</v>
      </c>
      <c r="HT83" t="e">
        <f>AND(Bills!K259,"AAAAAD+8t+M=")</f>
        <v>#VALUE!</v>
      </c>
      <c r="HU83" t="e">
        <f>AND(Bills!L259,"AAAAAD+8t+Q=")</f>
        <v>#VALUE!</v>
      </c>
      <c r="HV83" t="e">
        <f>AND(Bills!#REF!,"AAAAAD+8t+U=")</f>
        <v>#REF!</v>
      </c>
      <c r="HW83" t="e">
        <f>AND(Bills!M259,"AAAAAD+8t+Y=")</f>
        <v>#VALUE!</v>
      </c>
      <c r="HX83" t="e">
        <f>AND(Bills!N259,"AAAAAD+8t+c=")</f>
        <v>#VALUE!</v>
      </c>
      <c r="HY83" t="e">
        <f>AND(Bills!O259,"AAAAAD+8t+g=")</f>
        <v>#VALUE!</v>
      </c>
      <c r="HZ83" t="e">
        <f>AND(Bills!P259,"AAAAAD+8t+k=")</f>
        <v>#VALUE!</v>
      </c>
      <c r="IA83" t="e">
        <f>AND(Bills!Q259,"AAAAAD+8t+o=")</f>
        <v>#VALUE!</v>
      </c>
      <c r="IB83" t="e">
        <f>AND(Bills!R259,"AAAAAD+8t+s=")</f>
        <v>#VALUE!</v>
      </c>
      <c r="IC83" t="e">
        <f>AND(Bills!S259,"AAAAAD+8t+w=")</f>
        <v>#VALUE!</v>
      </c>
      <c r="ID83" t="e">
        <f>AND(Bills!T259,"AAAAAD+8t+0=")</f>
        <v>#VALUE!</v>
      </c>
      <c r="IE83" t="e">
        <f>AND(Bills!#REF!,"AAAAAD+8t+4=")</f>
        <v>#REF!</v>
      </c>
      <c r="IF83" t="e">
        <f>AND(Bills!U259,"AAAAAD+8t+8=")</f>
        <v>#VALUE!</v>
      </c>
      <c r="IG83" t="e">
        <f>AND(Bills!V259,"AAAAAD+8t/A=")</f>
        <v>#VALUE!</v>
      </c>
      <c r="IH83" t="e">
        <f>AND(Bills!W259,"AAAAAD+8t/E=")</f>
        <v>#VALUE!</v>
      </c>
      <c r="II83" t="e">
        <f>AND(Bills!#REF!,"AAAAAD+8t/I=")</f>
        <v>#REF!</v>
      </c>
      <c r="IJ83" t="e">
        <f>AND(Bills!#REF!,"AAAAAD+8t/M=")</f>
        <v>#REF!</v>
      </c>
      <c r="IK83" t="e">
        <f>AND(Bills!Y259,"AAAAAD+8t/Q=")</f>
        <v>#VALUE!</v>
      </c>
      <c r="IL83" t="e">
        <f>AND(Bills!Z259,"AAAAAD+8t/U=")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AND(Bills!AA259,"AAAAAD+8t/8=")</f>
        <v>#VALUE!</v>
      </c>
    </row>
    <row r="84" spans="1:256">
      <c r="A84" t="e">
        <f>AND(Bills!AB259,"AAAAAHn5zQA=")</f>
        <v>#VALUE!</v>
      </c>
      <c r="B84" t="e">
        <f>AND(Bills!#REF!,"AAAAAHn5zQE=")</f>
        <v>#REF!</v>
      </c>
      <c r="C84" t="e">
        <f>AND(Bills!#REF!,"AAAAAHn5zQI=")</f>
        <v>#REF!</v>
      </c>
      <c r="D84" t="e">
        <f>AND(Bills!#REF!,"AAAAAHn5zQM=")</f>
        <v>#REF!</v>
      </c>
      <c r="E84" t="e">
        <f>AND(Bills!AC259,"AAAAAHn5zQQ=")</f>
        <v>#VALUE!</v>
      </c>
      <c r="F84" t="e">
        <f>AND(Bills!AD259,"AAAAAHn5zQU=")</f>
        <v>#VALUE!</v>
      </c>
      <c r="G84" t="e">
        <f>AND(Bills!#REF!,"AAAAAHn5zQY=")</f>
        <v>#REF!</v>
      </c>
      <c r="H84">
        <f>IF(Bills!260:260,"AAAAAHn5zQc=",0)</f>
        <v>0</v>
      </c>
      <c r="I84" t="e">
        <f>AND(Bills!B260,"AAAAAHn5zQg=")</f>
        <v>#VALUE!</v>
      </c>
      <c r="J84" t="e">
        <f>AND(Bills!#REF!,"AAAAAHn5zQk=")</f>
        <v>#REF!</v>
      </c>
      <c r="K84" t="e">
        <f>AND(Bills!C260,"AAAAAHn5zQo=")</f>
        <v>#VALUE!</v>
      </c>
      <c r="L84" t="e">
        <f>AND(Bills!D260,"AAAAAHn5zQs=")</f>
        <v>#VALUE!</v>
      </c>
      <c r="M84" t="e">
        <f>AND(Bills!E260,"AAAAAHn5zQw=")</f>
        <v>#VALUE!</v>
      </c>
      <c r="N84" t="e">
        <f>AND(Bills!#REF!,"AAAAAHn5zQ0=")</f>
        <v>#REF!</v>
      </c>
      <c r="O84" t="e">
        <f>AND(Bills!#REF!,"AAAAAHn5zQ4=")</f>
        <v>#REF!</v>
      </c>
      <c r="P84" t="e">
        <f>AND(Bills!#REF!,"AAAAAHn5zQ8=")</f>
        <v>#REF!</v>
      </c>
      <c r="Q84" t="e">
        <f>AND(Bills!F260,"AAAAAHn5zRA=")</f>
        <v>#VALUE!</v>
      </c>
      <c r="R84" t="e">
        <f>AND(Bills!#REF!,"AAAAAHn5zRE=")</f>
        <v>#REF!</v>
      </c>
      <c r="S84" t="e">
        <f>AND(Bills!G260,"AAAAAHn5zRI=")</f>
        <v>#VALUE!</v>
      </c>
      <c r="T84" t="e">
        <f>AND(Bills!H260,"AAAAAHn5zRM=")</f>
        <v>#VALUE!</v>
      </c>
      <c r="U84" t="e">
        <f>AND(Bills!I260,"AAAAAHn5zRQ=")</f>
        <v>#VALUE!</v>
      </c>
      <c r="V84" t="e">
        <f>AND(Bills!J260,"AAAAAHn5zRU=")</f>
        <v>#VALUE!</v>
      </c>
      <c r="W84" t="e">
        <f>AND(Bills!K260,"AAAAAHn5zRY=")</f>
        <v>#VALUE!</v>
      </c>
      <c r="X84" t="e">
        <f>AND(Bills!L260,"AAAAAHn5zRc=")</f>
        <v>#VALUE!</v>
      </c>
      <c r="Y84" t="e">
        <f>AND(Bills!#REF!,"AAAAAHn5zRg=")</f>
        <v>#REF!</v>
      </c>
      <c r="Z84" t="e">
        <f>AND(Bills!M260,"AAAAAHn5zRk=")</f>
        <v>#VALUE!</v>
      </c>
      <c r="AA84" t="e">
        <f>AND(Bills!N260,"AAAAAHn5zRo=")</f>
        <v>#VALUE!</v>
      </c>
      <c r="AB84" t="e">
        <f>AND(Bills!O260,"AAAAAHn5zRs=")</f>
        <v>#VALUE!</v>
      </c>
      <c r="AC84" t="e">
        <f>AND(Bills!P260,"AAAAAHn5zRw=")</f>
        <v>#VALUE!</v>
      </c>
      <c r="AD84" t="e">
        <f>AND(Bills!Q260,"AAAAAHn5zR0=")</f>
        <v>#VALUE!</v>
      </c>
      <c r="AE84" t="e">
        <f>AND(Bills!R260,"AAAAAHn5zR4=")</f>
        <v>#VALUE!</v>
      </c>
      <c r="AF84" t="e">
        <f>AND(Bills!S260,"AAAAAHn5zR8=")</f>
        <v>#VALUE!</v>
      </c>
      <c r="AG84" t="e">
        <f>AND(Bills!T260,"AAAAAHn5zSA=")</f>
        <v>#VALUE!</v>
      </c>
      <c r="AH84" t="e">
        <f>AND(Bills!#REF!,"AAAAAHn5zSE=")</f>
        <v>#REF!</v>
      </c>
      <c r="AI84" t="e">
        <f>AND(Bills!U260,"AAAAAHn5zSI=")</f>
        <v>#VALUE!</v>
      </c>
      <c r="AJ84" t="e">
        <f>AND(Bills!V260,"AAAAAHn5zSM=")</f>
        <v>#VALUE!</v>
      </c>
      <c r="AK84" t="e">
        <f>AND(Bills!W260,"AAAAAHn5zSQ=")</f>
        <v>#VALUE!</v>
      </c>
      <c r="AL84" t="e">
        <f>AND(Bills!#REF!,"AAAAAHn5zSU=")</f>
        <v>#REF!</v>
      </c>
      <c r="AM84" t="e">
        <f>AND(Bills!#REF!,"AAAAAHn5zSY=")</f>
        <v>#REF!</v>
      </c>
      <c r="AN84" t="e">
        <f>AND(Bills!Y260,"AAAAAHn5zSc=")</f>
        <v>#VALUE!</v>
      </c>
      <c r="AO84" t="e">
        <f>AND(Bills!Z260,"AAAAAHn5zSg=")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AND(Bills!AA260,"AAAAAHn5zTI=")</f>
        <v>#VALUE!</v>
      </c>
      <c r="AZ84" t="e">
        <f>AND(Bills!AB260,"AAAAAHn5zTM=")</f>
        <v>#VALUE!</v>
      </c>
      <c r="BA84" t="e">
        <f>AND(Bills!#REF!,"AAAAAHn5zTQ=")</f>
        <v>#REF!</v>
      </c>
      <c r="BB84" t="e">
        <f>AND(Bills!#REF!,"AAAAAHn5zTU=")</f>
        <v>#REF!</v>
      </c>
      <c r="BC84" t="e">
        <f>AND(Bills!#REF!,"AAAAAHn5zTY=")</f>
        <v>#REF!</v>
      </c>
      <c r="BD84" t="e">
        <f>AND(Bills!AC260,"AAAAAHn5zTc=")</f>
        <v>#VALUE!</v>
      </c>
      <c r="BE84" t="e">
        <f>AND(Bills!AD260,"AAAAAHn5zTg=")</f>
        <v>#VALUE!</v>
      </c>
      <c r="BF84" t="e">
        <f>AND(Bills!#REF!,"AAAAAHn5zTk=")</f>
        <v>#REF!</v>
      </c>
      <c r="BG84">
        <f>IF(Bills!261:261,"AAAAAHn5zTo=",0)</f>
        <v>0</v>
      </c>
      <c r="BH84" t="e">
        <f>AND(Bills!B261,"AAAAAHn5zTs=")</f>
        <v>#VALUE!</v>
      </c>
      <c r="BI84" t="e">
        <f>AND(Bills!#REF!,"AAAAAHn5zTw=")</f>
        <v>#REF!</v>
      </c>
      <c r="BJ84" t="e">
        <f>AND(Bills!C261,"AAAAAHn5zT0=")</f>
        <v>#VALUE!</v>
      </c>
      <c r="BK84" t="e">
        <f>AND(Bills!D261,"AAAAAHn5zT4=")</f>
        <v>#VALUE!</v>
      </c>
      <c r="BL84" t="e">
        <f>AND(Bills!E261,"AAAAAHn5zT8=")</f>
        <v>#VALUE!</v>
      </c>
      <c r="BM84" t="e">
        <f>AND(Bills!#REF!,"AAAAAHn5zUA=")</f>
        <v>#REF!</v>
      </c>
      <c r="BN84" t="e">
        <f>AND(Bills!#REF!,"AAAAAHn5zUE=")</f>
        <v>#REF!</v>
      </c>
      <c r="BO84" t="e">
        <f>AND(Bills!#REF!,"AAAAAHn5zUI=")</f>
        <v>#REF!</v>
      </c>
      <c r="BP84" t="e">
        <f>AND(Bills!F261,"AAAAAHn5zUM=")</f>
        <v>#VALUE!</v>
      </c>
      <c r="BQ84" t="e">
        <f>AND(Bills!#REF!,"AAAAAHn5zUQ=")</f>
        <v>#REF!</v>
      </c>
      <c r="BR84" t="e">
        <f>AND(Bills!G261,"AAAAAHn5zUU=")</f>
        <v>#VALUE!</v>
      </c>
      <c r="BS84" t="e">
        <f>AND(Bills!H261,"AAAAAHn5zUY=")</f>
        <v>#VALUE!</v>
      </c>
      <c r="BT84" t="e">
        <f>AND(Bills!I261,"AAAAAHn5zUc=")</f>
        <v>#VALUE!</v>
      </c>
      <c r="BU84" t="e">
        <f>AND(Bills!J261,"AAAAAHn5zUg=")</f>
        <v>#VALUE!</v>
      </c>
      <c r="BV84" t="e">
        <f>AND(Bills!K261,"AAAAAHn5zUk=")</f>
        <v>#VALUE!</v>
      </c>
      <c r="BW84" t="e">
        <f>AND(Bills!L261,"AAAAAHn5zUo=")</f>
        <v>#VALUE!</v>
      </c>
      <c r="BX84" t="e">
        <f>AND(Bills!#REF!,"AAAAAHn5zUs=")</f>
        <v>#REF!</v>
      </c>
      <c r="BY84" t="e">
        <f>AND(Bills!M261,"AAAAAHn5zUw=")</f>
        <v>#VALUE!</v>
      </c>
      <c r="BZ84" t="e">
        <f>AND(Bills!N261,"AAAAAHn5zU0=")</f>
        <v>#VALUE!</v>
      </c>
      <c r="CA84" t="e">
        <f>AND(Bills!O261,"AAAAAHn5zU4=")</f>
        <v>#VALUE!</v>
      </c>
      <c r="CB84" t="e">
        <f>AND(Bills!P261,"AAAAAHn5zU8=")</f>
        <v>#VALUE!</v>
      </c>
      <c r="CC84" t="e">
        <f>AND(Bills!Q261,"AAAAAHn5zVA=")</f>
        <v>#VALUE!</v>
      </c>
      <c r="CD84" t="e">
        <f>AND(Bills!R261,"AAAAAHn5zVE=")</f>
        <v>#VALUE!</v>
      </c>
      <c r="CE84" t="e">
        <f>AND(Bills!S261,"AAAAAHn5zVI=")</f>
        <v>#VALUE!</v>
      </c>
      <c r="CF84" t="e">
        <f>AND(Bills!T261,"AAAAAHn5zVM=")</f>
        <v>#VALUE!</v>
      </c>
      <c r="CG84" t="e">
        <f>AND(Bills!#REF!,"AAAAAHn5zVQ=")</f>
        <v>#REF!</v>
      </c>
      <c r="CH84" t="e">
        <f>AND(Bills!U261,"AAAAAHn5zVU=")</f>
        <v>#VALUE!</v>
      </c>
      <c r="CI84" t="e">
        <f>AND(Bills!V261,"AAAAAHn5zVY=")</f>
        <v>#VALUE!</v>
      </c>
      <c r="CJ84" t="e">
        <f>AND(Bills!W261,"AAAAAHn5zVc=")</f>
        <v>#VALUE!</v>
      </c>
      <c r="CK84" t="e">
        <f>AND(Bills!#REF!,"AAAAAHn5zVg=")</f>
        <v>#REF!</v>
      </c>
      <c r="CL84" t="e">
        <f>AND(Bills!#REF!,"AAAAAHn5zVk=")</f>
        <v>#REF!</v>
      </c>
      <c r="CM84" t="e">
        <f>AND(Bills!Y261,"AAAAAHn5zVo=")</f>
        <v>#VALUE!</v>
      </c>
      <c r="CN84" t="e">
        <f>AND(Bills!Z261,"AAAAAHn5zVs=")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AND(Bills!AA261,"AAAAAHn5zWU=")</f>
        <v>#VALUE!</v>
      </c>
      <c r="CY84" t="e">
        <f>AND(Bills!AB261,"AAAAAHn5zWY=")</f>
        <v>#VALUE!</v>
      </c>
      <c r="CZ84" t="e">
        <f>AND(Bills!#REF!,"AAAAAHn5zWc=")</f>
        <v>#REF!</v>
      </c>
      <c r="DA84" t="e">
        <f>AND(Bills!#REF!,"AAAAAHn5zWg=")</f>
        <v>#REF!</v>
      </c>
      <c r="DB84" t="e">
        <f>AND(Bills!#REF!,"AAAAAHn5zWk=")</f>
        <v>#REF!</v>
      </c>
      <c r="DC84" t="e">
        <f>AND(Bills!AC261,"AAAAAHn5zWo=")</f>
        <v>#VALUE!</v>
      </c>
      <c r="DD84" t="e">
        <f>AND(Bills!AD261,"AAAAAHn5zWs=")</f>
        <v>#VALUE!</v>
      </c>
      <c r="DE84" t="e">
        <f>AND(Bills!#REF!,"AAAAAHn5zWw=")</f>
        <v>#REF!</v>
      </c>
      <c r="DF84">
        <f>IF(Bills!262:262,"AAAAAHn5zW0=",0)</f>
        <v>0</v>
      </c>
      <c r="DG84" t="e">
        <f>AND(Bills!B262,"AAAAAHn5zW4=")</f>
        <v>#VALUE!</v>
      </c>
      <c r="DH84" t="e">
        <f>AND(Bills!#REF!,"AAAAAHn5zW8=")</f>
        <v>#REF!</v>
      </c>
      <c r="DI84" t="e">
        <f>AND(Bills!C262,"AAAAAHn5zXA=")</f>
        <v>#VALUE!</v>
      </c>
      <c r="DJ84" t="e">
        <f>AND(Bills!D262,"AAAAAHn5zXE=")</f>
        <v>#VALUE!</v>
      </c>
      <c r="DK84" t="e">
        <f>AND(Bills!E262,"AAAAAHn5zXI=")</f>
        <v>#VALUE!</v>
      </c>
      <c r="DL84" t="e">
        <f>AND(Bills!#REF!,"AAAAAHn5zXM=")</f>
        <v>#REF!</v>
      </c>
      <c r="DM84" t="e">
        <f>AND(Bills!#REF!,"AAAAAHn5zXQ=")</f>
        <v>#REF!</v>
      </c>
      <c r="DN84" t="e">
        <f>AND(Bills!#REF!,"AAAAAHn5zXU=")</f>
        <v>#REF!</v>
      </c>
      <c r="DO84" t="e">
        <f>AND(Bills!F262,"AAAAAHn5zXY=")</f>
        <v>#VALUE!</v>
      </c>
      <c r="DP84" t="e">
        <f>AND(Bills!#REF!,"AAAAAHn5zXc=")</f>
        <v>#REF!</v>
      </c>
      <c r="DQ84" t="e">
        <f>AND(Bills!G262,"AAAAAHn5zXg=")</f>
        <v>#VALUE!</v>
      </c>
      <c r="DR84" t="e">
        <f>AND(Bills!H262,"AAAAAHn5zXk=")</f>
        <v>#VALUE!</v>
      </c>
      <c r="DS84" t="e">
        <f>AND(Bills!I262,"AAAAAHn5zXo=")</f>
        <v>#VALUE!</v>
      </c>
      <c r="DT84" t="e">
        <f>AND(Bills!J262,"AAAAAHn5zXs=")</f>
        <v>#VALUE!</v>
      </c>
      <c r="DU84" t="e">
        <f>AND(Bills!K262,"AAAAAHn5zXw=")</f>
        <v>#VALUE!</v>
      </c>
      <c r="DV84" t="e">
        <f>AND(Bills!L262,"AAAAAHn5zX0=")</f>
        <v>#VALUE!</v>
      </c>
      <c r="DW84" t="e">
        <f>AND(Bills!#REF!,"AAAAAHn5zX4=")</f>
        <v>#REF!</v>
      </c>
      <c r="DX84" t="e">
        <f>AND(Bills!M262,"AAAAAHn5zX8=")</f>
        <v>#VALUE!</v>
      </c>
      <c r="DY84" t="e">
        <f>AND(Bills!N262,"AAAAAHn5zYA=")</f>
        <v>#VALUE!</v>
      </c>
      <c r="DZ84" t="e">
        <f>AND(Bills!O262,"AAAAAHn5zYE=")</f>
        <v>#VALUE!</v>
      </c>
      <c r="EA84" t="e">
        <f>AND(Bills!P262,"AAAAAHn5zYI=")</f>
        <v>#VALUE!</v>
      </c>
      <c r="EB84" t="e">
        <f>AND(Bills!Q262,"AAAAAHn5zYM=")</f>
        <v>#VALUE!</v>
      </c>
      <c r="EC84" t="e">
        <f>AND(Bills!R262,"AAAAAHn5zYQ=")</f>
        <v>#VALUE!</v>
      </c>
      <c r="ED84" t="e">
        <f>AND(Bills!S262,"AAAAAHn5zYU=")</f>
        <v>#VALUE!</v>
      </c>
      <c r="EE84" t="e">
        <f>AND(Bills!T262,"AAAAAHn5zYY=")</f>
        <v>#VALUE!</v>
      </c>
      <c r="EF84" t="e">
        <f>AND(Bills!#REF!,"AAAAAHn5zYc=")</f>
        <v>#REF!</v>
      </c>
      <c r="EG84" t="e">
        <f>AND(Bills!U262,"AAAAAHn5zYg=")</f>
        <v>#VALUE!</v>
      </c>
      <c r="EH84" t="e">
        <f>AND(Bills!V262,"AAAAAHn5zYk=")</f>
        <v>#VALUE!</v>
      </c>
      <c r="EI84" t="e">
        <f>AND(Bills!W262,"AAAAAHn5zYo=")</f>
        <v>#VALUE!</v>
      </c>
      <c r="EJ84" t="e">
        <f>AND(Bills!#REF!,"AAAAAHn5zYs=")</f>
        <v>#REF!</v>
      </c>
      <c r="EK84" t="e">
        <f>AND(Bills!#REF!,"AAAAAHn5zYw=")</f>
        <v>#REF!</v>
      </c>
      <c r="EL84" t="e">
        <f>AND(Bills!Y262,"AAAAAHn5zY0=")</f>
        <v>#VALUE!</v>
      </c>
      <c r="EM84" t="e">
        <f>AND(Bills!Z262,"AAAAAHn5zY4=")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AND(Bills!AA262,"AAAAAHn5zZg=")</f>
        <v>#VALUE!</v>
      </c>
      <c r="EX84" t="e">
        <f>AND(Bills!AB262,"AAAAAHn5zZk=")</f>
        <v>#VALUE!</v>
      </c>
      <c r="EY84" t="e">
        <f>AND(Bills!#REF!,"AAAAAHn5zZo=")</f>
        <v>#REF!</v>
      </c>
      <c r="EZ84" t="e">
        <f>AND(Bills!#REF!,"AAAAAHn5zZs=")</f>
        <v>#REF!</v>
      </c>
      <c r="FA84" t="e">
        <f>AND(Bills!#REF!,"AAAAAHn5zZw=")</f>
        <v>#REF!</v>
      </c>
      <c r="FB84" t="e">
        <f>AND(Bills!AC262,"AAAAAHn5zZ0=")</f>
        <v>#VALUE!</v>
      </c>
      <c r="FC84" t="e">
        <f>AND(Bills!AD262,"AAAAAHn5zZ4=")</f>
        <v>#VALUE!</v>
      </c>
      <c r="FD84" t="e">
        <f>AND(Bills!#REF!,"AAAAAHn5zZ8=")</f>
        <v>#REF!</v>
      </c>
      <c r="FE84">
        <f>IF(Bills!263:263,"AAAAAHn5zaA=",0)</f>
        <v>0</v>
      </c>
      <c r="FF84" t="e">
        <f>AND(Bills!B263,"AAAAAHn5zaE=")</f>
        <v>#VALUE!</v>
      </c>
      <c r="FG84" t="e">
        <f>AND(Bills!#REF!,"AAAAAHn5zaI=")</f>
        <v>#REF!</v>
      </c>
      <c r="FH84" t="e">
        <f>AND(Bills!C263,"AAAAAHn5zaM=")</f>
        <v>#VALUE!</v>
      </c>
      <c r="FI84" t="e">
        <f>AND(Bills!D263,"AAAAAHn5zaQ=")</f>
        <v>#VALUE!</v>
      </c>
      <c r="FJ84" t="e">
        <f>AND(Bills!E263,"AAAAAHn5zaU=")</f>
        <v>#VALUE!</v>
      </c>
      <c r="FK84" t="e">
        <f>AND(Bills!#REF!,"AAAAAHn5zaY=")</f>
        <v>#REF!</v>
      </c>
      <c r="FL84" t="e">
        <f>AND(Bills!#REF!,"AAAAAHn5zac=")</f>
        <v>#REF!</v>
      </c>
      <c r="FM84" t="e">
        <f>AND(Bills!#REF!,"AAAAAHn5zag=")</f>
        <v>#REF!</v>
      </c>
      <c r="FN84" t="e">
        <f>AND(Bills!F263,"AAAAAHn5zak=")</f>
        <v>#VALUE!</v>
      </c>
      <c r="FO84" t="e">
        <f>AND(Bills!#REF!,"AAAAAHn5zao=")</f>
        <v>#REF!</v>
      </c>
      <c r="FP84" t="e">
        <f>AND(Bills!G263,"AAAAAHn5zas=")</f>
        <v>#VALUE!</v>
      </c>
      <c r="FQ84" t="e">
        <f>AND(Bills!H263,"AAAAAHn5zaw=")</f>
        <v>#VALUE!</v>
      </c>
      <c r="FR84" t="e">
        <f>AND(Bills!I263,"AAAAAHn5za0=")</f>
        <v>#VALUE!</v>
      </c>
      <c r="FS84" t="e">
        <f>AND(Bills!J263,"AAAAAHn5za4=")</f>
        <v>#VALUE!</v>
      </c>
      <c r="FT84" t="e">
        <f>AND(Bills!K263,"AAAAAHn5za8=")</f>
        <v>#VALUE!</v>
      </c>
      <c r="FU84" t="e">
        <f>AND(Bills!L263,"AAAAAHn5zbA=")</f>
        <v>#VALUE!</v>
      </c>
      <c r="FV84" t="e">
        <f>AND(Bills!#REF!,"AAAAAHn5zbE=")</f>
        <v>#REF!</v>
      </c>
      <c r="FW84" t="e">
        <f>AND(Bills!M263,"AAAAAHn5zbI=")</f>
        <v>#VALUE!</v>
      </c>
      <c r="FX84" t="e">
        <f>AND(Bills!N263,"AAAAAHn5zbM=")</f>
        <v>#VALUE!</v>
      </c>
      <c r="FY84" t="e">
        <f>AND(Bills!O263,"AAAAAHn5zbQ=")</f>
        <v>#VALUE!</v>
      </c>
      <c r="FZ84" t="e">
        <f>AND(Bills!P263,"AAAAAHn5zbU=")</f>
        <v>#VALUE!</v>
      </c>
      <c r="GA84" t="e">
        <f>AND(Bills!Q263,"AAAAAHn5zbY=")</f>
        <v>#VALUE!</v>
      </c>
      <c r="GB84" t="e">
        <f>AND(Bills!R263,"AAAAAHn5zbc=")</f>
        <v>#VALUE!</v>
      </c>
      <c r="GC84" t="e">
        <f>AND(Bills!S263,"AAAAAHn5zbg=")</f>
        <v>#VALUE!</v>
      </c>
      <c r="GD84" t="e">
        <f>AND(Bills!T263,"AAAAAHn5zbk=")</f>
        <v>#VALUE!</v>
      </c>
      <c r="GE84" t="e">
        <f>AND(Bills!#REF!,"AAAAAHn5zbo=")</f>
        <v>#REF!</v>
      </c>
      <c r="GF84" t="e">
        <f>AND(Bills!U263,"AAAAAHn5zbs=")</f>
        <v>#VALUE!</v>
      </c>
      <c r="GG84" t="e">
        <f>AND(Bills!V263,"AAAAAHn5zbw=")</f>
        <v>#VALUE!</v>
      </c>
      <c r="GH84" t="e">
        <f>AND(Bills!W263,"AAAAAHn5zb0=")</f>
        <v>#VALUE!</v>
      </c>
      <c r="GI84" t="e">
        <f>AND(Bills!#REF!,"AAAAAHn5zb4=")</f>
        <v>#REF!</v>
      </c>
      <c r="GJ84" t="e">
        <f>AND(Bills!#REF!,"AAAAAHn5zb8=")</f>
        <v>#REF!</v>
      </c>
      <c r="GK84" t="e">
        <f>AND(Bills!Y263,"AAAAAHn5zcA=")</f>
        <v>#VALUE!</v>
      </c>
      <c r="GL84" t="e">
        <f>AND(Bills!Z263,"AAAAAHn5zcE=")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AND(Bills!AA263,"AAAAAHn5zcs=")</f>
        <v>#VALUE!</v>
      </c>
      <c r="GW84" t="e">
        <f>AND(Bills!AB263,"AAAAAHn5zcw=")</f>
        <v>#VALUE!</v>
      </c>
      <c r="GX84" t="e">
        <f>AND(Bills!#REF!,"AAAAAHn5zc0=")</f>
        <v>#REF!</v>
      </c>
      <c r="GY84" t="e">
        <f>AND(Bills!#REF!,"AAAAAHn5zc4=")</f>
        <v>#REF!</v>
      </c>
      <c r="GZ84" t="e">
        <f>AND(Bills!#REF!,"AAAAAHn5zc8=")</f>
        <v>#REF!</v>
      </c>
      <c r="HA84" t="e">
        <f>AND(Bills!AC263,"AAAAAHn5zdA=")</f>
        <v>#VALUE!</v>
      </c>
      <c r="HB84" t="e">
        <f>AND(Bills!AD263,"AAAAAHn5zdE=")</f>
        <v>#VALUE!</v>
      </c>
      <c r="HC84" t="e">
        <f>AND(Bills!#REF!,"AAAAAHn5zdI=")</f>
        <v>#REF!</v>
      </c>
      <c r="HD84">
        <f>IF(Bills!264:264,"AAAAAHn5zdM=",0)</f>
        <v>0</v>
      </c>
      <c r="HE84" t="e">
        <f>AND(Bills!B264,"AAAAAHn5zdQ=")</f>
        <v>#VALUE!</v>
      </c>
      <c r="HF84" t="e">
        <f>AND(Bills!#REF!,"AAAAAHn5zdU=")</f>
        <v>#REF!</v>
      </c>
      <c r="HG84" t="e">
        <f>AND(Bills!C264,"AAAAAHn5zdY=")</f>
        <v>#VALUE!</v>
      </c>
      <c r="HH84" t="e">
        <f>AND(Bills!D264,"AAAAAHn5zdc=")</f>
        <v>#VALUE!</v>
      </c>
      <c r="HI84" t="e">
        <f>AND(Bills!E264,"AAAAAHn5zdg=")</f>
        <v>#VALUE!</v>
      </c>
      <c r="HJ84" t="e">
        <f>AND(Bills!#REF!,"AAAAAHn5zdk=")</f>
        <v>#REF!</v>
      </c>
      <c r="HK84" t="e">
        <f>AND(Bills!#REF!,"AAAAAHn5zdo=")</f>
        <v>#REF!</v>
      </c>
      <c r="HL84" t="e">
        <f>AND(Bills!#REF!,"AAAAAHn5zds=")</f>
        <v>#REF!</v>
      </c>
      <c r="HM84" t="e">
        <f>AND(Bills!F264,"AAAAAHn5zdw=")</f>
        <v>#VALUE!</v>
      </c>
      <c r="HN84" t="e">
        <f>AND(Bills!#REF!,"AAAAAHn5zd0=")</f>
        <v>#REF!</v>
      </c>
      <c r="HO84" t="e">
        <f>AND(Bills!G264,"AAAAAHn5zd4=")</f>
        <v>#VALUE!</v>
      </c>
      <c r="HP84" t="e">
        <f>AND(Bills!H264,"AAAAAHn5zd8=")</f>
        <v>#VALUE!</v>
      </c>
      <c r="HQ84" t="e">
        <f>AND(Bills!I264,"AAAAAHn5zeA=")</f>
        <v>#VALUE!</v>
      </c>
      <c r="HR84" t="e">
        <f>AND(Bills!J264,"AAAAAHn5zeE=")</f>
        <v>#VALUE!</v>
      </c>
      <c r="HS84" t="e">
        <f>AND(Bills!K264,"AAAAAHn5zeI=")</f>
        <v>#VALUE!</v>
      </c>
      <c r="HT84" t="e">
        <f>AND(Bills!L264,"AAAAAHn5zeM=")</f>
        <v>#VALUE!</v>
      </c>
      <c r="HU84" t="e">
        <f>AND(Bills!#REF!,"AAAAAHn5zeQ=")</f>
        <v>#REF!</v>
      </c>
      <c r="HV84" t="e">
        <f>AND(Bills!M264,"AAAAAHn5zeU=")</f>
        <v>#VALUE!</v>
      </c>
      <c r="HW84" t="e">
        <f>AND(Bills!N264,"AAAAAHn5zeY=")</f>
        <v>#VALUE!</v>
      </c>
      <c r="HX84" t="e">
        <f>AND(Bills!O264,"AAAAAHn5zec=")</f>
        <v>#VALUE!</v>
      </c>
      <c r="HY84" t="e">
        <f>AND(Bills!P264,"AAAAAHn5zeg=")</f>
        <v>#VALUE!</v>
      </c>
      <c r="HZ84" t="e">
        <f>AND(Bills!Q264,"AAAAAHn5zek=")</f>
        <v>#VALUE!</v>
      </c>
      <c r="IA84" t="e">
        <f>AND(Bills!R264,"AAAAAHn5zeo=")</f>
        <v>#VALUE!</v>
      </c>
      <c r="IB84" t="e">
        <f>AND(Bills!S264,"AAAAAHn5zes=")</f>
        <v>#VALUE!</v>
      </c>
      <c r="IC84" t="e">
        <f>AND(Bills!T264,"AAAAAHn5zew=")</f>
        <v>#VALUE!</v>
      </c>
      <c r="ID84" t="e">
        <f>AND(Bills!#REF!,"AAAAAHn5ze0=")</f>
        <v>#REF!</v>
      </c>
      <c r="IE84" t="e">
        <f>AND(Bills!U264,"AAAAAHn5ze4=")</f>
        <v>#VALUE!</v>
      </c>
      <c r="IF84" t="e">
        <f>AND(Bills!V264,"AAAAAHn5ze8=")</f>
        <v>#VALUE!</v>
      </c>
      <c r="IG84" t="e">
        <f>AND(Bills!W264,"AAAAAHn5zfA=")</f>
        <v>#VALUE!</v>
      </c>
      <c r="IH84" t="e">
        <f>AND(Bills!#REF!,"AAAAAHn5zfE=")</f>
        <v>#REF!</v>
      </c>
      <c r="II84" t="e">
        <f>AND(Bills!#REF!,"AAAAAHn5zfI=")</f>
        <v>#REF!</v>
      </c>
      <c r="IJ84" t="e">
        <f>AND(Bills!Y264,"AAAAAHn5zfM=")</f>
        <v>#VALUE!</v>
      </c>
      <c r="IK84" t="e">
        <f>AND(Bills!Z264,"AAAAAHn5zfQ=")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AND(Bills!AA264,"AAAAAHn5zf4=")</f>
        <v>#VALUE!</v>
      </c>
      <c r="IV84" t="e">
        <f>AND(Bills!AB264,"AAAAAHn5zf8=")</f>
        <v>#VALUE!</v>
      </c>
    </row>
    <row r="85" spans="1:256">
      <c r="A85" t="e">
        <f>AND(Bills!#REF!,"AAAAAHZvcwA=")</f>
        <v>#REF!</v>
      </c>
      <c r="B85" t="e">
        <f>AND(Bills!#REF!,"AAAAAHZvcwE=")</f>
        <v>#REF!</v>
      </c>
      <c r="C85" t="e">
        <f>AND(Bills!#REF!,"AAAAAHZvcwI=")</f>
        <v>#REF!</v>
      </c>
      <c r="D85" t="e">
        <f>AND(Bills!AC264,"AAAAAHZvcwM=")</f>
        <v>#VALUE!</v>
      </c>
      <c r="E85" t="e">
        <f>AND(Bills!AD264,"AAAAAHZvcwQ=")</f>
        <v>#VALUE!</v>
      </c>
      <c r="F85" t="e">
        <f>AND(Bills!#REF!,"AAAAAHZvcwU=")</f>
        <v>#REF!</v>
      </c>
      <c r="G85">
        <f>IF(Bills!265:265,"AAAAAHZvcwY=",0)</f>
        <v>0</v>
      </c>
      <c r="H85" t="e">
        <f>AND(Bills!B265,"AAAAAHZvcwc=")</f>
        <v>#VALUE!</v>
      </c>
      <c r="I85" t="e">
        <f>AND(Bills!#REF!,"AAAAAHZvcwg=")</f>
        <v>#REF!</v>
      </c>
      <c r="J85" t="e">
        <f>AND(Bills!C265,"AAAAAHZvcwk=")</f>
        <v>#VALUE!</v>
      </c>
      <c r="K85" t="e">
        <f>AND(Bills!D265,"AAAAAHZvcwo=")</f>
        <v>#VALUE!</v>
      </c>
      <c r="L85" t="e">
        <f>AND(Bills!E265,"AAAAAHZvcws=")</f>
        <v>#VALUE!</v>
      </c>
      <c r="M85" t="e">
        <f>AND(Bills!#REF!,"AAAAAHZvcww=")</f>
        <v>#REF!</v>
      </c>
      <c r="N85" t="e">
        <f>AND(Bills!#REF!,"AAAAAHZvcw0=")</f>
        <v>#REF!</v>
      </c>
      <c r="O85" t="e">
        <f>AND(Bills!#REF!,"AAAAAHZvcw4=")</f>
        <v>#REF!</v>
      </c>
      <c r="P85" t="e">
        <f>AND(Bills!F265,"AAAAAHZvcw8=")</f>
        <v>#VALUE!</v>
      </c>
      <c r="Q85" t="e">
        <f>AND(Bills!#REF!,"AAAAAHZvcxA=")</f>
        <v>#REF!</v>
      </c>
      <c r="R85" t="e">
        <f>AND(Bills!G265,"AAAAAHZvcxE=")</f>
        <v>#VALUE!</v>
      </c>
      <c r="S85" t="e">
        <f>AND(Bills!H265,"AAAAAHZvcxI=")</f>
        <v>#VALUE!</v>
      </c>
      <c r="T85" t="e">
        <f>AND(Bills!I265,"AAAAAHZvcxM=")</f>
        <v>#VALUE!</v>
      </c>
      <c r="U85" t="e">
        <f>AND(Bills!J265,"AAAAAHZvcxQ=")</f>
        <v>#VALUE!</v>
      </c>
      <c r="V85" t="e">
        <f>AND(Bills!K265,"AAAAAHZvcxU=")</f>
        <v>#VALUE!</v>
      </c>
      <c r="W85" t="e">
        <f>AND(Bills!L265,"AAAAAHZvcxY=")</f>
        <v>#VALUE!</v>
      </c>
      <c r="X85" t="e">
        <f>AND(Bills!#REF!,"AAAAAHZvcxc=")</f>
        <v>#REF!</v>
      </c>
      <c r="Y85" t="e">
        <f>AND(Bills!M265,"AAAAAHZvcxg=")</f>
        <v>#VALUE!</v>
      </c>
      <c r="Z85" t="e">
        <f>AND(Bills!N265,"AAAAAHZvcxk=")</f>
        <v>#VALUE!</v>
      </c>
      <c r="AA85" t="e">
        <f>AND(Bills!O265,"AAAAAHZvcxo=")</f>
        <v>#VALUE!</v>
      </c>
      <c r="AB85" t="e">
        <f>AND(Bills!P265,"AAAAAHZvcxs=")</f>
        <v>#VALUE!</v>
      </c>
      <c r="AC85" t="e">
        <f>AND(Bills!Q265,"AAAAAHZvcxw=")</f>
        <v>#VALUE!</v>
      </c>
      <c r="AD85" t="e">
        <f>AND(Bills!R265,"AAAAAHZvcx0=")</f>
        <v>#VALUE!</v>
      </c>
      <c r="AE85" t="e">
        <f>AND(Bills!S265,"AAAAAHZvcx4=")</f>
        <v>#VALUE!</v>
      </c>
      <c r="AF85" t="e">
        <f>AND(Bills!T265,"AAAAAHZvcx8=")</f>
        <v>#VALUE!</v>
      </c>
      <c r="AG85" t="e">
        <f>AND(Bills!#REF!,"AAAAAHZvcyA=")</f>
        <v>#REF!</v>
      </c>
      <c r="AH85" t="e">
        <f>AND(Bills!U265,"AAAAAHZvcyE=")</f>
        <v>#VALUE!</v>
      </c>
      <c r="AI85" t="e">
        <f>AND(Bills!V265,"AAAAAHZvcyI=")</f>
        <v>#VALUE!</v>
      </c>
      <c r="AJ85" t="e">
        <f>AND(Bills!W265,"AAAAAHZvcyM=")</f>
        <v>#VALUE!</v>
      </c>
      <c r="AK85" t="e">
        <f>AND(Bills!#REF!,"AAAAAHZvcyQ=")</f>
        <v>#REF!</v>
      </c>
      <c r="AL85" t="e">
        <f>AND(Bills!#REF!,"AAAAAHZvcyU=")</f>
        <v>#REF!</v>
      </c>
      <c r="AM85" t="e">
        <f>AND(Bills!Y265,"AAAAAHZvcyY=")</f>
        <v>#VALUE!</v>
      </c>
      <c r="AN85" t="e">
        <f>AND(Bills!Z265,"AAAAAHZvcyc=")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AND(Bills!AA265,"AAAAAHZvczE=")</f>
        <v>#VALUE!</v>
      </c>
      <c r="AY85" t="e">
        <f>AND(Bills!AB265,"AAAAAHZvczI=")</f>
        <v>#VALUE!</v>
      </c>
      <c r="AZ85" t="e">
        <f>AND(Bills!#REF!,"AAAAAHZvczM=")</f>
        <v>#REF!</v>
      </c>
      <c r="BA85" t="e">
        <f>AND(Bills!#REF!,"AAAAAHZvczQ=")</f>
        <v>#REF!</v>
      </c>
      <c r="BB85" t="e">
        <f>AND(Bills!#REF!,"AAAAAHZvczU=")</f>
        <v>#REF!</v>
      </c>
      <c r="BC85" t="e">
        <f>AND(Bills!AC265,"AAAAAHZvczY=")</f>
        <v>#VALUE!</v>
      </c>
      <c r="BD85" t="e">
        <f>AND(Bills!AD265,"AAAAAHZvczc=")</f>
        <v>#VALUE!</v>
      </c>
      <c r="BE85" t="e">
        <f>AND(Bills!#REF!,"AAAAAHZvczg=")</f>
        <v>#REF!</v>
      </c>
      <c r="BF85">
        <f>IF(Bills!266:266,"AAAAAHZvczk=",0)</f>
        <v>0</v>
      </c>
      <c r="BG85" t="e">
        <f>AND(Bills!B266,"AAAAAHZvczo=")</f>
        <v>#VALUE!</v>
      </c>
      <c r="BH85" t="e">
        <f>AND(Bills!#REF!,"AAAAAHZvczs=")</f>
        <v>#REF!</v>
      </c>
      <c r="BI85" t="e">
        <f>AND(Bills!C266,"AAAAAHZvczw=")</f>
        <v>#VALUE!</v>
      </c>
      <c r="BJ85" t="e">
        <f>AND(Bills!D266,"AAAAAHZvcz0=")</f>
        <v>#VALUE!</v>
      </c>
      <c r="BK85" t="e">
        <f>AND(Bills!E266,"AAAAAHZvcz4=")</f>
        <v>#VALUE!</v>
      </c>
      <c r="BL85" t="e">
        <f>AND(Bills!#REF!,"AAAAAHZvcz8=")</f>
        <v>#REF!</v>
      </c>
      <c r="BM85" t="e">
        <f>AND(Bills!#REF!,"AAAAAHZvc0A=")</f>
        <v>#REF!</v>
      </c>
      <c r="BN85" t="e">
        <f>AND(Bills!#REF!,"AAAAAHZvc0E=")</f>
        <v>#REF!</v>
      </c>
      <c r="BO85" t="e">
        <f>AND(Bills!F266,"AAAAAHZvc0I=")</f>
        <v>#VALUE!</v>
      </c>
      <c r="BP85" t="e">
        <f>AND(Bills!#REF!,"AAAAAHZvc0M=")</f>
        <v>#REF!</v>
      </c>
      <c r="BQ85" t="e">
        <f>AND(Bills!G266,"AAAAAHZvc0Q=")</f>
        <v>#VALUE!</v>
      </c>
      <c r="BR85" t="e">
        <f>AND(Bills!H266,"AAAAAHZvc0U=")</f>
        <v>#VALUE!</v>
      </c>
      <c r="BS85" t="e">
        <f>AND(Bills!I266,"AAAAAHZvc0Y=")</f>
        <v>#VALUE!</v>
      </c>
      <c r="BT85" t="e">
        <f>AND(Bills!J266,"AAAAAHZvc0c=")</f>
        <v>#VALUE!</v>
      </c>
      <c r="BU85" t="e">
        <f>AND(Bills!K266,"AAAAAHZvc0g=")</f>
        <v>#VALUE!</v>
      </c>
      <c r="BV85" t="e">
        <f>AND(Bills!L266,"AAAAAHZvc0k=")</f>
        <v>#VALUE!</v>
      </c>
      <c r="BW85" t="e">
        <f>AND(Bills!#REF!,"AAAAAHZvc0o=")</f>
        <v>#REF!</v>
      </c>
      <c r="BX85" t="e">
        <f>AND(Bills!M266,"AAAAAHZvc0s=")</f>
        <v>#VALUE!</v>
      </c>
      <c r="BY85" t="e">
        <f>AND(Bills!N266,"AAAAAHZvc0w=")</f>
        <v>#VALUE!</v>
      </c>
      <c r="BZ85" t="e">
        <f>AND(Bills!O266,"AAAAAHZvc00=")</f>
        <v>#VALUE!</v>
      </c>
      <c r="CA85" t="e">
        <f>AND(Bills!P266,"AAAAAHZvc04=")</f>
        <v>#VALUE!</v>
      </c>
      <c r="CB85" t="e">
        <f>AND(Bills!Q266,"AAAAAHZvc08=")</f>
        <v>#VALUE!</v>
      </c>
      <c r="CC85" t="e">
        <f>AND(Bills!R266,"AAAAAHZvc1A=")</f>
        <v>#VALUE!</v>
      </c>
      <c r="CD85" t="e">
        <f>AND(Bills!S266,"AAAAAHZvc1E=")</f>
        <v>#VALUE!</v>
      </c>
      <c r="CE85" t="e">
        <f>AND(Bills!T266,"AAAAAHZvc1I=")</f>
        <v>#VALUE!</v>
      </c>
      <c r="CF85" t="e">
        <f>AND(Bills!#REF!,"AAAAAHZvc1M=")</f>
        <v>#REF!</v>
      </c>
      <c r="CG85" t="e">
        <f>AND(Bills!U266,"AAAAAHZvc1Q=")</f>
        <v>#VALUE!</v>
      </c>
      <c r="CH85" t="e">
        <f>AND(Bills!V266,"AAAAAHZvc1U=")</f>
        <v>#VALUE!</v>
      </c>
      <c r="CI85" t="e">
        <f>AND(Bills!W266,"AAAAAHZvc1Y=")</f>
        <v>#VALUE!</v>
      </c>
      <c r="CJ85" t="e">
        <f>AND(Bills!#REF!,"AAAAAHZvc1c=")</f>
        <v>#REF!</v>
      </c>
      <c r="CK85" t="e">
        <f>AND(Bills!#REF!,"AAAAAHZvc1g=")</f>
        <v>#REF!</v>
      </c>
      <c r="CL85" t="e">
        <f>AND(Bills!Y266,"AAAAAHZvc1k=")</f>
        <v>#VALUE!</v>
      </c>
      <c r="CM85" t="e">
        <f>AND(Bills!Z266,"AAAAAHZvc1o=")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AND(Bills!AA266,"AAAAAHZvc2Q=")</f>
        <v>#VALUE!</v>
      </c>
      <c r="CX85" t="e">
        <f>AND(Bills!AB266,"AAAAAHZvc2U=")</f>
        <v>#VALUE!</v>
      </c>
      <c r="CY85" t="e">
        <f>AND(Bills!#REF!,"AAAAAHZvc2Y=")</f>
        <v>#REF!</v>
      </c>
      <c r="CZ85" t="e">
        <f>AND(Bills!#REF!,"AAAAAHZvc2c=")</f>
        <v>#REF!</v>
      </c>
      <c r="DA85" t="e">
        <f>AND(Bills!#REF!,"AAAAAHZvc2g=")</f>
        <v>#REF!</v>
      </c>
      <c r="DB85" t="e">
        <f>AND(Bills!AC266,"AAAAAHZvc2k=")</f>
        <v>#VALUE!</v>
      </c>
      <c r="DC85" t="e">
        <f>AND(Bills!AD266,"AAAAAHZvc2o=")</f>
        <v>#VALUE!</v>
      </c>
      <c r="DD85" t="e">
        <f>AND(Bills!#REF!,"AAAAAHZvc2s=")</f>
        <v>#REF!</v>
      </c>
      <c r="DE85">
        <f>IF(Bills!267:267,"AAAAAHZvc2w=",0)</f>
        <v>0</v>
      </c>
      <c r="DF85" t="e">
        <f>AND(Bills!B267,"AAAAAHZvc20=")</f>
        <v>#VALUE!</v>
      </c>
      <c r="DG85" t="e">
        <f>AND(Bills!#REF!,"AAAAAHZvc24=")</f>
        <v>#REF!</v>
      </c>
      <c r="DH85" t="e">
        <f>AND(Bills!C267,"AAAAAHZvc28=")</f>
        <v>#VALUE!</v>
      </c>
      <c r="DI85" t="e">
        <f>AND(Bills!D267,"AAAAAHZvc3A=")</f>
        <v>#VALUE!</v>
      </c>
      <c r="DJ85" t="e">
        <f>AND(Bills!E267,"AAAAAHZvc3E=")</f>
        <v>#VALUE!</v>
      </c>
      <c r="DK85" t="e">
        <f>AND(Bills!#REF!,"AAAAAHZvc3I=")</f>
        <v>#REF!</v>
      </c>
      <c r="DL85" t="e">
        <f>AND(Bills!#REF!,"AAAAAHZvc3M=")</f>
        <v>#REF!</v>
      </c>
      <c r="DM85" t="e">
        <f>AND(Bills!#REF!,"AAAAAHZvc3Q=")</f>
        <v>#REF!</v>
      </c>
      <c r="DN85" t="e">
        <f>AND(Bills!F267,"AAAAAHZvc3U=")</f>
        <v>#VALUE!</v>
      </c>
      <c r="DO85" t="e">
        <f>AND(Bills!#REF!,"AAAAAHZvc3Y=")</f>
        <v>#REF!</v>
      </c>
      <c r="DP85" t="e">
        <f>AND(Bills!G267,"AAAAAHZvc3c=")</f>
        <v>#VALUE!</v>
      </c>
      <c r="DQ85" t="e">
        <f>AND(Bills!H267,"AAAAAHZvc3g=")</f>
        <v>#VALUE!</v>
      </c>
      <c r="DR85" t="e">
        <f>AND(Bills!I267,"AAAAAHZvc3k=")</f>
        <v>#VALUE!</v>
      </c>
      <c r="DS85" t="e">
        <f>AND(Bills!J267,"AAAAAHZvc3o=")</f>
        <v>#VALUE!</v>
      </c>
      <c r="DT85" t="e">
        <f>AND(Bills!K267,"AAAAAHZvc3s=")</f>
        <v>#VALUE!</v>
      </c>
      <c r="DU85" t="e">
        <f>AND(Bills!L267,"AAAAAHZvc3w=")</f>
        <v>#VALUE!</v>
      </c>
      <c r="DV85" t="e">
        <f>AND(Bills!#REF!,"AAAAAHZvc30=")</f>
        <v>#REF!</v>
      </c>
      <c r="DW85" t="e">
        <f>AND(Bills!M267,"AAAAAHZvc34=")</f>
        <v>#VALUE!</v>
      </c>
      <c r="DX85" t="e">
        <f>AND(Bills!N267,"AAAAAHZvc38=")</f>
        <v>#VALUE!</v>
      </c>
      <c r="DY85" t="e">
        <f>AND(Bills!O267,"AAAAAHZvc4A=")</f>
        <v>#VALUE!</v>
      </c>
      <c r="DZ85" t="e">
        <f>AND(Bills!P267,"AAAAAHZvc4E=")</f>
        <v>#VALUE!</v>
      </c>
      <c r="EA85" t="e">
        <f>AND(Bills!Q267,"AAAAAHZvc4I=")</f>
        <v>#VALUE!</v>
      </c>
      <c r="EB85" t="e">
        <f>AND(Bills!R267,"AAAAAHZvc4M=")</f>
        <v>#VALUE!</v>
      </c>
      <c r="EC85" t="e">
        <f>AND(Bills!S267,"AAAAAHZvc4Q=")</f>
        <v>#VALUE!</v>
      </c>
      <c r="ED85" t="e">
        <f>AND(Bills!T267,"AAAAAHZvc4U=")</f>
        <v>#VALUE!</v>
      </c>
      <c r="EE85" t="e">
        <f>AND(Bills!#REF!,"AAAAAHZvc4Y=")</f>
        <v>#REF!</v>
      </c>
      <c r="EF85" t="e">
        <f>AND(Bills!U267,"AAAAAHZvc4c=")</f>
        <v>#VALUE!</v>
      </c>
      <c r="EG85" t="e">
        <f>AND(Bills!V267,"AAAAAHZvc4g=")</f>
        <v>#VALUE!</v>
      </c>
      <c r="EH85" t="e">
        <f>AND(Bills!W267,"AAAAAHZvc4k=")</f>
        <v>#VALUE!</v>
      </c>
      <c r="EI85" t="e">
        <f>AND(Bills!#REF!,"AAAAAHZvc4o=")</f>
        <v>#REF!</v>
      </c>
      <c r="EJ85" t="e">
        <f>AND(Bills!#REF!,"AAAAAHZvc4s=")</f>
        <v>#REF!</v>
      </c>
      <c r="EK85" t="e">
        <f>AND(Bills!Y267,"AAAAAHZvc4w=")</f>
        <v>#VALUE!</v>
      </c>
      <c r="EL85" t="e">
        <f>AND(Bills!Z267,"AAAAAHZvc40=")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AND(Bills!AA267,"AAAAAHZvc5c=")</f>
        <v>#VALUE!</v>
      </c>
      <c r="EW85" t="e">
        <f>AND(Bills!AB267,"AAAAAHZvc5g=")</f>
        <v>#VALUE!</v>
      </c>
      <c r="EX85" t="e">
        <f>AND(Bills!#REF!,"AAAAAHZvc5k=")</f>
        <v>#REF!</v>
      </c>
      <c r="EY85" t="e">
        <f>AND(Bills!#REF!,"AAAAAHZvc5o=")</f>
        <v>#REF!</v>
      </c>
      <c r="EZ85" t="e">
        <f>AND(Bills!#REF!,"AAAAAHZvc5s=")</f>
        <v>#REF!</v>
      </c>
      <c r="FA85" t="e">
        <f>AND(Bills!AC267,"AAAAAHZvc5w=")</f>
        <v>#VALUE!</v>
      </c>
      <c r="FB85" t="e">
        <f>AND(Bills!AD267,"AAAAAHZvc50=")</f>
        <v>#VALUE!</v>
      </c>
      <c r="FC85" t="e">
        <f>AND(Bills!#REF!,"AAAAAHZvc54=")</f>
        <v>#REF!</v>
      </c>
      <c r="FD85">
        <f>IF(Bills!268:268,"AAAAAHZvc58=",0)</f>
        <v>0</v>
      </c>
      <c r="FE85" t="e">
        <f>AND(Bills!B268,"AAAAAHZvc6A=")</f>
        <v>#VALUE!</v>
      </c>
      <c r="FF85" t="e">
        <f>AND(Bills!#REF!,"AAAAAHZvc6E=")</f>
        <v>#REF!</v>
      </c>
      <c r="FG85" t="e">
        <f>AND(Bills!C268,"AAAAAHZvc6I=")</f>
        <v>#VALUE!</v>
      </c>
      <c r="FH85" t="e">
        <f>AND(Bills!D268,"AAAAAHZvc6M=")</f>
        <v>#VALUE!</v>
      </c>
      <c r="FI85" t="e">
        <f>AND(Bills!E268,"AAAAAHZvc6Q=")</f>
        <v>#VALUE!</v>
      </c>
      <c r="FJ85" t="e">
        <f>AND(Bills!#REF!,"AAAAAHZvc6U=")</f>
        <v>#REF!</v>
      </c>
      <c r="FK85" t="e">
        <f>AND(Bills!#REF!,"AAAAAHZvc6Y=")</f>
        <v>#REF!</v>
      </c>
      <c r="FL85" t="e">
        <f>AND(Bills!#REF!,"AAAAAHZvc6c=")</f>
        <v>#REF!</v>
      </c>
      <c r="FM85" t="e">
        <f>AND(Bills!F268,"AAAAAHZvc6g=")</f>
        <v>#VALUE!</v>
      </c>
      <c r="FN85" t="e">
        <f>AND(Bills!#REF!,"AAAAAHZvc6k=")</f>
        <v>#REF!</v>
      </c>
      <c r="FO85" t="e">
        <f>AND(Bills!G268,"AAAAAHZvc6o=")</f>
        <v>#VALUE!</v>
      </c>
      <c r="FP85" t="e">
        <f>AND(Bills!H268,"AAAAAHZvc6s=")</f>
        <v>#VALUE!</v>
      </c>
      <c r="FQ85" t="e">
        <f>AND(Bills!I268,"AAAAAHZvc6w=")</f>
        <v>#VALUE!</v>
      </c>
      <c r="FR85" t="e">
        <f>AND(Bills!J268,"AAAAAHZvc60=")</f>
        <v>#VALUE!</v>
      </c>
      <c r="FS85" t="e">
        <f>AND(Bills!K268,"AAAAAHZvc64=")</f>
        <v>#VALUE!</v>
      </c>
      <c r="FT85" t="e">
        <f>AND(Bills!L268,"AAAAAHZvc68=")</f>
        <v>#VALUE!</v>
      </c>
      <c r="FU85" t="e">
        <f>AND(Bills!#REF!,"AAAAAHZvc7A=")</f>
        <v>#REF!</v>
      </c>
      <c r="FV85" t="e">
        <f>AND(Bills!M268,"AAAAAHZvc7E=")</f>
        <v>#VALUE!</v>
      </c>
      <c r="FW85" t="e">
        <f>AND(Bills!N268,"AAAAAHZvc7I=")</f>
        <v>#VALUE!</v>
      </c>
      <c r="FX85" t="e">
        <f>AND(Bills!O268,"AAAAAHZvc7M=")</f>
        <v>#VALUE!</v>
      </c>
      <c r="FY85" t="e">
        <f>AND(Bills!P268,"AAAAAHZvc7Q=")</f>
        <v>#VALUE!</v>
      </c>
      <c r="FZ85" t="e">
        <f>AND(Bills!Q268,"AAAAAHZvc7U=")</f>
        <v>#VALUE!</v>
      </c>
      <c r="GA85" t="e">
        <f>AND(Bills!R268,"AAAAAHZvc7Y=")</f>
        <v>#VALUE!</v>
      </c>
      <c r="GB85" t="e">
        <f>AND(Bills!S268,"AAAAAHZvc7c=")</f>
        <v>#VALUE!</v>
      </c>
      <c r="GC85" t="e">
        <f>AND(Bills!T268,"AAAAAHZvc7g=")</f>
        <v>#VALUE!</v>
      </c>
      <c r="GD85" t="e">
        <f>AND(Bills!#REF!,"AAAAAHZvc7k=")</f>
        <v>#REF!</v>
      </c>
      <c r="GE85" t="e">
        <f>AND(Bills!U268,"AAAAAHZvc7o=")</f>
        <v>#VALUE!</v>
      </c>
      <c r="GF85" t="e">
        <f>AND(Bills!V268,"AAAAAHZvc7s=")</f>
        <v>#VALUE!</v>
      </c>
      <c r="GG85" t="e">
        <f>AND(Bills!W268,"AAAAAHZvc7w=")</f>
        <v>#VALUE!</v>
      </c>
      <c r="GH85" t="e">
        <f>AND(Bills!#REF!,"AAAAAHZvc70=")</f>
        <v>#REF!</v>
      </c>
      <c r="GI85" t="e">
        <f>AND(Bills!#REF!,"AAAAAHZvc74=")</f>
        <v>#REF!</v>
      </c>
      <c r="GJ85" t="e">
        <f>AND(Bills!Y268,"AAAAAHZvc78=")</f>
        <v>#VALUE!</v>
      </c>
      <c r="GK85" t="e">
        <f>AND(Bills!Z268,"AAAAAHZvc8A=")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AND(Bills!AA268,"AAAAAHZvc8o=")</f>
        <v>#VALUE!</v>
      </c>
      <c r="GV85" t="e">
        <f>AND(Bills!AB268,"AAAAAHZvc8s=")</f>
        <v>#VALUE!</v>
      </c>
      <c r="GW85" t="e">
        <f>AND(Bills!#REF!,"AAAAAHZvc8w=")</f>
        <v>#REF!</v>
      </c>
      <c r="GX85" t="e">
        <f>AND(Bills!#REF!,"AAAAAHZvc80=")</f>
        <v>#REF!</v>
      </c>
      <c r="GY85" t="e">
        <f>AND(Bills!#REF!,"AAAAAHZvc84=")</f>
        <v>#REF!</v>
      </c>
      <c r="GZ85" t="e">
        <f>AND(Bills!AC268,"AAAAAHZvc88=")</f>
        <v>#VALUE!</v>
      </c>
      <c r="HA85" t="e">
        <f>AND(Bills!AD268,"AAAAAHZvc9A=")</f>
        <v>#VALUE!</v>
      </c>
      <c r="HB85" t="e">
        <f>AND(Bills!#REF!,"AAAAAHZvc9E=")</f>
        <v>#REF!</v>
      </c>
      <c r="HC85">
        <f>IF(Bills!269:269,"AAAAAHZvc9I=",0)</f>
        <v>0</v>
      </c>
      <c r="HD85" t="e">
        <f>AND(Bills!B269,"AAAAAHZvc9M=")</f>
        <v>#VALUE!</v>
      </c>
      <c r="HE85" t="e">
        <f>AND(Bills!#REF!,"AAAAAHZvc9Q=")</f>
        <v>#REF!</v>
      </c>
      <c r="HF85" t="e">
        <f>AND(Bills!C269,"AAAAAHZvc9U=")</f>
        <v>#VALUE!</v>
      </c>
      <c r="HG85" t="e">
        <f>AND(Bills!D269,"AAAAAHZvc9Y=")</f>
        <v>#VALUE!</v>
      </c>
      <c r="HH85" t="e">
        <f>AND(Bills!E269,"AAAAAHZvc9c=")</f>
        <v>#VALUE!</v>
      </c>
      <c r="HI85" t="e">
        <f>AND(Bills!#REF!,"AAAAAHZvc9g=")</f>
        <v>#REF!</v>
      </c>
      <c r="HJ85" t="e">
        <f>AND(Bills!#REF!,"AAAAAHZvc9k=")</f>
        <v>#REF!</v>
      </c>
      <c r="HK85" t="e">
        <f>AND(Bills!#REF!,"AAAAAHZvc9o=")</f>
        <v>#REF!</v>
      </c>
      <c r="HL85" t="e">
        <f>AND(Bills!F269,"AAAAAHZvc9s=")</f>
        <v>#VALUE!</v>
      </c>
      <c r="HM85" t="e">
        <f>AND(Bills!#REF!,"AAAAAHZvc9w=")</f>
        <v>#REF!</v>
      </c>
      <c r="HN85" t="e">
        <f>AND(Bills!G269,"AAAAAHZvc90=")</f>
        <v>#VALUE!</v>
      </c>
      <c r="HO85" t="e">
        <f>AND(Bills!H269,"AAAAAHZvc94=")</f>
        <v>#VALUE!</v>
      </c>
      <c r="HP85" t="e">
        <f>AND(Bills!I269,"AAAAAHZvc98=")</f>
        <v>#VALUE!</v>
      </c>
      <c r="HQ85" t="e">
        <f>AND(Bills!J269,"AAAAAHZvc+A=")</f>
        <v>#VALUE!</v>
      </c>
      <c r="HR85" t="e">
        <f>AND(Bills!K269,"AAAAAHZvc+E=")</f>
        <v>#VALUE!</v>
      </c>
      <c r="HS85" t="e">
        <f>AND(Bills!L269,"AAAAAHZvc+I=")</f>
        <v>#VALUE!</v>
      </c>
      <c r="HT85" t="e">
        <f>AND(Bills!#REF!,"AAAAAHZvc+M=")</f>
        <v>#REF!</v>
      </c>
      <c r="HU85" t="e">
        <f>AND(Bills!M269,"AAAAAHZvc+Q=")</f>
        <v>#VALUE!</v>
      </c>
      <c r="HV85" t="e">
        <f>AND(Bills!N269,"AAAAAHZvc+U=")</f>
        <v>#VALUE!</v>
      </c>
      <c r="HW85" t="e">
        <f>AND(Bills!O269,"AAAAAHZvc+Y=")</f>
        <v>#VALUE!</v>
      </c>
      <c r="HX85" t="e">
        <f>AND(Bills!P269,"AAAAAHZvc+c=")</f>
        <v>#VALUE!</v>
      </c>
      <c r="HY85" t="e">
        <f>AND(Bills!Q269,"AAAAAHZvc+g=")</f>
        <v>#VALUE!</v>
      </c>
      <c r="HZ85" t="e">
        <f>AND(Bills!R269,"AAAAAHZvc+k=")</f>
        <v>#VALUE!</v>
      </c>
      <c r="IA85" t="e">
        <f>AND(Bills!S269,"AAAAAHZvc+o=")</f>
        <v>#VALUE!</v>
      </c>
      <c r="IB85" t="e">
        <f>AND(Bills!T269,"AAAAAHZvc+s=")</f>
        <v>#VALUE!</v>
      </c>
      <c r="IC85" t="e">
        <f>AND(Bills!#REF!,"AAAAAHZvc+w=")</f>
        <v>#REF!</v>
      </c>
      <c r="ID85" t="e">
        <f>AND(Bills!U269,"AAAAAHZvc+0=")</f>
        <v>#VALUE!</v>
      </c>
      <c r="IE85" t="e">
        <f>AND(Bills!V269,"AAAAAHZvc+4=")</f>
        <v>#VALUE!</v>
      </c>
      <c r="IF85" t="e">
        <f>AND(Bills!W269,"AAAAAHZvc+8=")</f>
        <v>#VALUE!</v>
      </c>
      <c r="IG85" t="e">
        <f>AND(Bills!#REF!,"AAAAAHZvc/A=")</f>
        <v>#REF!</v>
      </c>
      <c r="IH85" t="e">
        <f>AND(Bills!#REF!,"AAAAAHZvc/E=")</f>
        <v>#REF!</v>
      </c>
      <c r="II85" t="e">
        <f>AND(Bills!Y269,"AAAAAHZvc/I=")</f>
        <v>#VALUE!</v>
      </c>
      <c r="IJ85" t="e">
        <f>AND(Bills!Z269,"AAAAAHZvc/M=")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AND(Bills!AA269,"AAAAAHZvc/0=")</f>
        <v>#VALUE!</v>
      </c>
      <c r="IU85" t="e">
        <f>AND(Bills!AB269,"AAAAAHZvc/4=")</f>
        <v>#VALUE!</v>
      </c>
      <c r="IV85" t="e">
        <f>AND(Bills!#REF!,"AAAAAHZvc/8=")</f>
        <v>#REF!</v>
      </c>
    </row>
    <row r="86" spans="1:256">
      <c r="A86" t="e">
        <f>AND(Bills!#REF!,"AAAAAHba+wA=")</f>
        <v>#REF!</v>
      </c>
      <c r="B86" t="e">
        <f>AND(Bills!#REF!,"AAAAAHba+wE=")</f>
        <v>#REF!</v>
      </c>
      <c r="C86" t="e">
        <f>AND(Bills!AC269,"AAAAAHba+wI=")</f>
        <v>#VALUE!</v>
      </c>
      <c r="D86" t="e">
        <f>AND(Bills!AD269,"AAAAAHba+wM=")</f>
        <v>#VALUE!</v>
      </c>
      <c r="E86" t="e">
        <f>AND(Bills!#REF!,"AAAAAHba+wQ=")</f>
        <v>#REF!</v>
      </c>
      <c r="F86">
        <f>IF(Bills!270:270,"AAAAAHba+wU=",0)</f>
        <v>0</v>
      </c>
      <c r="G86" t="e">
        <f>AND(Bills!B270,"AAAAAHba+wY=")</f>
        <v>#VALUE!</v>
      </c>
      <c r="H86" t="e">
        <f>AND(Bills!#REF!,"AAAAAHba+wc=")</f>
        <v>#REF!</v>
      </c>
      <c r="I86" t="e">
        <f>AND(Bills!C270,"AAAAAHba+wg=")</f>
        <v>#VALUE!</v>
      </c>
      <c r="J86" t="e">
        <f>AND(Bills!D270,"AAAAAHba+wk=")</f>
        <v>#VALUE!</v>
      </c>
      <c r="K86" t="e">
        <f>AND(Bills!E270,"AAAAAHba+wo=")</f>
        <v>#VALUE!</v>
      </c>
      <c r="L86" t="e">
        <f>AND(Bills!#REF!,"AAAAAHba+ws=")</f>
        <v>#REF!</v>
      </c>
      <c r="M86" t="e">
        <f>AND(Bills!#REF!,"AAAAAHba+ww=")</f>
        <v>#REF!</v>
      </c>
      <c r="N86" t="e">
        <f>AND(Bills!#REF!,"AAAAAHba+w0=")</f>
        <v>#REF!</v>
      </c>
      <c r="O86" t="e">
        <f>AND(Bills!F270,"AAAAAHba+w4=")</f>
        <v>#VALUE!</v>
      </c>
      <c r="P86" t="e">
        <f>AND(Bills!#REF!,"AAAAAHba+w8=")</f>
        <v>#REF!</v>
      </c>
      <c r="Q86" t="e">
        <f>AND(Bills!G270,"AAAAAHba+xA=")</f>
        <v>#VALUE!</v>
      </c>
      <c r="R86" t="e">
        <f>AND(Bills!H270,"AAAAAHba+xE=")</f>
        <v>#VALUE!</v>
      </c>
      <c r="S86" t="e">
        <f>AND(Bills!I270,"AAAAAHba+xI=")</f>
        <v>#VALUE!</v>
      </c>
      <c r="T86" t="e">
        <f>AND(Bills!J270,"AAAAAHba+xM=")</f>
        <v>#VALUE!</v>
      </c>
      <c r="U86" t="e">
        <f>AND(Bills!K270,"AAAAAHba+xQ=")</f>
        <v>#VALUE!</v>
      </c>
      <c r="V86" t="e">
        <f>AND(Bills!L270,"AAAAAHba+xU=")</f>
        <v>#VALUE!</v>
      </c>
      <c r="W86" t="e">
        <f>AND(Bills!#REF!,"AAAAAHba+xY=")</f>
        <v>#REF!</v>
      </c>
      <c r="X86" t="e">
        <f>AND(Bills!M270,"AAAAAHba+xc=")</f>
        <v>#VALUE!</v>
      </c>
      <c r="Y86" t="e">
        <f>AND(Bills!N270,"AAAAAHba+xg=")</f>
        <v>#VALUE!</v>
      </c>
      <c r="Z86" t="e">
        <f>AND(Bills!O270,"AAAAAHba+xk=")</f>
        <v>#VALUE!</v>
      </c>
      <c r="AA86" t="e">
        <f>AND(Bills!P270,"AAAAAHba+xo=")</f>
        <v>#VALUE!</v>
      </c>
      <c r="AB86" t="e">
        <f>AND(Bills!Q270,"AAAAAHba+xs=")</f>
        <v>#VALUE!</v>
      </c>
      <c r="AC86" t="e">
        <f>AND(Bills!R270,"AAAAAHba+xw=")</f>
        <v>#VALUE!</v>
      </c>
      <c r="AD86" t="e">
        <f>AND(Bills!S270,"AAAAAHba+x0=")</f>
        <v>#VALUE!</v>
      </c>
      <c r="AE86" t="e">
        <f>AND(Bills!T270,"AAAAAHba+x4=")</f>
        <v>#VALUE!</v>
      </c>
      <c r="AF86" t="e">
        <f>AND(Bills!#REF!,"AAAAAHba+x8=")</f>
        <v>#REF!</v>
      </c>
      <c r="AG86" t="e">
        <f>AND(Bills!U270,"AAAAAHba+yA=")</f>
        <v>#VALUE!</v>
      </c>
      <c r="AH86" t="e">
        <f>AND(Bills!V270,"AAAAAHba+yE=")</f>
        <v>#VALUE!</v>
      </c>
      <c r="AI86" t="e">
        <f>AND(Bills!W270,"AAAAAHba+yI=")</f>
        <v>#VALUE!</v>
      </c>
      <c r="AJ86" t="e">
        <f>AND(Bills!#REF!,"AAAAAHba+yM=")</f>
        <v>#REF!</v>
      </c>
      <c r="AK86" t="e">
        <f>AND(Bills!#REF!,"AAAAAHba+yQ=")</f>
        <v>#REF!</v>
      </c>
      <c r="AL86" t="e">
        <f>AND(Bills!Y270,"AAAAAHba+yU=")</f>
        <v>#VALUE!</v>
      </c>
      <c r="AM86" t="e">
        <f>AND(Bills!Z270,"AAAAAHba+yY=")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AND(Bills!AA270,"AAAAAHba+zA=")</f>
        <v>#VALUE!</v>
      </c>
      <c r="AX86" t="e">
        <f>AND(Bills!AB270,"AAAAAHba+zE=")</f>
        <v>#VALUE!</v>
      </c>
      <c r="AY86" t="e">
        <f>AND(Bills!#REF!,"AAAAAHba+zI=")</f>
        <v>#REF!</v>
      </c>
      <c r="AZ86" t="e">
        <f>AND(Bills!#REF!,"AAAAAHba+zM=")</f>
        <v>#REF!</v>
      </c>
      <c r="BA86" t="e">
        <f>AND(Bills!#REF!,"AAAAAHba+zQ=")</f>
        <v>#REF!</v>
      </c>
      <c r="BB86" t="e">
        <f>AND(Bills!AC270,"AAAAAHba+zU=")</f>
        <v>#VALUE!</v>
      </c>
      <c r="BC86" t="e">
        <f>AND(Bills!AD270,"AAAAAHba+zY=")</f>
        <v>#VALUE!</v>
      </c>
      <c r="BD86" t="e">
        <f>AND(Bills!#REF!,"AAAAAHba+zc=")</f>
        <v>#REF!</v>
      </c>
      <c r="BE86">
        <f>IF(Bills!271:271,"AAAAAHba+zg=",0)</f>
        <v>0</v>
      </c>
      <c r="BF86" t="e">
        <f>AND(Bills!B271,"AAAAAHba+zk=")</f>
        <v>#VALUE!</v>
      </c>
      <c r="BG86" t="e">
        <f>AND(Bills!#REF!,"AAAAAHba+zo=")</f>
        <v>#REF!</v>
      </c>
      <c r="BH86" t="e">
        <f>AND(Bills!C271,"AAAAAHba+zs=")</f>
        <v>#VALUE!</v>
      </c>
      <c r="BI86" t="e">
        <f>AND(Bills!D271,"AAAAAHba+zw=")</f>
        <v>#VALUE!</v>
      </c>
      <c r="BJ86" t="e">
        <f>AND(Bills!E271,"AAAAAHba+z0=")</f>
        <v>#VALUE!</v>
      </c>
      <c r="BK86" t="e">
        <f>AND(Bills!#REF!,"AAAAAHba+z4=")</f>
        <v>#REF!</v>
      </c>
      <c r="BL86" t="e">
        <f>AND(Bills!#REF!,"AAAAAHba+z8=")</f>
        <v>#REF!</v>
      </c>
      <c r="BM86" t="e">
        <f>AND(Bills!#REF!,"AAAAAHba+0A=")</f>
        <v>#REF!</v>
      </c>
      <c r="BN86" t="e">
        <f>AND(Bills!F271,"AAAAAHba+0E=")</f>
        <v>#VALUE!</v>
      </c>
      <c r="BO86" t="e">
        <f>AND(Bills!#REF!,"AAAAAHba+0I=")</f>
        <v>#REF!</v>
      </c>
      <c r="BP86" t="e">
        <f>AND(Bills!G271,"AAAAAHba+0M=")</f>
        <v>#VALUE!</v>
      </c>
      <c r="BQ86" t="e">
        <f>AND(Bills!H271,"AAAAAHba+0Q=")</f>
        <v>#VALUE!</v>
      </c>
      <c r="BR86" t="e">
        <f>AND(Bills!I271,"AAAAAHba+0U=")</f>
        <v>#VALUE!</v>
      </c>
      <c r="BS86" t="e">
        <f>AND(Bills!J271,"AAAAAHba+0Y=")</f>
        <v>#VALUE!</v>
      </c>
      <c r="BT86" t="e">
        <f>AND(Bills!K271,"AAAAAHba+0c=")</f>
        <v>#VALUE!</v>
      </c>
      <c r="BU86" t="e">
        <f>AND(Bills!L271,"AAAAAHba+0g=")</f>
        <v>#VALUE!</v>
      </c>
      <c r="BV86" t="e">
        <f>AND(Bills!#REF!,"AAAAAHba+0k=")</f>
        <v>#REF!</v>
      </c>
      <c r="BW86" t="e">
        <f>AND(Bills!M271,"AAAAAHba+0o=")</f>
        <v>#VALUE!</v>
      </c>
      <c r="BX86" t="e">
        <f>AND(Bills!N271,"AAAAAHba+0s=")</f>
        <v>#VALUE!</v>
      </c>
      <c r="BY86" t="e">
        <f>AND(Bills!O271,"AAAAAHba+0w=")</f>
        <v>#VALUE!</v>
      </c>
      <c r="BZ86" t="e">
        <f>AND(Bills!P271,"AAAAAHba+00=")</f>
        <v>#VALUE!</v>
      </c>
      <c r="CA86" t="e">
        <f>AND(Bills!Q271,"AAAAAHba+04=")</f>
        <v>#VALUE!</v>
      </c>
      <c r="CB86" t="e">
        <f>AND(Bills!R271,"AAAAAHba+08=")</f>
        <v>#VALUE!</v>
      </c>
      <c r="CC86" t="e">
        <f>AND(Bills!S271,"AAAAAHba+1A=")</f>
        <v>#VALUE!</v>
      </c>
      <c r="CD86" t="e">
        <f>AND(Bills!T271,"AAAAAHba+1E=")</f>
        <v>#VALUE!</v>
      </c>
      <c r="CE86" t="e">
        <f>AND(Bills!#REF!,"AAAAAHba+1I=")</f>
        <v>#REF!</v>
      </c>
      <c r="CF86" t="e">
        <f>AND(Bills!U271,"AAAAAHba+1M=")</f>
        <v>#VALUE!</v>
      </c>
      <c r="CG86" t="e">
        <f>AND(Bills!V271,"AAAAAHba+1Q=")</f>
        <v>#VALUE!</v>
      </c>
      <c r="CH86" t="e">
        <f>AND(Bills!W271,"AAAAAHba+1U=")</f>
        <v>#VALUE!</v>
      </c>
      <c r="CI86" t="e">
        <f>AND(Bills!#REF!,"AAAAAHba+1Y=")</f>
        <v>#REF!</v>
      </c>
      <c r="CJ86" t="e">
        <f>AND(Bills!#REF!,"AAAAAHba+1c=")</f>
        <v>#REF!</v>
      </c>
      <c r="CK86" t="e">
        <f>AND(Bills!Y271,"AAAAAHba+1g=")</f>
        <v>#VALUE!</v>
      </c>
      <c r="CL86" t="e">
        <f>AND(Bills!Z271,"AAAAAHba+1k=")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AND(Bills!AA271,"AAAAAHba+2M=")</f>
        <v>#VALUE!</v>
      </c>
      <c r="CW86" t="e">
        <f>AND(Bills!AB271,"AAAAAHba+2Q=")</f>
        <v>#VALUE!</v>
      </c>
      <c r="CX86" t="e">
        <f>AND(Bills!#REF!,"AAAAAHba+2U=")</f>
        <v>#REF!</v>
      </c>
      <c r="CY86" t="e">
        <f>AND(Bills!#REF!,"AAAAAHba+2Y=")</f>
        <v>#REF!</v>
      </c>
      <c r="CZ86" t="e">
        <f>AND(Bills!#REF!,"AAAAAHba+2c=")</f>
        <v>#REF!</v>
      </c>
      <c r="DA86" t="e">
        <f>AND(Bills!AC271,"AAAAAHba+2g=")</f>
        <v>#VALUE!</v>
      </c>
      <c r="DB86" t="e">
        <f>AND(Bills!AD271,"AAAAAHba+2k=")</f>
        <v>#VALUE!</v>
      </c>
      <c r="DC86" t="e">
        <f>AND(Bills!#REF!,"AAAAAHba+2o=")</f>
        <v>#REF!</v>
      </c>
      <c r="DD86">
        <f>IF(Bills!272:272,"AAAAAHba+2s=",0)</f>
        <v>0</v>
      </c>
      <c r="DE86" t="e">
        <f>AND(Bills!B272,"AAAAAHba+2w=")</f>
        <v>#VALUE!</v>
      </c>
      <c r="DF86" t="e">
        <f>AND(Bills!#REF!,"AAAAAHba+20=")</f>
        <v>#REF!</v>
      </c>
      <c r="DG86" t="e">
        <f>AND(Bills!C272,"AAAAAHba+24=")</f>
        <v>#VALUE!</v>
      </c>
      <c r="DH86" t="e">
        <f>AND(Bills!D272,"AAAAAHba+28=")</f>
        <v>#VALUE!</v>
      </c>
      <c r="DI86" t="e">
        <f>AND(Bills!E272,"AAAAAHba+3A=")</f>
        <v>#VALUE!</v>
      </c>
      <c r="DJ86" t="e">
        <f>AND(Bills!#REF!,"AAAAAHba+3E=")</f>
        <v>#REF!</v>
      </c>
      <c r="DK86" t="e">
        <f>AND(Bills!#REF!,"AAAAAHba+3I=")</f>
        <v>#REF!</v>
      </c>
      <c r="DL86" t="e">
        <f>AND(Bills!#REF!,"AAAAAHba+3M=")</f>
        <v>#REF!</v>
      </c>
      <c r="DM86" t="e">
        <f>AND(Bills!F272,"AAAAAHba+3Q=")</f>
        <v>#VALUE!</v>
      </c>
      <c r="DN86" t="e">
        <f>AND(Bills!#REF!,"AAAAAHba+3U=")</f>
        <v>#REF!</v>
      </c>
      <c r="DO86" t="e">
        <f>AND(Bills!G272,"AAAAAHba+3Y=")</f>
        <v>#VALUE!</v>
      </c>
      <c r="DP86" t="e">
        <f>AND(Bills!H272,"AAAAAHba+3c=")</f>
        <v>#VALUE!</v>
      </c>
      <c r="DQ86" t="e">
        <f>AND(Bills!I272,"AAAAAHba+3g=")</f>
        <v>#VALUE!</v>
      </c>
      <c r="DR86" t="e">
        <f>AND(Bills!J272,"AAAAAHba+3k=")</f>
        <v>#VALUE!</v>
      </c>
      <c r="DS86" t="e">
        <f>AND(Bills!K272,"AAAAAHba+3o=")</f>
        <v>#VALUE!</v>
      </c>
      <c r="DT86" t="e">
        <f>AND(Bills!L272,"AAAAAHba+3s=")</f>
        <v>#VALUE!</v>
      </c>
      <c r="DU86" t="e">
        <f>AND(Bills!#REF!,"AAAAAHba+3w=")</f>
        <v>#REF!</v>
      </c>
      <c r="DV86" t="e">
        <f>AND(Bills!M272,"AAAAAHba+30=")</f>
        <v>#VALUE!</v>
      </c>
      <c r="DW86" t="e">
        <f>AND(Bills!N272,"AAAAAHba+34=")</f>
        <v>#VALUE!</v>
      </c>
      <c r="DX86" t="e">
        <f>AND(Bills!O272,"AAAAAHba+38=")</f>
        <v>#VALUE!</v>
      </c>
      <c r="DY86" t="e">
        <f>AND(Bills!P272,"AAAAAHba+4A=")</f>
        <v>#VALUE!</v>
      </c>
      <c r="DZ86" t="e">
        <f>AND(Bills!Q272,"AAAAAHba+4E=")</f>
        <v>#VALUE!</v>
      </c>
      <c r="EA86" t="e">
        <f>AND(Bills!R272,"AAAAAHba+4I=")</f>
        <v>#VALUE!</v>
      </c>
      <c r="EB86" t="e">
        <f>AND(Bills!S272,"AAAAAHba+4M=")</f>
        <v>#VALUE!</v>
      </c>
      <c r="EC86" t="e">
        <f>AND(Bills!T272,"AAAAAHba+4Q=")</f>
        <v>#VALUE!</v>
      </c>
      <c r="ED86" t="e">
        <f>AND(Bills!#REF!,"AAAAAHba+4U=")</f>
        <v>#REF!</v>
      </c>
      <c r="EE86" t="e">
        <f>AND(Bills!U272,"AAAAAHba+4Y=")</f>
        <v>#VALUE!</v>
      </c>
      <c r="EF86" t="e">
        <f>AND(Bills!V272,"AAAAAHba+4c=")</f>
        <v>#VALUE!</v>
      </c>
      <c r="EG86" t="e">
        <f>AND(Bills!W272,"AAAAAHba+4g=")</f>
        <v>#VALUE!</v>
      </c>
      <c r="EH86" t="e">
        <f>AND(Bills!#REF!,"AAAAAHba+4k=")</f>
        <v>#REF!</v>
      </c>
      <c r="EI86" t="e">
        <f>AND(Bills!#REF!,"AAAAAHba+4o=")</f>
        <v>#REF!</v>
      </c>
      <c r="EJ86" t="e">
        <f>AND(Bills!Y272,"AAAAAHba+4s=")</f>
        <v>#VALUE!</v>
      </c>
      <c r="EK86" t="e">
        <f>AND(Bills!Z272,"AAAAAHba+4w=")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AND(Bills!AA272,"AAAAAHba+5Y=")</f>
        <v>#VALUE!</v>
      </c>
      <c r="EV86" t="e">
        <f>AND(Bills!AB272,"AAAAAHba+5c=")</f>
        <v>#VALUE!</v>
      </c>
      <c r="EW86" t="e">
        <f>AND(Bills!#REF!,"AAAAAHba+5g=")</f>
        <v>#REF!</v>
      </c>
      <c r="EX86" t="e">
        <f>AND(Bills!#REF!,"AAAAAHba+5k=")</f>
        <v>#REF!</v>
      </c>
      <c r="EY86" t="e">
        <f>AND(Bills!#REF!,"AAAAAHba+5o=")</f>
        <v>#REF!</v>
      </c>
      <c r="EZ86" t="e">
        <f>AND(Bills!AC272,"AAAAAHba+5s=")</f>
        <v>#VALUE!</v>
      </c>
      <c r="FA86" t="e">
        <f>AND(Bills!AD272,"AAAAAHba+5w=")</f>
        <v>#VALUE!</v>
      </c>
      <c r="FB86" t="e">
        <f>AND(Bills!#REF!,"AAAAAHba+50=")</f>
        <v>#REF!</v>
      </c>
      <c r="FC86">
        <f>IF(Bills!273:273,"AAAAAHba+54=",0)</f>
        <v>0</v>
      </c>
      <c r="FD86" t="e">
        <f>AND(Bills!B273,"AAAAAHba+58=")</f>
        <v>#VALUE!</v>
      </c>
      <c r="FE86" t="e">
        <f>AND(Bills!#REF!,"AAAAAHba+6A=")</f>
        <v>#REF!</v>
      </c>
      <c r="FF86" t="e">
        <f>AND(Bills!C273,"AAAAAHba+6E=")</f>
        <v>#VALUE!</v>
      </c>
      <c r="FG86" t="e">
        <f>AND(Bills!D273,"AAAAAHba+6I=")</f>
        <v>#VALUE!</v>
      </c>
      <c r="FH86" t="e">
        <f>AND(Bills!E273,"AAAAAHba+6M=")</f>
        <v>#VALUE!</v>
      </c>
      <c r="FI86" t="e">
        <f>AND(Bills!#REF!,"AAAAAHba+6Q=")</f>
        <v>#REF!</v>
      </c>
      <c r="FJ86" t="e">
        <f>AND(Bills!#REF!,"AAAAAHba+6U=")</f>
        <v>#REF!</v>
      </c>
      <c r="FK86" t="e">
        <f>AND(Bills!#REF!,"AAAAAHba+6Y=")</f>
        <v>#REF!</v>
      </c>
      <c r="FL86" t="e">
        <f>AND(Bills!F273,"AAAAAHba+6c=")</f>
        <v>#VALUE!</v>
      </c>
      <c r="FM86" t="e">
        <f>AND(Bills!#REF!,"AAAAAHba+6g=")</f>
        <v>#REF!</v>
      </c>
      <c r="FN86" t="e">
        <f>AND(Bills!G273,"AAAAAHba+6k=")</f>
        <v>#VALUE!</v>
      </c>
      <c r="FO86" t="e">
        <f>AND(Bills!H273,"AAAAAHba+6o=")</f>
        <v>#VALUE!</v>
      </c>
      <c r="FP86" t="e">
        <f>AND(Bills!I273,"AAAAAHba+6s=")</f>
        <v>#VALUE!</v>
      </c>
      <c r="FQ86" t="e">
        <f>AND(Bills!J273,"AAAAAHba+6w=")</f>
        <v>#VALUE!</v>
      </c>
      <c r="FR86" t="e">
        <f>AND(Bills!K273,"AAAAAHba+60=")</f>
        <v>#VALUE!</v>
      </c>
      <c r="FS86" t="e">
        <f>AND(Bills!L273,"AAAAAHba+64=")</f>
        <v>#VALUE!</v>
      </c>
      <c r="FT86" t="e">
        <f>AND(Bills!#REF!,"AAAAAHba+68=")</f>
        <v>#REF!</v>
      </c>
      <c r="FU86" t="e">
        <f>AND(Bills!M273,"AAAAAHba+7A=")</f>
        <v>#VALUE!</v>
      </c>
      <c r="FV86" t="e">
        <f>AND(Bills!N273,"AAAAAHba+7E=")</f>
        <v>#VALUE!</v>
      </c>
      <c r="FW86" t="e">
        <f>AND(Bills!O273,"AAAAAHba+7I=")</f>
        <v>#VALUE!</v>
      </c>
      <c r="FX86" t="e">
        <f>AND(Bills!P273,"AAAAAHba+7M=")</f>
        <v>#VALUE!</v>
      </c>
      <c r="FY86" t="e">
        <f>AND(Bills!Q273,"AAAAAHba+7Q=")</f>
        <v>#VALUE!</v>
      </c>
      <c r="FZ86" t="e">
        <f>AND(Bills!R273,"AAAAAHba+7U=")</f>
        <v>#VALUE!</v>
      </c>
      <c r="GA86" t="e">
        <f>AND(Bills!S273,"AAAAAHba+7Y=")</f>
        <v>#VALUE!</v>
      </c>
      <c r="GB86" t="e">
        <f>AND(Bills!T273,"AAAAAHba+7c=")</f>
        <v>#VALUE!</v>
      </c>
      <c r="GC86" t="e">
        <f>AND(Bills!#REF!,"AAAAAHba+7g=")</f>
        <v>#REF!</v>
      </c>
      <c r="GD86" t="e">
        <f>AND(Bills!U273,"AAAAAHba+7k=")</f>
        <v>#VALUE!</v>
      </c>
      <c r="GE86" t="e">
        <f>AND(Bills!V273,"AAAAAHba+7o=")</f>
        <v>#VALUE!</v>
      </c>
      <c r="GF86" t="e">
        <f>AND(Bills!W273,"AAAAAHba+7s=")</f>
        <v>#VALUE!</v>
      </c>
      <c r="GG86" t="e">
        <f>AND(Bills!#REF!,"AAAAAHba+7w=")</f>
        <v>#REF!</v>
      </c>
      <c r="GH86" t="e">
        <f>AND(Bills!#REF!,"AAAAAHba+70=")</f>
        <v>#REF!</v>
      </c>
      <c r="GI86" t="e">
        <f>AND(Bills!Y273,"AAAAAHba+74=")</f>
        <v>#VALUE!</v>
      </c>
      <c r="GJ86" t="e">
        <f>AND(Bills!Z273,"AAAAAHba+78=")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AND(Bills!AA273,"AAAAAHba+8k=")</f>
        <v>#VALUE!</v>
      </c>
      <c r="GU86" t="e">
        <f>AND(Bills!AB273,"AAAAAHba+8o=")</f>
        <v>#VALUE!</v>
      </c>
      <c r="GV86" t="e">
        <f>AND(Bills!#REF!,"AAAAAHba+8s=")</f>
        <v>#REF!</v>
      </c>
      <c r="GW86" t="e">
        <f>AND(Bills!#REF!,"AAAAAHba+8w=")</f>
        <v>#REF!</v>
      </c>
      <c r="GX86" t="e">
        <f>AND(Bills!#REF!,"AAAAAHba+80=")</f>
        <v>#REF!</v>
      </c>
      <c r="GY86" t="e">
        <f>AND(Bills!AC273,"AAAAAHba+84=")</f>
        <v>#VALUE!</v>
      </c>
      <c r="GZ86" t="e">
        <f>AND(Bills!AD273,"AAAAAHba+88=")</f>
        <v>#VALUE!</v>
      </c>
      <c r="HA86" t="e">
        <f>AND(Bills!#REF!,"AAAAAHba+9A=")</f>
        <v>#REF!</v>
      </c>
      <c r="HB86">
        <f>IF(Bills!274:274,"AAAAAHba+9E=",0)</f>
        <v>0</v>
      </c>
      <c r="HC86" t="e">
        <f>AND(Bills!B274,"AAAAAHba+9I=")</f>
        <v>#VALUE!</v>
      </c>
      <c r="HD86" t="e">
        <f>AND(Bills!#REF!,"AAAAAHba+9M=")</f>
        <v>#REF!</v>
      </c>
      <c r="HE86" t="e">
        <f>AND(Bills!C274,"AAAAAHba+9Q=")</f>
        <v>#VALUE!</v>
      </c>
      <c r="HF86" t="e">
        <f>AND(Bills!D274,"AAAAAHba+9U=")</f>
        <v>#VALUE!</v>
      </c>
      <c r="HG86" t="e">
        <f>AND(Bills!E274,"AAAAAHba+9Y=")</f>
        <v>#VALUE!</v>
      </c>
      <c r="HH86" t="e">
        <f>AND(Bills!#REF!,"AAAAAHba+9c=")</f>
        <v>#REF!</v>
      </c>
      <c r="HI86" t="e">
        <f>AND(Bills!#REF!,"AAAAAHba+9g=")</f>
        <v>#REF!</v>
      </c>
      <c r="HJ86" t="e">
        <f>AND(Bills!#REF!,"AAAAAHba+9k=")</f>
        <v>#REF!</v>
      </c>
      <c r="HK86" t="e">
        <f>AND(Bills!F274,"AAAAAHba+9o=")</f>
        <v>#VALUE!</v>
      </c>
      <c r="HL86" t="e">
        <f>AND(Bills!#REF!,"AAAAAHba+9s=")</f>
        <v>#REF!</v>
      </c>
      <c r="HM86" t="e">
        <f>AND(Bills!G274,"AAAAAHba+9w=")</f>
        <v>#VALUE!</v>
      </c>
      <c r="HN86" t="e">
        <f>AND(Bills!H274,"AAAAAHba+90=")</f>
        <v>#VALUE!</v>
      </c>
      <c r="HO86" t="e">
        <f>AND(Bills!I274,"AAAAAHba+94=")</f>
        <v>#VALUE!</v>
      </c>
      <c r="HP86" t="e">
        <f>AND(Bills!J274,"AAAAAHba+98=")</f>
        <v>#VALUE!</v>
      </c>
      <c r="HQ86" t="e">
        <f>AND(Bills!K274,"AAAAAHba++A=")</f>
        <v>#VALUE!</v>
      </c>
      <c r="HR86" t="e">
        <f>AND(Bills!L274,"AAAAAHba++E=")</f>
        <v>#VALUE!</v>
      </c>
      <c r="HS86" t="e">
        <f>AND(Bills!#REF!,"AAAAAHba++I=")</f>
        <v>#REF!</v>
      </c>
      <c r="HT86" t="e">
        <f>AND(Bills!M274,"AAAAAHba++M=")</f>
        <v>#VALUE!</v>
      </c>
      <c r="HU86" t="e">
        <f>AND(Bills!N274,"AAAAAHba++Q=")</f>
        <v>#VALUE!</v>
      </c>
      <c r="HV86" t="e">
        <f>AND(Bills!O274,"AAAAAHba++U=")</f>
        <v>#VALUE!</v>
      </c>
      <c r="HW86" t="e">
        <f>AND(Bills!P274,"AAAAAHba++Y=")</f>
        <v>#VALUE!</v>
      </c>
      <c r="HX86" t="e">
        <f>AND(Bills!Q274,"AAAAAHba++c=")</f>
        <v>#VALUE!</v>
      </c>
      <c r="HY86" t="e">
        <f>AND(Bills!R274,"AAAAAHba++g=")</f>
        <v>#VALUE!</v>
      </c>
      <c r="HZ86" t="e">
        <f>AND(Bills!S274,"AAAAAHba++k=")</f>
        <v>#VALUE!</v>
      </c>
      <c r="IA86" t="e">
        <f>AND(Bills!T274,"AAAAAHba++o=")</f>
        <v>#VALUE!</v>
      </c>
      <c r="IB86" t="e">
        <f>AND(Bills!#REF!,"AAAAAHba++s=")</f>
        <v>#REF!</v>
      </c>
      <c r="IC86" t="e">
        <f>AND(Bills!U274,"AAAAAHba++w=")</f>
        <v>#VALUE!</v>
      </c>
      <c r="ID86" t="e">
        <f>AND(Bills!V274,"AAAAAHba++0=")</f>
        <v>#VALUE!</v>
      </c>
      <c r="IE86" t="e">
        <f>AND(Bills!W274,"AAAAAHba++4=")</f>
        <v>#VALUE!</v>
      </c>
      <c r="IF86" t="e">
        <f>AND(Bills!#REF!,"AAAAAHba++8=")</f>
        <v>#REF!</v>
      </c>
      <c r="IG86" t="e">
        <f>AND(Bills!#REF!,"AAAAAHba+/A=")</f>
        <v>#REF!</v>
      </c>
      <c r="IH86" t="e">
        <f>AND(Bills!Y274,"AAAAAHba+/E=")</f>
        <v>#VALUE!</v>
      </c>
      <c r="II86" t="e">
        <f>AND(Bills!Z274,"AAAAAHba+/I=")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AND(Bills!AA274,"AAAAAHba+/w=")</f>
        <v>#VALUE!</v>
      </c>
      <c r="IT86" t="e">
        <f>AND(Bills!AB274,"AAAAAHba+/0=")</f>
        <v>#VALUE!</v>
      </c>
      <c r="IU86" t="e">
        <f>AND(Bills!#REF!,"AAAAAHba+/4=")</f>
        <v>#REF!</v>
      </c>
      <c r="IV86" t="e">
        <f>AND(Bills!#REF!,"AAAAAHba+/8=")</f>
        <v>#REF!</v>
      </c>
    </row>
    <row r="87" spans="1:256">
      <c r="A87" t="e">
        <f>AND(Bills!#REF!,"AAAAAH/9/gA=")</f>
        <v>#REF!</v>
      </c>
      <c r="B87" t="e">
        <f>AND(Bills!AC274,"AAAAAH/9/gE=")</f>
        <v>#VALUE!</v>
      </c>
      <c r="C87" t="e">
        <f>AND(Bills!AD274,"AAAAAH/9/gI=")</f>
        <v>#VALUE!</v>
      </c>
      <c r="D87" t="e">
        <f>AND(Bills!#REF!,"AAAAAH/9/gM=")</f>
        <v>#REF!</v>
      </c>
      <c r="E87">
        <f>IF(Bills!275:275,"AAAAAH/9/gQ=",0)</f>
        <v>0</v>
      </c>
      <c r="F87" t="e">
        <f>AND(Bills!B275,"AAAAAH/9/gU=")</f>
        <v>#VALUE!</v>
      </c>
      <c r="G87" t="e">
        <f>AND(Bills!#REF!,"AAAAAH/9/gY=")</f>
        <v>#REF!</v>
      </c>
      <c r="H87" t="e">
        <f>AND(Bills!C275,"AAAAAH/9/gc=")</f>
        <v>#VALUE!</v>
      </c>
      <c r="I87" t="e">
        <f>AND(Bills!D275,"AAAAAH/9/gg=")</f>
        <v>#VALUE!</v>
      </c>
      <c r="J87" t="e">
        <f>AND(Bills!E275,"AAAAAH/9/gk=")</f>
        <v>#VALUE!</v>
      </c>
      <c r="K87" t="e">
        <f>AND(Bills!#REF!,"AAAAAH/9/go=")</f>
        <v>#REF!</v>
      </c>
      <c r="L87" t="e">
        <f>AND(Bills!#REF!,"AAAAAH/9/gs=")</f>
        <v>#REF!</v>
      </c>
      <c r="M87" t="e">
        <f>AND(Bills!#REF!,"AAAAAH/9/gw=")</f>
        <v>#REF!</v>
      </c>
      <c r="N87" t="e">
        <f>AND(Bills!F275,"AAAAAH/9/g0=")</f>
        <v>#VALUE!</v>
      </c>
      <c r="O87" t="e">
        <f>AND(Bills!#REF!,"AAAAAH/9/g4=")</f>
        <v>#REF!</v>
      </c>
      <c r="P87" t="e">
        <f>AND(Bills!G275,"AAAAAH/9/g8=")</f>
        <v>#VALUE!</v>
      </c>
      <c r="Q87" t="e">
        <f>AND(Bills!H275,"AAAAAH/9/hA=")</f>
        <v>#VALUE!</v>
      </c>
      <c r="R87" t="e">
        <f>AND(Bills!I275,"AAAAAH/9/hE=")</f>
        <v>#VALUE!</v>
      </c>
      <c r="S87" t="e">
        <f>AND(Bills!J275,"AAAAAH/9/hI=")</f>
        <v>#VALUE!</v>
      </c>
      <c r="T87" t="e">
        <f>AND(Bills!K275,"AAAAAH/9/hM=")</f>
        <v>#VALUE!</v>
      </c>
      <c r="U87" t="e">
        <f>AND(Bills!L275,"AAAAAH/9/hQ=")</f>
        <v>#VALUE!</v>
      </c>
      <c r="V87" t="e">
        <f>AND(Bills!#REF!,"AAAAAH/9/hU=")</f>
        <v>#REF!</v>
      </c>
      <c r="W87" t="e">
        <f>AND(Bills!M275,"AAAAAH/9/hY=")</f>
        <v>#VALUE!</v>
      </c>
      <c r="X87" t="e">
        <f>AND(Bills!N275,"AAAAAH/9/hc=")</f>
        <v>#VALUE!</v>
      </c>
      <c r="Y87" t="e">
        <f>AND(Bills!O275,"AAAAAH/9/hg=")</f>
        <v>#VALUE!</v>
      </c>
      <c r="Z87" t="e">
        <f>AND(Bills!P275,"AAAAAH/9/hk=")</f>
        <v>#VALUE!</v>
      </c>
      <c r="AA87" t="e">
        <f>AND(Bills!Q275,"AAAAAH/9/ho=")</f>
        <v>#VALUE!</v>
      </c>
      <c r="AB87" t="e">
        <f>AND(Bills!R275,"AAAAAH/9/hs=")</f>
        <v>#VALUE!</v>
      </c>
      <c r="AC87" t="e">
        <f>AND(Bills!S275,"AAAAAH/9/hw=")</f>
        <v>#VALUE!</v>
      </c>
      <c r="AD87" t="e">
        <f>AND(Bills!T275,"AAAAAH/9/h0=")</f>
        <v>#VALUE!</v>
      </c>
      <c r="AE87" t="e">
        <f>AND(Bills!#REF!,"AAAAAH/9/h4=")</f>
        <v>#REF!</v>
      </c>
      <c r="AF87" t="e">
        <f>AND(Bills!U275,"AAAAAH/9/h8=")</f>
        <v>#VALUE!</v>
      </c>
      <c r="AG87" t="e">
        <f>AND(Bills!V275,"AAAAAH/9/iA=")</f>
        <v>#VALUE!</v>
      </c>
      <c r="AH87" t="e">
        <f>AND(Bills!W275,"AAAAAH/9/iE=")</f>
        <v>#VALUE!</v>
      </c>
      <c r="AI87" t="e">
        <f>AND(Bills!#REF!,"AAAAAH/9/iI=")</f>
        <v>#REF!</v>
      </c>
      <c r="AJ87" t="e">
        <f>AND(Bills!#REF!,"AAAAAH/9/iM=")</f>
        <v>#REF!</v>
      </c>
      <c r="AK87" t="e">
        <f>AND(Bills!Y275,"AAAAAH/9/iQ=")</f>
        <v>#VALUE!</v>
      </c>
      <c r="AL87" t="e">
        <f>AND(Bills!Z275,"AAAAAH/9/iU=")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AND(Bills!AA275,"AAAAAH/9/i8=")</f>
        <v>#VALUE!</v>
      </c>
      <c r="AW87" t="e">
        <f>AND(Bills!AB275,"AAAAAH/9/jA=")</f>
        <v>#VALUE!</v>
      </c>
      <c r="AX87" t="e">
        <f>AND(Bills!#REF!,"AAAAAH/9/jE=")</f>
        <v>#REF!</v>
      </c>
      <c r="AY87" t="e">
        <f>AND(Bills!#REF!,"AAAAAH/9/jI=")</f>
        <v>#REF!</v>
      </c>
      <c r="AZ87" t="e">
        <f>AND(Bills!#REF!,"AAAAAH/9/jM=")</f>
        <v>#REF!</v>
      </c>
      <c r="BA87" t="e">
        <f>AND(Bills!AC275,"AAAAAH/9/jQ=")</f>
        <v>#VALUE!</v>
      </c>
      <c r="BB87" t="e">
        <f>AND(Bills!AD275,"AAAAAH/9/jU=")</f>
        <v>#VALUE!</v>
      </c>
      <c r="BC87" t="e">
        <f>AND(Bills!#REF!,"AAAAAH/9/jY=")</f>
        <v>#REF!</v>
      </c>
      <c r="BD87">
        <f>IF(Bills!276:276,"AAAAAH/9/jc=",0)</f>
        <v>0</v>
      </c>
      <c r="BE87" t="e">
        <f>AND(Bills!B276,"AAAAAH/9/jg=")</f>
        <v>#VALUE!</v>
      </c>
      <c r="BF87" t="e">
        <f>AND(Bills!#REF!,"AAAAAH/9/jk=")</f>
        <v>#REF!</v>
      </c>
      <c r="BG87" t="e">
        <f>AND(Bills!C276,"AAAAAH/9/jo=")</f>
        <v>#VALUE!</v>
      </c>
      <c r="BH87" t="e">
        <f>AND(Bills!D276,"AAAAAH/9/js=")</f>
        <v>#VALUE!</v>
      </c>
      <c r="BI87" t="e">
        <f>AND(Bills!E276,"AAAAAH/9/jw=")</f>
        <v>#VALUE!</v>
      </c>
      <c r="BJ87" t="e">
        <f>AND(Bills!#REF!,"AAAAAH/9/j0=")</f>
        <v>#REF!</v>
      </c>
      <c r="BK87" t="e">
        <f>AND(Bills!#REF!,"AAAAAH/9/j4=")</f>
        <v>#REF!</v>
      </c>
      <c r="BL87" t="e">
        <f>AND(Bills!#REF!,"AAAAAH/9/j8=")</f>
        <v>#REF!</v>
      </c>
      <c r="BM87" t="e">
        <f>AND(Bills!F276,"AAAAAH/9/kA=")</f>
        <v>#VALUE!</v>
      </c>
      <c r="BN87" t="e">
        <f>AND(Bills!#REF!,"AAAAAH/9/kE=")</f>
        <v>#REF!</v>
      </c>
      <c r="BO87" t="e">
        <f>AND(Bills!G276,"AAAAAH/9/kI=")</f>
        <v>#VALUE!</v>
      </c>
      <c r="BP87" t="e">
        <f>AND(Bills!H276,"AAAAAH/9/kM=")</f>
        <v>#VALUE!</v>
      </c>
      <c r="BQ87" t="e">
        <f>AND(Bills!I276,"AAAAAH/9/kQ=")</f>
        <v>#VALUE!</v>
      </c>
      <c r="BR87" t="e">
        <f>AND(Bills!J276,"AAAAAH/9/kU=")</f>
        <v>#VALUE!</v>
      </c>
      <c r="BS87" t="e">
        <f>AND(Bills!K276,"AAAAAH/9/kY=")</f>
        <v>#VALUE!</v>
      </c>
      <c r="BT87" t="e">
        <f>AND(Bills!L276,"AAAAAH/9/kc=")</f>
        <v>#VALUE!</v>
      </c>
      <c r="BU87" t="e">
        <f>AND(Bills!#REF!,"AAAAAH/9/kg=")</f>
        <v>#REF!</v>
      </c>
      <c r="BV87" t="e">
        <f>AND(Bills!M276,"AAAAAH/9/kk=")</f>
        <v>#VALUE!</v>
      </c>
      <c r="BW87" t="e">
        <f>AND(Bills!N276,"AAAAAH/9/ko=")</f>
        <v>#VALUE!</v>
      </c>
      <c r="BX87" t="e">
        <f>AND(Bills!O276,"AAAAAH/9/ks=")</f>
        <v>#VALUE!</v>
      </c>
      <c r="BY87" t="e">
        <f>AND(Bills!P276,"AAAAAH/9/kw=")</f>
        <v>#VALUE!</v>
      </c>
      <c r="BZ87" t="e">
        <f>AND(Bills!Q276,"AAAAAH/9/k0=")</f>
        <v>#VALUE!</v>
      </c>
      <c r="CA87" t="e">
        <f>AND(Bills!R276,"AAAAAH/9/k4=")</f>
        <v>#VALUE!</v>
      </c>
      <c r="CB87" t="e">
        <f>AND(Bills!S276,"AAAAAH/9/k8=")</f>
        <v>#VALUE!</v>
      </c>
      <c r="CC87" t="e">
        <f>AND(Bills!T276,"AAAAAH/9/lA=")</f>
        <v>#VALUE!</v>
      </c>
      <c r="CD87" t="e">
        <f>AND(Bills!#REF!,"AAAAAH/9/lE=")</f>
        <v>#REF!</v>
      </c>
      <c r="CE87" t="e">
        <f>AND(Bills!U276,"AAAAAH/9/lI=")</f>
        <v>#VALUE!</v>
      </c>
      <c r="CF87" t="e">
        <f>AND(Bills!V276,"AAAAAH/9/lM=")</f>
        <v>#VALUE!</v>
      </c>
      <c r="CG87" t="e">
        <f>AND(Bills!W276,"AAAAAH/9/lQ=")</f>
        <v>#VALUE!</v>
      </c>
      <c r="CH87" t="e">
        <f>AND(Bills!#REF!,"AAAAAH/9/lU=")</f>
        <v>#REF!</v>
      </c>
      <c r="CI87" t="e">
        <f>AND(Bills!#REF!,"AAAAAH/9/lY=")</f>
        <v>#REF!</v>
      </c>
      <c r="CJ87" t="e">
        <f>AND(Bills!Y276,"AAAAAH/9/lc=")</f>
        <v>#VALUE!</v>
      </c>
      <c r="CK87" t="e">
        <f>AND(Bills!Z276,"AAAAAH/9/lg=")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AND(Bills!AA276,"AAAAAH/9/mI=")</f>
        <v>#VALUE!</v>
      </c>
      <c r="CV87" t="e">
        <f>AND(Bills!AB276,"AAAAAH/9/mM=")</f>
        <v>#VALUE!</v>
      </c>
      <c r="CW87" t="e">
        <f>AND(Bills!#REF!,"AAAAAH/9/mQ=")</f>
        <v>#REF!</v>
      </c>
      <c r="CX87" t="e">
        <f>AND(Bills!#REF!,"AAAAAH/9/mU=")</f>
        <v>#REF!</v>
      </c>
      <c r="CY87" t="e">
        <f>AND(Bills!#REF!,"AAAAAH/9/mY=")</f>
        <v>#REF!</v>
      </c>
      <c r="CZ87" t="e">
        <f>AND(Bills!AC276,"AAAAAH/9/mc=")</f>
        <v>#VALUE!</v>
      </c>
      <c r="DA87" t="e">
        <f>AND(Bills!AD276,"AAAAAH/9/mg=")</f>
        <v>#VALUE!</v>
      </c>
      <c r="DB87" t="e">
        <f>AND(Bills!#REF!,"AAAAAH/9/mk=")</f>
        <v>#REF!</v>
      </c>
      <c r="DC87">
        <f>IF(Bills!277:277,"AAAAAH/9/mo=",0)</f>
        <v>0</v>
      </c>
      <c r="DD87" t="e">
        <f>AND(Bills!B277,"AAAAAH/9/ms=")</f>
        <v>#VALUE!</v>
      </c>
      <c r="DE87" t="e">
        <f>AND(Bills!#REF!,"AAAAAH/9/mw=")</f>
        <v>#REF!</v>
      </c>
      <c r="DF87" t="e">
        <f>AND(Bills!C277,"AAAAAH/9/m0=")</f>
        <v>#VALUE!</v>
      </c>
      <c r="DG87" t="e">
        <f>AND(Bills!D277,"AAAAAH/9/m4=")</f>
        <v>#VALUE!</v>
      </c>
      <c r="DH87" t="e">
        <f>AND(Bills!E277,"AAAAAH/9/m8=")</f>
        <v>#VALUE!</v>
      </c>
      <c r="DI87" t="e">
        <f>AND(Bills!#REF!,"AAAAAH/9/nA=")</f>
        <v>#REF!</v>
      </c>
      <c r="DJ87" t="e">
        <f>AND(Bills!#REF!,"AAAAAH/9/nE=")</f>
        <v>#REF!</v>
      </c>
      <c r="DK87" t="e">
        <f>AND(Bills!#REF!,"AAAAAH/9/nI=")</f>
        <v>#REF!</v>
      </c>
      <c r="DL87" t="e">
        <f>AND(Bills!F277,"AAAAAH/9/nM=")</f>
        <v>#VALUE!</v>
      </c>
      <c r="DM87" t="e">
        <f>AND(Bills!#REF!,"AAAAAH/9/nQ=")</f>
        <v>#REF!</v>
      </c>
      <c r="DN87" t="e">
        <f>AND(Bills!G277,"AAAAAH/9/nU=")</f>
        <v>#VALUE!</v>
      </c>
      <c r="DO87" t="e">
        <f>AND(Bills!H277,"AAAAAH/9/nY=")</f>
        <v>#VALUE!</v>
      </c>
      <c r="DP87" t="e">
        <f>AND(Bills!I277,"AAAAAH/9/nc=")</f>
        <v>#VALUE!</v>
      </c>
      <c r="DQ87" t="e">
        <f>AND(Bills!J277,"AAAAAH/9/ng=")</f>
        <v>#VALUE!</v>
      </c>
      <c r="DR87" t="e">
        <f>AND(Bills!K277,"AAAAAH/9/nk=")</f>
        <v>#VALUE!</v>
      </c>
      <c r="DS87" t="e">
        <f>AND(Bills!L277,"AAAAAH/9/no=")</f>
        <v>#VALUE!</v>
      </c>
      <c r="DT87" t="e">
        <f>AND(Bills!#REF!,"AAAAAH/9/ns=")</f>
        <v>#REF!</v>
      </c>
      <c r="DU87" t="e">
        <f>AND(Bills!M277,"AAAAAH/9/nw=")</f>
        <v>#VALUE!</v>
      </c>
      <c r="DV87" t="e">
        <f>AND(Bills!N277,"AAAAAH/9/n0=")</f>
        <v>#VALUE!</v>
      </c>
      <c r="DW87" t="e">
        <f>AND(Bills!O277,"AAAAAH/9/n4=")</f>
        <v>#VALUE!</v>
      </c>
      <c r="DX87" t="e">
        <f>AND(Bills!P277,"AAAAAH/9/n8=")</f>
        <v>#VALUE!</v>
      </c>
      <c r="DY87" t="e">
        <f>AND(Bills!Q277,"AAAAAH/9/oA=")</f>
        <v>#VALUE!</v>
      </c>
      <c r="DZ87" t="e">
        <f>AND(Bills!R277,"AAAAAH/9/oE=")</f>
        <v>#VALUE!</v>
      </c>
      <c r="EA87" t="e">
        <f>AND(Bills!S277,"AAAAAH/9/oI=")</f>
        <v>#VALUE!</v>
      </c>
      <c r="EB87" t="e">
        <f>AND(Bills!T277,"AAAAAH/9/oM=")</f>
        <v>#VALUE!</v>
      </c>
      <c r="EC87" t="e">
        <f>AND(Bills!#REF!,"AAAAAH/9/oQ=")</f>
        <v>#REF!</v>
      </c>
      <c r="ED87" t="e">
        <f>AND(Bills!U277,"AAAAAH/9/oU=")</f>
        <v>#VALUE!</v>
      </c>
      <c r="EE87" t="e">
        <f>AND(Bills!V277,"AAAAAH/9/oY=")</f>
        <v>#VALUE!</v>
      </c>
      <c r="EF87" t="e">
        <f>AND(Bills!W277,"AAAAAH/9/oc=")</f>
        <v>#VALUE!</v>
      </c>
      <c r="EG87" t="e">
        <f>AND(Bills!#REF!,"AAAAAH/9/og=")</f>
        <v>#REF!</v>
      </c>
      <c r="EH87" t="e">
        <f>AND(Bills!#REF!,"AAAAAH/9/ok=")</f>
        <v>#REF!</v>
      </c>
      <c r="EI87" t="e">
        <f>AND(Bills!Y277,"AAAAAH/9/oo=")</f>
        <v>#VALUE!</v>
      </c>
      <c r="EJ87" t="e">
        <f>AND(Bills!Z277,"AAAAAH/9/os=")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AND(Bills!AA277,"AAAAAH/9/pU=")</f>
        <v>#VALUE!</v>
      </c>
      <c r="EU87" t="e">
        <f>AND(Bills!AB277,"AAAAAH/9/pY=")</f>
        <v>#VALUE!</v>
      </c>
      <c r="EV87" t="e">
        <f>AND(Bills!#REF!,"AAAAAH/9/pc=")</f>
        <v>#REF!</v>
      </c>
      <c r="EW87" t="e">
        <f>AND(Bills!#REF!,"AAAAAH/9/pg=")</f>
        <v>#REF!</v>
      </c>
      <c r="EX87" t="e">
        <f>AND(Bills!#REF!,"AAAAAH/9/pk=")</f>
        <v>#REF!</v>
      </c>
      <c r="EY87" t="e">
        <f>AND(Bills!AC277,"AAAAAH/9/po=")</f>
        <v>#VALUE!</v>
      </c>
      <c r="EZ87" t="e">
        <f>AND(Bills!AD277,"AAAAAH/9/ps=")</f>
        <v>#VALUE!</v>
      </c>
      <c r="FA87" t="e">
        <f>AND(Bills!#REF!,"AAAAAH/9/pw=")</f>
        <v>#REF!</v>
      </c>
      <c r="FB87">
        <f>IF(Bills!278:278,"AAAAAH/9/p0=",0)</f>
        <v>0</v>
      </c>
      <c r="FC87" t="e">
        <f>AND(Bills!B278,"AAAAAH/9/p4=")</f>
        <v>#VALUE!</v>
      </c>
      <c r="FD87" t="e">
        <f>AND(Bills!#REF!,"AAAAAH/9/p8=")</f>
        <v>#REF!</v>
      </c>
      <c r="FE87" t="e">
        <f>AND(Bills!C278,"AAAAAH/9/qA=")</f>
        <v>#VALUE!</v>
      </c>
      <c r="FF87" t="e">
        <f>AND(Bills!D278,"AAAAAH/9/qE=")</f>
        <v>#VALUE!</v>
      </c>
      <c r="FG87" t="e">
        <f>AND(Bills!E278,"AAAAAH/9/qI=")</f>
        <v>#VALUE!</v>
      </c>
      <c r="FH87" t="e">
        <f>AND(Bills!#REF!,"AAAAAH/9/qM=")</f>
        <v>#REF!</v>
      </c>
      <c r="FI87" t="e">
        <f>AND(Bills!#REF!,"AAAAAH/9/qQ=")</f>
        <v>#REF!</v>
      </c>
      <c r="FJ87" t="e">
        <f>AND(Bills!#REF!,"AAAAAH/9/qU=")</f>
        <v>#REF!</v>
      </c>
      <c r="FK87" t="e">
        <f>AND(Bills!F278,"AAAAAH/9/qY=")</f>
        <v>#VALUE!</v>
      </c>
      <c r="FL87" t="e">
        <f>AND(Bills!#REF!,"AAAAAH/9/qc=")</f>
        <v>#REF!</v>
      </c>
      <c r="FM87" t="e">
        <f>AND(Bills!G278,"AAAAAH/9/qg=")</f>
        <v>#VALUE!</v>
      </c>
      <c r="FN87" t="e">
        <f>AND(Bills!H278,"AAAAAH/9/qk=")</f>
        <v>#VALUE!</v>
      </c>
      <c r="FO87" t="e">
        <f>AND(Bills!I278,"AAAAAH/9/qo=")</f>
        <v>#VALUE!</v>
      </c>
      <c r="FP87" t="e">
        <f>AND(Bills!J278,"AAAAAH/9/qs=")</f>
        <v>#VALUE!</v>
      </c>
      <c r="FQ87" t="e">
        <f>AND(Bills!K278,"AAAAAH/9/qw=")</f>
        <v>#VALUE!</v>
      </c>
      <c r="FR87" t="e">
        <f>AND(Bills!L278,"AAAAAH/9/q0=")</f>
        <v>#VALUE!</v>
      </c>
      <c r="FS87" t="e">
        <f>AND(Bills!#REF!,"AAAAAH/9/q4=")</f>
        <v>#REF!</v>
      </c>
      <c r="FT87" t="e">
        <f>AND(Bills!M278,"AAAAAH/9/q8=")</f>
        <v>#VALUE!</v>
      </c>
      <c r="FU87" t="e">
        <f>AND(Bills!N278,"AAAAAH/9/rA=")</f>
        <v>#VALUE!</v>
      </c>
      <c r="FV87" t="e">
        <f>AND(Bills!O278,"AAAAAH/9/rE=")</f>
        <v>#VALUE!</v>
      </c>
      <c r="FW87" t="e">
        <f>AND(Bills!P278,"AAAAAH/9/rI=")</f>
        <v>#VALUE!</v>
      </c>
      <c r="FX87" t="e">
        <f>AND(Bills!Q278,"AAAAAH/9/rM=")</f>
        <v>#VALUE!</v>
      </c>
      <c r="FY87" t="e">
        <f>AND(Bills!R278,"AAAAAH/9/rQ=")</f>
        <v>#VALUE!</v>
      </c>
      <c r="FZ87" t="e">
        <f>AND(Bills!S278,"AAAAAH/9/rU=")</f>
        <v>#VALUE!</v>
      </c>
      <c r="GA87" t="e">
        <f>AND(Bills!T278,"AAAAAH/9/rY=")</f>
        <v>#VALUE!</v>
      </c>
      <c r="GB87" t="e">
        <f>AND(Bills!#REF!,"AAAAAH/9/rc=")</f>
        <v>#REF!</v>
      </c>
      <c r="GC87" t="e">
        <f>AND(Bills!U278,"AAAAAH/9/rg=")</f>
        <v>#VALUE!</v>
      </c>
      <c r="GD87" t="e">
        <f>AND(Bills!V278,"AAAAAH/9/rk=")</f>
        <v>#VALUE!</v>
      </c>
      <c r="GE87" t="e">
        <f>AND(Bills!W278,"AAAAAH/9/ro=")</f>
        <v>#VALUE!</v>
      </c>
      <c r="GF87" t="e">
        <f>AND(Bills!#REF!,"AAAAAH/9/rs=")</f>
        <v>#REF!</v>
      </c>
      <c r="GG87" t="e">
        <f>AND(Bills!#REF!,"AAAAAH/9/rw=")</f>
        <v>#REF!</v>
      </c>
      <c r="GH87" t="e">
        <f>AND(Bills!Y278,"AAAAAH/9/r0=")</f>
        <v>#VALUE!</v>
      </c>
      <c r="GI87" t="e">
        <f>AND(Bills!Z278,"AAAAAH/9/r4=")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AND(Bills!AA278,"AAAAAH/9/sg=")</f>
        <v>#VALUE!</v>
      </c>
      <c r="GT87" t="e">
        <f>AND(Bills!AB278,"AAAAAH/9/sk=")</f>
        <v>#VALUE!</v>
      </c>
      <c r="GU87" t="e">
        <f>AND(Bills!#REF!,"AAAAAH/9/so=")</f>
        <v>#REF!</v>
      </c>
      <c r="GV87" t="e">
        <f>AND(Bills!#REF!,"AAAAAH/9/ss=")</f>
        <v>#REF!</v>
      </c>
      <c r="GW87" t="e">
        <f>AND(Bills!#REF!,"AAAAAH/9/sw=")</f>
        <v>#REF!</v>
      </c>
      <c r="GX87" t="e">
        <f>AND(Bills!AC278,"AAAAAH/9/s0=")</f>
        <v>#VALUE!</v>
      </c>
      <c r="GY87" t="e">
        <f>AND(Bills!AD278,"AAAAAH/9/s4=")</f>
        <v>#VALUE!</v>
      </c>
      <c r="GZ87" t="e">
        <f>AND(Bills!#REF!,"AAAAAH/9/s8=")</f>
        <v>#REF!</v>
      </c>
      <c r="HA87">
        <f>IF(Bills!279:279,"AAAAAH/9/tA=",0)</f>
        <v>0</v>
      </c>
      <c r="HB87" t="e">
        <f>AND(Bills!B279,"AAAAAH/9/tE=")</f>
        <v>#VALUE!</v>
      </c>
      <c r="HC87" t="e">
        <f>AND(Bills!#REF!,"AAAAAH/9/tI=")</f>
        <v>#REF!</v>
      </c>
      <c r="HD87" t="e">
        <f>AND(Bills!C279,"AAAAAH/9/tM=")</f>
        <v>#VALUE!</v>
      </c>
      <c r="HE87" t="e">
        <f>AND(Bills!D279,"AAAAAH/9/tQ=")</f>
        <v>#VALUE!</v>
      </c>
      <c r="HF87" t="e">
        <f>AND(Bills!E279,"AAAAAH/9/tU=")</f>
        <v>#VALUE!</v>
      </c>
      <c r="HG87" t="e">
        <f>AND(Bills!#REF!,"AAAAAH/9/tY=")</f>
        <v>#REF!</v>
      </c>
      <c r="HH87" t="e">
        <f>AND(Bills!#REF!,"AAAAAH/9/tc=")</f>
        <v>#REF!</v>
      </c>
      <c r="HI87" t="e">
        <f>AND(Bills!#REF!,"AAAAAH/9/tg=")</f>
        <v>#REF!</v>
      </c>
      <c r="HJ87" t="e">
        <f>AND(Bills!F279,"AAAAAH/9/tk=")</f>
        <v>#VALUE!</v>
      </c>
      <c r="HK87" t="e">
        <f>AND(Bills!#REF!,"AAAAAH/9/to=")</f>
        <v>#REF!</v>
      </c>
      <c r="HL87" t="e">
        <f>AND(Bills!G279,"AAAAAH/9/ts=")</f>
        <v>#VALUE!</v>
      </c>
      <c r="HM87" t="e">
        <f>AND(Bills!H279,"AAAAAH/9/tw=")</f>
        <v>#VALUE!</v>
      </c>
      <c r="HN87" t="e">
        <f>AND(Bills!I279,"AAAAAH/9/t0=")</f>
        <v>#VALUE!</v>
      </c>
      <c r="HO87" t="e">
        <f>AND(Bills!J279,"AAAAAH/9/t4=")</f>
        <v>#VALUE!</v>
      </c>
      <c r="HP87" t="e">
        <f>AND(Bills!K279,"AAAAAH/9/t8=")</f>
        <v>#VALUE!</v>
      </c>
      <c r="HQ87" t="e">
        <f>AND(Bills!L279,"AAAAAH/9/uA=")</f>
        <v>#VALUE!</v>
      </c>
      <c r="HR87" t="e">
        <f>AND(Bills!#REF!,"AAAAAH/9/uE=")</f>
        <v>#REF!</v>
      </c>
      <c r="HS87" t="e">
        <f>AND(Bills!M279,"AAAAAH/9/uI=")</f>
        <v>#VALUE!</v>
      </c>
      <c r="HT87" t="e">
        <f>AND(Bills!N279,"AAAAAH/9/uM=")</f>
        <v>#VALUE!</v>
      </c>
      <c r="HU87" t="e">
        <f>AND(Bills!O279,"AAAAAH/9/uQ=")</f>
        <v>#VALUE!</v>
      </c>
      <c r="HV87" t="e">
        <f>AND(Bills!P279,"AAAAAH/9/uU=")</f>
        <v>#VALUE!</v>
      </c>
      <c r="HW87" t="e">
        <f>AND(Bills!Q279,"AAAAAH/9/uY=")</f>
        <v>#VALUE!</v>
      </c>
      <c r="HX87" t="e">
        <f>AND(Bills!R279,"AAAAAH/9/uc=")</f>
        <v>#VALUE!</v>
      </c>
      <c r="HY87" t="e">
        <f>AND(Bills!S279,"AAAAAH/9/ug=")</f>
        <v>#VALUE!</v>
      </c>
      <c r="HZ87" t="e">
        <f>AND(Bills!T279,"AAAAAH/9/uk=")</f>
        <v>#VALUE!</v>
      </c>
      <c r="IA87" t="e">
        <f>AND(Bills!#REF!,"AAAAAH/9/uo=")</f>
        <v>#REF!</v>
      </c>
      <c r="IB87" t="e">
        <f>AND(Bills!U279,"AAAAAH/9/us=")</f>
        <v>#VALUE!</v>
      </c>
      <c r="IC87" t="e">
        <f>AND(Bills!V279,"AAAAAH/9/uw=")</f>
        <v>#VALUE!</v>
      </c>
      <c r="ID87" t="e">
        <f>AND(Bills!W279,"AAAAAH/9/u0=")</f>
        <v>#VALUE!</v>
      </c>
      <c r="IE87" t="e">
        <f>AND(Bills!#REF!,"AAAAAH/9/u4=")</f>
        <v>#REF!</v>
      </c>
      <c r="IF87" t="e">
        <f>AND(Bills!#REF!,"AAAAAH/9/u8=")</f>
        <v>#REF!</v>
      </c>
      <c r="IG87" t="e">
        <f>AND(Bills!Y279,"AAAAAH/9/vA=")</f>
        <v>#VALUE!</v>
      </c>
      <c r="IH87" t="e">
        <f>AND(Bills!Z279,"AAAAAH/9/vE=")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AND(Bills!AA279,"AAAAAH/9/vs=")</f>
        <v>#VALUE!</v>
      </c>
      <c r="IS87" t="e">
        <f>AND(Bills!AB279,"AAAAAH/9/vw=")</f>
        <v>#VALUE!</v>
      </c>
      <c r="IT87" t="e">
        <f>AND(Bills!#REF!,"AAAAAH/9/v0=")</f>
        <v>#REF!</v>
      </c>
      <c r="IU87" t="e">
        <f>AND(Bills!#REF!,"AAAAAH/9/v4=")</f>
        <v>#REF!</v>
      </c>
      <c r="IV87" t="e">
        <f>AND(Bills!#REF!,"AAAAAH/9/v8=")</f>
        <v>#REF!</v>
      </c>
    </row>
    <row r="88" spans="1:256">
      <c r="A88" t="e">
        <f>AND(Bills!AC279,"AAAAADtWuwA=")</f>
        <v>#VALUE!</v>
      </c>
      <c r="B88" t="e">
        <f>AND(Bills!AD279,"AAAAADtWuwE=")</f>
        <v>#VALUE!</v>
      </c>
      <c r="C88" t="e">
        <f>AND(Bills!#REF!,"AAAAADtWuwI=")</f>
        <v>#REF!</v>
      </c>
      <c r="D88">
        <f>IF(Bills!280:280,"AAAAADtWuwM=",0)</f>
        <v>0</v>
      </c>
      <c r="E88" t="e">
        <f>AND(Bills!B280,"AAAAADtWuwQ=")</f>
        <v>#VALUE!</v>
      </c>
      <c r="F88" t="e">
        <f>AND(Bills!#REF!,"AAAAADtWuwU=")</f>
        <v>#REF!</v>
      </c>
      <c r="G88" t="e">
        <f>AND(Bills!C280,"AAAAADtWuwY=")</f>
        <v>#VALUE!</v>
      </c>
      <c r="H88" t="e">
        <f>AND(Bills!D280,"AAAAADtWuwc=")</f>
        <v>#VALUE!</v>
      </c>
      <c r="I88" t="e">
        <f>AND(Bills!E280,"AAAAADtWuwg=")</f>
        <v>#VALUE!</v>
      </c>
      <c r="J88" t="e">
        <f>AND(Bills!#REF!,"AAAAADtWuwk=")</f>
        <v>#REF!</v>
      </c>
      <c r="K88" t="e">
        <f>AND(Bills!#REF!,"AAAAADtWuwo=")</f>
        <v>#REF!</v>
      </c>
      <c r="L88" t="e">
        <f>AND(Bills!#REF!,"AAAAADtWuws=")</f>
        <v>#REF!</v>
      </c>
      <c r="M88" t="e">
        <f>AND(Bills!F280,"AAAAADtWuww=")</f>
        <v>#VALUE!</v>
      </c>
      <c r="N88" t="e">
        <f>AND(Bills!#REF!,"AAAAADtWuw0=")</f>
        <v>#REF!</v>
      </c>
      <c r="O88" t="e">
        <f>AND(Bills!G280,"AAAAADtWuw4=")</f>
        <v>#VALUE!</v>
      </c>
      <c r="P88" t="e">
        <f>AND(Bills!H280,"AAAAADtWuw8=")</f>
        <v>#VALUE!</v>
      </c>
      <c r="Q88" t="e">
        <f>AND(Bills!I280,"AAAAADtWuxA=")</f>
        <v>#VALUE!</v>
      </c>
      <c r="R88" t="e">
        <f>AND(Bills!J280,"AAAAADtWuxE=")</f>
        <v>#VALUE!</v>
      </c>
      <c r="S88" t="e">
        <f>AND(Bills!K280,"AAAAADtWuxI=")</f>
        <v>#VALUE!</v>
      </c>
      <c r="T88" t="e">
        <f>AND(Bills!L280,"AAAAADtWuxM=")</f>
        <v>#VALUE!</v>
      </c>
      <c r="U88" t="e">
        <f>AND(Bills!#REF!,"AAAAADtWuxQ=")</f>
        <v>#REF!</v>
      </c>
      <c r="V88" t="e">
        <f>AND(Bills!M280,"AAAAADtWuxU=")</f>
        <v>#VALUE!</v>
      </c>
      <c r="W88" t="e">
        <f>AND(Bills!N280,"AAAAADtWuxY=")</f>
        <v>#VALUE!</v>
      </c>
      <c r="X88" t="e">
        <f>AND(Bills!O280,"AAAAADtWuxc=")</f>
        <v>#VALUE!</v>
      </c>
      <c r="Y88" t="e">
        <f>AND(Bills!P280,"AAAAADtWuxg=")</f>
        <v>#VALUE!</v>
      </c>
      <c r="Z88" t="e">
        <f>AND(Bills!Q280,"AAAAADtWuxk=")</f>
        <v>#VALUE!</v>
      </c>
      <c r="AA88" t="e">
        <f>AND(Bills!R280,"AAAAADtWuxo=")</f>
        <v>#VALUE!</v>
      </c>
      <c r="AB88" t="e">
        <f>AND(Bills!S280,"AAAAADtWuxs=")</f>
        <v>#VALUE!</v>
      </c>
      <c r="AC88" t="e">
        <f>AND(Bills!T280,"AAAAADtWuxw=")</f>
        <v>#VALUE!</v>
      </c>
      <c r="AD88" t="e">
        <f>AND(Bills!#REF!,"AAAAADtWux0=")</f>
        <v>#REF!</v>
      </c>
      <c r="AE88" t="e">
        <f>AND(Bills!U280,"AAAAADtWux4=")</f>
        <v>#VALUE!</v>
      </c>
      <c r="AF88" t="e">
        <f>AND(Bills!V280,"AAAAADtWux8=")</f>
        <v>#VALUE!</v>
      </c>
      <c r="AG88" t="e">
        <f>AND(Bills!W280,"AAAAADtWuyA=")</f>
        <v>#VALUE!</v>
      </c>
      <c r="AH88" t="e">
        <f>AND(Bills!#REF!,"AAAAADtWuyE=")</f>
        <v>#REF!</v>
      </c>
      <c r="AI88" t="e">
        <f>AND(Bills!#REF!,"AAAAADtWuyI=")</f>
        <v>#REF!</v>
      </c>
      <c r="AJ88" t="e">
        <f>AND(Bills!Y280,"AAAAADtWuyM=")</f>
        <v>#VALUE!</v>
      </c>
      <c r="AK88" t="e">
        <f>AND(Bills!Z280,"AAAAADtWuyQ=")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AND(Bills!AA280,"AAAAADtWuy4=")</f>
        <v>#VALUE!</v>
      </c>
      <c r="AV88" t="e">
        <f>AND(Bills!AB280,"AAAAADtWuy8=")</f>
        <v>#VALUE!</v>
      </c>
      <c r="AW88" t="e">
        <f>AND(Bills!#REF!,"AAAAADtWuzA=")</f>
        <v>#REF!</v>
      </c>
      <c r="AX88" t="e">
        <f>AND(Bills!#REF!,"AAAAADtWuzE=")</f>
        <v>#REF!</v>
      </c>
      <c r="AY88" t="e">
        <f>AND(Bills!#REF!,"AAAAADtWuzI=")</f>
        <v>#REF!</v>
      </c>
      <c r="AZ88" t="e">
        <f>AND(Bills!AC280,"AAAAADtWuzM=")</f>
        <v>#VALUE!</v>
      </c>
      <c r="BA88" t="e">
        <f>AND(Bills!AD280,"AAAAADtWuzQ=")</f>
        <v>#VALUE!</v>
      </c>
      <c r="BB88" t="e">
        <f>AND(Bills!#REF!,"AAAAADtWuzU=")</f>
        <v>#REF!</v>
      </c>
      <c r="BC88">
        <f>IF(Bills!281:281,"AAAAADtWuzY=",0)</f>
        <v>0</v>
      </c>
      <c r="BD88" t="e">
        <f>AND(Bills!B281,"AAAAADtWuzc=")</f>
        <v>#VALUE!</v>
      </c>
      <c r="BE88" t="e">
        <f>AND(Bills!#REF!,"AAAAADtWuzg=")</f>
        <v>#REF!</v>
      </c>
      <c r="BF88" t="e">
        <f>AND(Bills!C281,"AAAAADtWuzk=")</f>
        <v>#VALUE!</v>
      </c>
      <c r="BG88" t="e">
        <f>AND(Bills!D281,"AAAAADtWuzo=")</f>
        <v>#VALUE!</v>
      </c>
      <c r="BH88" t="e">
        <f>AND(Bills!E281,"AAAAADtWuzs=")</f>
        <v>#VALUE!</v>
      </c>
      <c r="BI88" t="e">
        <f>AND(Bills!#REF!,"AAAAADtWuzw=")</f>
        <v>#REF!</v>
      </c>
      <c r="BJ88" t="e">
        <f>AND(Bills!#REF!,"AAAAADtWuz0=")</f>
        <v>#REF!</v>
      </c>
      <c r="BK88" t="e">
        <f>AND(Bills!#REF!,"AAAAADtWuz4=")</f>
        <v>#REF!</v>
      </c>
      <c r="BL88" t="e">
        <f>AND(Bills!F281,"AAAAADtWuz8=")</f>
        <v>#VALUE!</v>
      </c>
      <c r="BM88" t="e">
        <f>AND(Bills!#REF!,"AAAAADtWu0A=")</f>
        <v>#REF!</v>
      </c>
      <c r="BN88" t="e">
        <f>AND(Bills!G281,"AAAAADtWu0E=")</f>
        <v>#VALUE!</v>
      </c>
      <c r="BO88" t="e">
        <f>AND(Bills!H281,"AAAAADtWu0I=")</f>
        <v>#VALUE!</v>
      </c>
      <c r="BP88" t="e">
        <f>AND(Bills!I281,"AAAAADtWu0M=")</f>
        <v>#VALUE!</v>
      </c>
      <c r="BQ88" t="e">
        <f>AND(Bills!J281,"AAAAADtWu0Q=")</f>
        <v>#VALUE!</v>
      </c>
      <c r="BR88" t="e">
        <f>AND(Bills!K281,"AAAAADtWu0U=")</f>
        <v>#VALUE!</v>
      </c>
      <c r="BS88" t="e">
        <f>AND(Bills!L281,"AAAAADtWu0Y=")</f>
        <v>#VALUE!</v>
      </c>
      <c r="BT88" t="e">
        <f>AND(Bills!#REF!,"AAAAADtWu0c=")</f>
        <v>#REF!</v>
      </c>
      <c r="BU88" t="e">
        <f>AND(Bills!M281,"AAAAADtWu0g=")</f>
        <v>#VALUE!</v>
      </c>
      <c r="BV88" t="e">
        <f>AND(Bills!N281,"AAAAADtWu0k=")</f>
        <v>#VALUE!</v>
      </c>
      <c r="BW88" t="e">
        <f>AND(Bills!O281,"AAAAADtWu0o=")</f>
        <v>#VALUE!</v>
      </c>
      <c r="BX88" t="e">
        <f>AND(Bills!P281,"AAAAADtWu0s=")</f>
        <v>#VALUE!</v>
      </c>
      <c r="BY88" t="e">
        <f>AND(Bills!Q281,"AAAAADtWu0w=")</f>
        <v>#VALUE!</v>
      </c>
      <c r="BZ88" t="e">
        <f>AND(Bills!R281,"AAAAADtWu00=")</f>
        <v>#VALUE!</v>
      </c>
      <c r="CA88" t="e">
        <f>AND(Bills!S281,"AAAAADtWu04=")</f>
        <v>#VALUE!</v>
      </c>
      <c r="CB88" t="e">
        <f>AND(Bills!T281,"AAAAADtWu08=")</f>
        <v>#VALUE!</v>
      </c>
      <c r="CC88" t="e">
        <f>AND(Bills!#REF!,"AAAAADtWu1A=")</f>
        <v>#REF!</v>
      </c>
      <c r="CD88" t="e">
        <f>AND(Bills!U281,"AAAAADtWu1E=")</f>
        <v>#VALUE!</v>
      </c>
      <c r="CE88" t="e">
        <f>AND(Bills!V281,"AAAAADtWu1I=")</f>
        <v>#VALUE!</v>
      </c>
      <c r="CF88" t="e">
        <f>AND(Bills!W281,"AAAAADtWu1M=")</f>
        <v>#VALUE!</v>
      </c>
      <c r="CG88" t="e">
        <f>AND(Bills!#REF!,"AAAAADtWu1Q=")</f>
        <v>#REF!</v>
      </c>
      <c r="CH88" t="e">
        <f>AND(Bills!#REF!,"AAAAADtWu1U=")</f>
        <v>#REF!</v>
      </c>
      <c r="CI88" t="e">
        <f>AND(Bills!Y281,"AAAAADtWu1Y=")</f>
        <v>#VALUE!</v>
      </c>
      <c r="CJ88" t="e">
        <f>AND(Bills!Z281,"AAAAADtWu1c=")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AND(Bills!AA281,"AAAAADtWu2E=")</f>
        <v>#VALUE!</v>
      </c>
      <c r="CU88" t="e">
        <f>AND(Bills!AB281,"AAAAADtWu2I=")</f>
        <v>#VALUE!</v>
      </c>
      <c r="CV88" t="e">
        <f>AND(Bills!#REF!,"AAAAADtWu2M=")</f>
        <v>#REF!</v>
      </c>
      <c r="CW88" t="e">
        <f>AND(Bills!#REF!,"AAAAADtWu2Q=")</f>
        <v>#REF!</v>
      </c>
      <c r="CX88" t="e">
        <f>AND(Bills!#REF!,"AAAAADtWu2U=")</f>
        <v>#REF!</v>
      </c>
      <c r="CY88" t="e">
        <f>AND(Bills!AC281,"AAAAADtWu2Y=")</f>
        <v>#VALUE!</v>
      </c>
      <c r="CZ88" t="e">
        <f>AND(Bills!AD281,"AAAAADtWu2c=")</f>
        <v>#VALUE!</v>
      </c>
      <c r="DA88" t="e">
        <f>AND(Bills!#REF!,"AAAAADtWu2g=")</f>
        <v>#REF!</v>
      </c>
      <c r="DB88">
        <f>IF(Bills!282:282,"AAAAADtWu2k=",0)</f>
        <v>0</v>
      </c>
      <c r="DC88" t="e">
        <f>AND(Bills!B282,"AAAAADtWu2o=")</f>
        <v>#VALUE!</v>
      </c>
      <c r="DD88" t="e">
        <f>AND(Bills!#REF!,"AAAAADtWu2s=")</f>
        <v>#REF!</v>
      </c>
      <c r="DE88" t="e">
        <f>AND(Bills!C282,"AAAAADtWu2w=")</f>
        <v>#VALUE!</v>
      </c>
      <c r="DF88" t="e">
        <f>AND(Bills!D282,"AAAAADtWu20=")</f>
        <v>#VALUE!</v>
      </c>
      <c r="DG88" t="e">
        <f>AND(Bills!E282,"AAAAADtWu24=")</f>
        <v>#VALUE!</v>
      </c>
      <c r="DH88" t="e">
        <f>AND(Bills!#REF!,"AAAAADtWu28=")</f>
        <v>#REF!</v>
      </c>
      <c r="DI88" t="e">
        <f>AND(Bills!#REF!,"AAAAADtWu3A=")</f>
        <v>#REF!</v>
      </c>
      <c r="DJ88" t="e">
        <f>AND(Bills!#REF!,"AAAAADtWu3E=")</f>
        <v>#REF!</v>
      </c>
      <c r="DK88" t="e">
        <f>AND(Bills!F282,"AAAAADtWu3I=")</f>
        <v>#VALUE!</v>
      </c>
      <c r="DL88" t="e">
        <f>AND(Bills!#REF!,"AAAAADtWu3M=")</f>
        <v>#REF!</v>
      </c>
      <c r="DM88" t="e">
        <f>AND(Bills!G282,"AAAAADtWu3Q=")</f>
        <v>#VALUE!</v>
      </c>
      <c r="DN88" t="e">
        <f>AND(Bills!H282,"AAAAADtWu3U=")</f>
        <v>#VALUE!</v>
      </c>
      <c r="DO88" t="e">
        <f>AND(Bills!I282,"AAAAADtWu3Y=")</f>
        <v>#VALUE!</v>
      </c>
      <c r="DP88" t="e">
        <f>AND(Bills!J282,"AAAAADtWu3c=")</f>
        <v>#VALUE!</v>
      </c>
      <c r="DQ88" t="e">
        <f>AND(Bills!K282,"AAAAADtWu3g=")</f>
        <v>#VALUE!</v>
      </c>
      <c r="DR88" t="e">
        <f>AND(Bills!L282,"AAAAADtWu3k=")</f>
        <v>#VALUE!</v>
      </c>
      <c r="DS88" t="e">
        <f>AND(Bills!#REF!,"AAAAADtWu3o=")</f>
        <v>#REF!</v>
      </c>
      <c r="DT88" t="e">
        <f>AND(Bills!M282,"AAAAADtWu3s=")</f>
        <v>#VALUE!</v>
      </c>
      <c r="DU88" t="e">
        <f>AND(Bills!N282,"AAAAADtWu3w=")</f>
        <v>#VALUE!</v>
      </c>
      <c r="DV88" t="e">
        <f>AND(Bills!O282,"AAAAADtWu30=")</f>
        <v>#VALUE!</v>
      </c>
      <c r="DW88" t="e">
        <f>AND(Bills!P282,"AAAAADtWu34=")</f>
        <v>#VALUE!</v>
      </c>
      <c r="DX88" t="e">
        <f>AND(Bills!Q282,"AAAAADtWu38=")</f>
        <v>#VALUE!</v>
      </c>
      <c r="DY88" t="e">
        <f>AND(Bills!R282,"AAAAADtWu4A=")</f>
        <v>#VALUE!</v>
      </c>
      <c r="DZ88" t="e">
        <f>AND(Bills!S282,"AAAAADtWu4E=")</f>
        <v>#VALUE!</v>
      </c>
      <c r="EA88" t="e">
        <f>AND(Bills!T282,"AAAAADtWu4I=")</f>
        <v>#VALUE!</v>
      </c>
      <c r="EB88" t="e">
        <f>AND(Bills!#REF!,"AAAAADtWu4M=")</f>
        <v>#REF!</v>
      </c>
      <c r="EC88" t="e">
        <f>AND(Bills!U282,"AAAAADtWu4Q=")</f>
        <v>#VALUE!</v>
      </c>
      <c r="ED88" t="e">
        <f>AND(Bills!V282,"AAAAADtWu4U=")</f>
        <v>#VALUE!</v>
      </c>
      <c r="EE88" t="e">
        <f>AND(Bills!W282,"AAAAADtWu4Y=")</f>
        <v>#VALUE!</v>
      </c>
      <c r="EF88" t="e">
        <f>AND(Bills!#REF!,"AAAAADtWu4c=")</f>
        <v>#REF!</v>
      </c>
      <c r="EG88" t="e">
        <f>AND(Bills!#REF!,"AAAAADtWu4g=")</f>
        <v>#REF!</v>
      </c>
      <c r="EH88" t="e">
        <f>AND(Bills!Y282,"AAAAADtWu4k=")</f>
        <v>#VALUE!</v>
      </c>
      <c r="EI88" t="e">
        <f>AND(Bills!Z282,"AAAAADtWu4o=")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AND(Bills!AA282,"AAAAADtWu5Q=")</f>
        <v>#VALUE!</v>
      </c>
      <c r="ET88" t="e">
        <f>AND(Bills!AB282,"AAAAADtWu5U=")</f>
        <v>#VALUE!</v>
      </c>
      <c r="EU88" t="e">
        <f>AND(Bills!#REF!,"AAAAADtWu5Y=")</f>
        <v>#REF!</v>
      </c>
      <c r="EV88" t="e">
        <f>AND(Bills!#REF!,"AAAAADtWu5c=")</f>
        <v>#REF!</v>
      </c>
      <c r="EW88" t="e">
        <f>AND(Bills!#REF!,"AAAAADtWu5g=")</f>
        <v>#REF!</v>
      </c>
      <c r="EX88" t="e">
        <f>AND(Bills!AC282,"AAAAADtWu5k=")</f>
        <v>#VALUE!</v>
      </c>
      <c r="EY88" t="e">
        <f>AND(Bills!AD282,"AAAAADtWu5o=")</f>
        <v>#VALUE!</v>
      </c>
      <c r="EZ88" t="e">
        <f>AND(Bills!#REF!,"AAAAADtWu5s=")</f>
        <v>#REF!</v>
      </c>
      <c r="FA88">
        <f>IF(Bills!283:283,"AAAAADtWu5w=",0)</f>
        <v>0</v>
      </c>
      <c r="FB88" t="e">
        <f>AND(Bills!B283,"AAAAADtWu50=")</f>
        <v>#VALUE!</v>
      </c>
      <c r="FC88" t="e">
        <f>AND(Bills!#REF!,"AAAAADtWu54=")</f>
        <v>#REF!</v>
      </c>
      <c r="FD88" t="e">
        <f>AND(Bills!C283,"AAAAADtWu58=")</f>
        <v>#VALUE!</v>
      </c>
      <c r="FE88" t="e">
        <f>AND(Bills!D283,"AAAAADtWu6A=")</f>
        <v>#VALUE!</v>
      </c>
      <c r="FF88" t="e">
        <f>AND(Bills!E283,"AAAAADtWu6E=")</f>
        <v>#VALUE!</v>
      </c>
      <c r="FG88" t="e">
        <f>AND(Bills!#REF!,"AAAAADtWu6I=")</f>
        <v>#REF!</v>
      </c>
      <c r="FH88" t="e">
        <f>AND(Bills!#REF!,"AAAAADtWu6M=")</f>
        <v>#REF!</v>
      </c>
      <c r="FI88" t="e">
        <f>AND(Bills!#REF!,"AAAAADtWu6Q=")</f>
        <v>#REF!</v>
      </c>
      <c r="FJ88" t="e">
        <f>AND(Bills!F283,"AAAAADtWu6U=")</f>
        <v>#VALUE!</v>
      </c>
      <c r="FK88" t="e">
        <f>AND(Bills!#REF!,"AAAAADtWu6Y=")</f>
        <v>#REF!</v>
      </c>
      <c r="FL88" t="e">
        <f>AND(Bills!G283,"AAAAADtWu6c=")</f>
        <v>#VALUE!</v>
      </c>
      <c r="FM88" t="e">
        <f>AND(Bills!H283,"AAAAADtWu6g=")</f>
        <v>#VALUE!</v>
      </c>
      <c r="FN88" t="e">
        <f>AND(Bills!I283,"AAAAADtWu6k=")</f>
        <v>#VALUE!</v>
      </c>
      <c r="FO88" t="e">
        <f>AND(Bills!J283,"AAAAADtWu6o=")</f>
        <v>#VALUE!</v>
      </c>
      <c r="FP88" t="e">
        <f>AND(Bills!K283,"AAAAADtWu6s=")</f>
        <v>#VALUE!</v>
      </c>
      <c r="FQ88" t="e">
        <f>AND(Bills!L283,"AAAAADtWu6w=")</f>
        <v>#VALUE!</v>
      </c>
      <c r="FR88" t="e">
        <f>AND(Bills!#REF!,"AAAAADtWu60=")</f>
        <v>#REF!</v>
      </c>
      <c r="FS88" t="e">
        <f>AND(Bills!M283,"AAAAADtWu64=")</f>
        <v>#VALUE!</v>
      </c>
      <c r="FT88" t="e">
        <f>AND(Bills!N283,"AAAAADtWu68=")</f>
        <v>#VALUE!</v>
      </c>
      <c r="FU88" t="e">
        <f>AND(Bills!O283,"AAAAADtWu7A=")</f>
        <v>#VALUE!</v>
      </c>
      <c r="FV88" t="e">
        <f>AND(Bills!P283,"AAAAADtWu7E=")</f>
        <v>#VALUE!</v>
      </c>
      <c r="FW88" t="e">
        <f>AND(Bills!Q283,"AAAAADtWu7I=")</f>
        <v>#VALUE!</v>
      </c>
      <c r="FX88" t="e">
        <f>AND(Bills!R283,"AAAAADtWu7M=")</f>
        <v>#VALUE!</v>
      </c>
      <c r="FY88" t="e">
        <f>AND(Bills!S283,"AAAAADtWu7Q=")</f>
        <v>#VALUE!</v>
      </c>
      <c r="FZ88" t="e">
        <f>AND(Bills!T283,"AAAAADtWu7U=")</f>
        <v>#VALUE!</v>
      </c>
      <c r="GA88" t="e">
        <f>AND(Bills!#REF!,"AAAAADtWu7Y=")</f>
        <v>#REF!</v>
      </c>
      <c r="GB88" t="e">
        <f>AND(Bills!U283,"AAAAADtWu7c=")</f>
        <v>#VALUE!</v>
      </c>
      <c r="GC88" t="e">
        <f>AND(Bills!V283,"AAAAADtWu7g=")</f>
        <v>#VALUE!</v>
      </c>
      <c r="GD88" t="e">
        <f>AND(Bills!W283,"AAAAADtWu7k=")</f>
        <v>#VALUE!</v>
      </c>
      <c r="GE88" t="e">
        <f>AND(Bills!#REF!,"AAAAADtWu7o=")</f>
        <v>#REF!</v>
      </c>
      <c r="GF88" t="e">
        <f>AND(Bills!#REF!,"AAAAADtWu7s=")</f>
        <v>#REF!</v>
      </c>
      <c r="GG88" t="e">
        <f>AND(Bills!Y283,"AAAAADtWu7w=")</f>
        <v>#VALUE!</v>
      </c>
      <c r="GH88" t="e">
        <f>AND(Bills!Z283,"AAAAADtWu70=")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AND(Bills!AA283,"AAAAADtWu8c=")</f>
        <v>#VALUE!</v>
      </c>
      <c r="GS88" t="e">
        <f>AND(Bills!AB283,"AAAAADtWu8g=")</f>
        <v>#VALUE!</v>
      </c>
      <c r="GT88" t="e">
        <f>AND(Bills!#REF!,"AAAAADtWu8k=")</f>
        <v>#REF!</v>
      </c>
      <c r="GU88" t="e">
        <f>AND(Bills!#REF!,"AAAAADtWu8o=")</f>
        <v>#REF!</v>
      </c>
      <c r="GV88" t="e">
        <f>AND(Bills!#REF!,"AAAAADtWu8s=")</f>
        <v>#REF!</v>
      </c>
      <c r="GW88" t="e">
        <f>AND(Bills!AC283,"AAAAADtWu8w=")</f>
        <v>#VALUE!</v>
      </c>
      <c r="GX88" t="e">
        <f>AND(Bills!AD283,"AAAAADtWu80=")</f>
        <v>#VALUE!</v>
      </c>
      <c r="GY88" t="e">
        <f>AND(Bills!#REF!,"AAAAADtWu84=")</f>
        <v>#REF!</v>
      </c>
      <c r="GZ88">
        <f>IF(Bills!284:284,"AAAAADtWu88=",0)</f>
        <v>0</v>
      </c>
      <c r="HA88" t="e">
        <f>AND(Bills!B284,"AAAAADtWu9A=")</f>
        <v>#VALUE!</v>
      </c>
      <c r="HB88" t="e">
        <f>AND(Bills!#REF!,"AAAAADtWu9E=")</f>
        <v>#REF!</v>
      </c>
      <c r="HC88" t="e">
        <f>AND(Bills!C284,"AAAAADtWu9I=")</f>
        <v>#VALUE!</v>
      </c>
      <c r="HD88" t="e">
        <f>AND(Bills!D284,"AAAAADtWu9M=")</f>
        <v>#VALUE!</v>
      </c>
      <c r="HE88" t="e">
        <f>AND(Bills!E284,"AAAAADtWu9Q=")</f>
        <v>#VALUE!</v>
      </c>
      <c r="HF88" t="e">
        <f>AND(Bills!#REF!,"AAAAADtWu9U=")</f>
        <v>#REF!</v>
      </c>
      <c r="HG88" t="e">
        <f>AND(Bills!#REF!,"AAAAADtWu9Y=")</f>
        <v>#REF!</v>
      </c>
      <c r="HH88" t="e">
        <f>AND(Bills!#REF!,"AAAAADtWu9c=")</f>
        <v>#REF!</v>
      </c>
      <c r="HI88" t="e">
        <f>AND(Bills!F284,"AAAAADtWu9g=")</f>
        <v>#VALUE!</v>
      </c>
      <c r="HJ88" t="e">
        <f>AND(Bills!#REF!,"AAAAADtWu9k=")</f>
        <v>#REF!</v>
      </c>
      <c r="HK88" t="e">
        <f>AND(Bills!G284,"AAAAADtWu9o=")</f>
        <v>#VALUE!</v>
      </c>
      <c r="HL88" t="e">
        <f>AND(Bills!H284,"AAAAADtWu9s=")</f>
        <v>#VALUE!</v>
      </c>
      <c r="HM88" t="e">
        <f>AND(Bills!I284,"AAAAADtWu9w=")</f>
        <v>#VALUE!</v>
      </c>
      <c r="HN88" t="e">
        <f>AND(Bills!J284,"AAAAADtWu90=")</f>
        <v>#VALUE!</v>
      </c>
      <c r="HO88" t="e">
        <f>AND(Bills!K284,"AAAAADtWu94=")</f>
        <v>#VALUE!</v>
      </c>
      <c r="HP88" t="e">
        <f>AND(Bills!L284,"AAAAADtWu98=")</f>
        <v>#VALUE!</v>
      </c>
      <c r="HQ88" t="e">
        <f>AND(Bills!#REF!,"AAAAADtWu+A=")</f>
        <v>#REF!</v>
      </c>
      <c r="HR88" t="e">
        <f>AND(Bills!M284,"AAAAADtWu+E=")</f>
        <v>#VALUE!</v>
      </c>
      <c r="HS88" t="e">
        <f>AND(Bills!N284,"AAAAADtWu+I=")</f>
        <v>#VALUE!</v>
      </c>
      <c r="HT88" t="e">
        <f>AND(Bills!O284,"AAAAADtWu+M=")</f>
        <v>#VALUE!</v>
      </c>
      <c r="HU88" t="e">
        <f>AND(Bills!P284,"AAAAADtWu+Q=")</f>
        <v>#VALUE!</v>
      </c>
      <c r="HV88" t="e">
        <f>AND(Bills!Q284,"AAAAADtWu+U=")</f>
        <v>#VALUE!</v>
      </c>
      <c r="HW88" t="e">
        <f>AND(Bills!R284,"AAAAADtWu+Y=")</f>
        <v>#VALUE!</v>
      </c>
      <c r="HX88" t="e">
        <f>AND(Bills!S284,"AAAAADtWu+c=")</f>
        <v>#VALUE!</v>
      </c>
      <c r="HY88" t="e">
        <f>AND(Bills!T284,"AAAAADtWu+g=")</f>
        <v>#VALUE!</v>
      </c>
      <c r="HZ88" t="e">
        <f>AND(Bills!#REF!,"AAAAADtWu+k=")</f>
        <v>#REF!</v>
      </c>
      <c r="IA88" t="e">
        <f>AND(Bills!U284,"AAAAADtWu+o=")</f>
        <v>#VALUE!</v>
      </c>
      <c r="IB88" t="e">
        <f>AND(Bills!V284,"AAAAADtWu+s=")</f>
        <v>#VALUE!</v>
      </c>
      <c r="IC88" t="e">
        <f>AND(Bills!W284,"AAAAADtWu+w=")</f>
        <v>#VALUE!</v>
      </c>
      <c r="ID88" t="e">
        <f>AND(Bills!#REF!,"AAAAADtWu+0=")</f>
        <v>#REF!</v>
      </c>
      <c r="IE88" t="e">
        <f>AND(Bills!#REF!,"AAAAADtWu+4=")</f>
        <v>#REF!</v>
      </c>
      <c r="IF88" t="e">
        <f>AND(Bills!Y284,"AAAAADtWu+8=")</f>
        <v>#VALUE!</v>
      </c>
      <c r="IG88" t="e">
        <f>AND(Bills!Z284,"AAAAADtWu/A=")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AND(Bills!AA284,"AAAAADtWu/o=")</f>
        <v>#VALUE!</v>
      </c>
      <c r="IR88" t="e">
        <f>AND(Bills!AB284,"AAAAADtWu/s=")</f>
        <v>#VALUE!</v>
      </c>
      <c r="IS88" t="e">
        <f>AND(Bills!#REF!,"AAAAADtWu/w=")</f>
        <v>#REF!</v>
      </c>
      <c r="IT88" t="e">
        <f>AND(Bills!#REF!,"AAAAADtWu/0=")</f>
        <v>#REF!</v>
      </c>
      <c r="IU88" t="e">
        <f>AND(Bills!#REF!,"AAAAADtWu/4=")</f>
        <v>#REF!</v>
      </c>
      <c r="IV88" t="e">
        <f>AND(Bills!AC284,"AAAAADtWu/8=")</f>
        <v>#VALUE!</v>
      </c>
    </row>
    <row r="89" spans="1:256">
      <c r="A89" t="e">
        <f>AND(Bills!AD284,"AAAAABdX3wA=")</f>
        <v>#VALUE!</v>
      </c>
      <c r="B89" t="e">
        <f>AND(Bills!#REF!,"AAAAABdX3wE=")</f>
        <v>#REF!</v>
      </c>
      <c r="C89">
        <f>IF(Bills!285:285,"AAAAABdX3wI=",0)</f>
        <v>0</v>
      </c>
      <c r="D89" t="e">
        <f>AND(Bills!B285,"AAAAABdX3wM=")</f>
        <v>#VALUE!</v>
      </c>
      <c r="E89" t="e">
        <f>AND(Bills!#REF!,"AAAAABdX3wQ=")</f>
        <v>#REF!</v>
      </c>
      <c r="F89" t="e">
        <f>AND(Bills!C285,"AAAAABdX3wU=")</f>
        <v>#VALUE!</v>
      </c>
      <c r="G89" t="e">
        <f>AND(Bills!D285,"AAAAABdX3wY=")</f>
        <v>#VALUE!</v>
      </c>
      <c r="H89" t="e">
        <f>AND(Bills!E285,"AAAAABdX3wc=")</f>
        <v>#VALUE!</v>
      </c>
      <c r="I89" t="e">
        <f>AND(Bills!#REF!,"AAAAABdX3wg=")</f>
        <v>#REF!</v>
      </c>
      <c r="J89" t="e">
        <f>AND(Bills!#REF!,"AAAAABdX3wk=")</f>
        <v>#REF!</v>
      </c>
      <c r="K89" t="e">
        <f>AND(Bills!#REF!,"AAAAABdX3wo=")</f>
        <v>#REF!</v>
      </c>
      <c r="L89" t="e">
        <f>AND(Bills!F285,"AAAAABdX3ws=")</f>
        <v>#VALUE!</v>
      </c>
      <c r="M89" t="e">
        <f>AND(Bills!#REF!,"AAAAABdX3ww=")</f>
        <v>#REF!</v>
      </c>
      <c r="N89" t="e">
        <f>AND(Bills!G285,"AAAAABdX3w0=")</f>
        <v>#VALUE!</v>
      </c>
      <c r="O89" t="e">
        <f>AND(Bills!H285,"AAAAABdX3w4=")</f>
        <v>#VALUE!</v>
      </c>
      <c r="P89" t="e">
        <f>AND(Bills!I285,"AAAAABdX3w8=")</f>
        <v>#VALUE!</v>
      </c>
      <c r="Q89" t="e">
        <f>AND(Bills!J285,"AAAAABdX3xA=")</f>
        <v>#VALUE!</v>
      </c>
      <c r="R89" t="e">
        <f>AND(Bills!K285,"AAAAABdX3xE=")</f>
        <v>#VALUE!</v>
      </c>
      <c r="S89" t="e">
        <f>AND(Bills!L285,"AAAAABdX3xI=")</f>
        <v>#VALUE!</v>
      </c>
      <c r="T89" t="e">
        <f>AND(Bills!#REF!,"AAAAABdX3xM=")</f>
        <v>#REF!</v>
      </c>
      <c r="U89" t="e">
        <f>AND(Bills!M285,"AAAAABdX3xQ=")</f>
        <v>#VALUE!</v>
      </c>
      <c r="V89" t="e">
        <f>AND(Bills!N285,"AAAAABdX3xU=")</f>
        <v>#VALUE!</v>
      </c>
      <c r="W89" t="e">
        <f>AND(Bills!O285,"AAAAABdX3xY=")</f>
        <v>#VALUE!</v>
      </c>
      <c r="X89" t="e">
        <f>AND(Bills!P285,"AAAAABdX3xc=")</f>
        <v>#VALUE!</v>
      </c>
      <c r="Y89" t="e">
        <f>AND(Bills!Q285,"AAAAABdX3xg=")</f>
        <v>#VALUE!</v>
      </c>
      <c r="Z89" t="e">
        <f>AND(Bills!R285,"AAAAABdX3xk=")</f>
        <v>#VALUE!</v>
      </c>
      <c r="AA89" t="e">
        <f>AND(Bills!S285,"AAAAABdX3xo=")</f>
        <v>#VALUE!</v>
      </c>
      <c r="AB89" t="e">
        <f>AND(Bills!T285,"AAAAABdX3xs=")</f>
        <v>#VALUE!</v>
      </c>
      <c r="AC89" t="e">
        <f>AND(Bills!#REF!,"AAAAABdX3xw=")</f>
        <v>#REF!</v>
      </c>
      <c r="AD89" t="e">
        <f>AND(Bills!U285,"AAAAABdX3x0=")</f>
        <v>#VALUE!</v>
      </c>
      <c r="AE89" t="e">
        <f>AND(Bills!V285,"AAAAABdX3x4=")</f>
        <v>#VALUE!</v>
      </c>
      <c r="AF89" t="e">
        <f>AND(Bills!W285,"AAAAABdX3x8=")</f>
        <v>#VALUE!</v>
      </c>
      <c r="AG89" t="e">
        <f>AND(Bills!#REF!,"AAAAABdX3yA=")</f>
        <v>#REF!</v>
      </c>
      <c r="AH89" t="e">
        <f>AND(Bills!#REF!,"AAAAABdX3yE=")</f>
        <v>#REF!</v>
      </c>
      <c r="AI89" t="e">
        <f>AND(Bills!Y285,"AAAAABdX3yI=")</f>
        <v>#VALUE!</v>
      </c>
      <c r="AJ89" t="e">
        <f>AND(Bills!Z285,"AAAAABdX3yM=")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AND(Bills!AA285,"AAAAABdX3y0=")</f>
        <v>#VALUE!</v>
      </c>
      <c r="AU89" t="e">
        <f>AND(Bills!AB285,"AAAAABdX3y4=")</f>
        <v>#VALUE!</v>
      </c>
      <c r="AV89" t="e">
        <f>AND(Bills!#REF!,"AAAAABdX3y8=")</f>
        <v>#REF!</v>
      </c>
      <c r="AW89" t="e">
        <f>AND(Bills!#REF!,"AAAAABdX3zA=")</f>
        <v>#REF!</v>
      </c>
      <c r="AX89" t="e">
        <f>AND(Bills!#REF!,"AAAAABdX3zE=")</f>
        <v>#REF!</v>
      </c>
      <c r="AY89" t="e">
        <f>AND(Bills!AC285,"AAAAABdX3zI=")</f>
        <v>#VALUE!</v>
      </c>
      <c r="AZ89" t="e">
        <f>AND(Bills!AD285,"AAAAABdX3zM=")</f>
        <v>#VALUE!</v>
      </c>
      <c r="BA89" t="e">
        <f>AND(Bills!#REF!,"AAAAABdX3zQ=")</f>
        <v>#REF!</v>
      </c>
      <c r="BB89">
        <f>IF(Bills!286:286,"AAAAABdX3zU=",0)</f>
        <v>0</v>
      </c>
      <c r="BC89" t="e">
        <f>AND(Bills!B286,"AAAAABdX3zY=")</f>
        <v>#VALUE!</v>
      </c>
      <c r="BD89" t="e">
        <f>AND(Bills!#REF!,"AAAAABdX3zc=")</f>
        <v>#REF!</v>
      </c>
      <c r="BE89" t="e">
        <f>AND(Bills!C286,"AAAAABdX3zg=")</f>
        <v>#VALUE!</v>
      </c>
      <c r="BF89" t="e">
        <f>AND(Bills!D286,"AAAAABdX3zk=")</f>
        <v>#VALUE!</v>
      </c>
      <c r="BG89" t="e">
        <f>AND(Bills!E286,"AAAAABdX3zo=")</f>
        <v>#VALUE!</v>
      </c>
      <c r="BH89" t="e">
        <f>AND(Bills!#REF!,"AAAAABdX3zs=")</f>
        <v>#REF!</v>
      </c>
      <c r="BI89" t="e">
        <f>AND(Bills!#REF!,"AAAAABdX3zw=")</f>
        <v>#REF!</v>
      </c>
      <c r="BJ89" t="e">
        <f>AND(Bills!#REF!,"AAAAABdX3z0=")</f>
        <v>#REF!</v>
      </c>
      <c r="BK89" t="e">
        <f>AND(Bills!F286,"AAAAABdX3z4=")</f>
        <v>#VALUE!</v>
      </c>
      <c r="BL89" t="e">
        <f>AND(Bills!#REF!,"AAAAABdX3z8=")</f>
        <v>#REF!</v>
      </c>
      <c r="BM89" t="e">
        <f>AND(Bills!G286,"AAAAABdX30A=")</f>
        <v>#VALUE!</v>
      </c>
      <c r="BN89" t="e">
        <f>AND(Bills!H286,"AAAAABdX30E=")</f>
        <v>#VALUE!</v>
      </c>
      <c r="BO89" t="e">
        <f>AND(Bills!I286,"AAAAABdX30I=")</f>
        <v>#VALUE!</v>
      </c>
      <c r="BP89" t="e">
        <f>AND(Bills!J286,"AAAAABdX30M=")</f>
        <v>#VALUE!</v>
      </c>
      <c r="BQ89" t="e">
        <f>AND(Bills!K286,"AAAAABdX30Q=")</f>
        <v>#VALUE!</v>
      </c>
      <c r="BR89" t="e">
        <f>AND(Bills!L286,"AAAAABdX30U=")</f>
        <v>#VALUE!</v>
      </c>
      <c r="BS89" t="e">
        <f>AND(Bills!#REF!,"AAAAABdX30Y=")</f>
        <v>#REF!</v>
      </c>
      <c r="BT89" t="e">
        <f>AND(Bills!M286,"AAAAABdX30c=")</f>
        <v>#VALUE!</v>
      </c>
      <c r="BU89" t="e">
        <f>AND(Bills!N286,"AAAAABdX30g=")</f>
        <v>#VALUE!</v>
      </c>
      <c r="BV89" t="e">
        <f>AND(Bills!O286,"AAAAABdX30k=")</f>
        <v>#VALUE!</v>
      </c>
      <c r="BW89" t="e">
        <f>AND(Bills!P286,"AAAAABdX30o=")</f>
        <v>#VALUE!</v>
      </c>
      <c r="BX89" t="e">
        <f>AND(Bills!Q286,"AAAAABdX30s=")</f>
        <v>#VALUE!</v>
      </c>
      <c r="BY89" t="e">
        <f>AND(Bills!R286,"AAAAABdX30w=")</f>
        <v>#VALUE!</v>
      </c>
      <c r="BZ89" t="e">
        <f>AND(Bills!S286,"AAAAABdX300=")</f>
        <v>#VALUE!</v>
      </c>
      <c r="CA89" t="e">
        <f>AND(Bills!T286,"AAAAABdX304=")</f>
        <v>#VALUE!</v>
      </c>
      <c r="CB89" t="e">
        <f>AND(Bills!#REF!,"AAAAABdX308=")</f>
        <v>#REF!</v>
      </c>
      <c r="CC89" t="e">
        <f>AND(Bills!U286,"AAAAABdX31A=")</f>
        <v>#VALUE!</v>
      </c>
      <c r="CD89" t="e">
        <f>AND(Bills!V286,"AAAAABdX31E=")</f>
        <v>#VALUE!</v>
      </c>
      <c r="CE89" t="e">
        <f>AND(Bills!W286,"AAAAABdX31I=")</f>
        <v>#VALUE!</v>
      </c>
      <c r="CF89" t="e">
        <f>AND(Bills!#REF!,"AAAAABdX31M=")</f>
        <v>#REF!</v>
      </c>
      <c r="CG89" t="e">
        <f>AND(Bills!#REF!,"AAAAABdX31Q=")</f>
        <v>#REF!</v>
      </c>
      <c r="CH89" t="e">
        <f>AND(Bills!Y286,"AAAAABdX31U=")</f>
        <v>#VALUE!</v>
      </c>
      <c r="CI89" t="e">
        <f>AND(Bills!Z286,"AAAAABdX31Y=")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AND(Bills!AA286,"AAAAABdX32A=")</f>
        <v>#VALUE!</v>
      </c>
      <c r="CT89" t="e">
        <f>AND(Bills!AB286,"AAAAABdX32E=")</f>
        <v>#VALUE!</v>
      </c>
      <c r="CU89" t="e">
        <f>AND(Bills!#REF!,"AAAAABdX32I=")</f>
        <v>#REF!</v>
      </c>
      <c r="CV89" t="e">
        <f>AND(Bills!#REF!,"AAAAABdX32M=")</f>
        <v>#REF!</v>
      </c>
      <c r="CW89" t="e">
        <f>AND(Bills!#REF!,"AAAAABdX32Q=")</f>
        <v>#REF!</v>
      </c>
      <c r="CX89" t="e">
        <f>AND(Bills!AC286,"AAAAABdX32U=")</f>
        <v>#VALUE!</v>
      </c>
      <c r="CY89" t="e">
        <f>AND(Bills!AD286,"AAAAABdX32Y=")</f>
        <v>#VALUE!</v>
      </c>
      <c r="CZ89" t="e">
        <f>AND(Bills!#REF!,"AAAAABdX32c=")</f>
        <v>#REF!</v>
      </c>
      <c r="DA89">
        <f>IF(Bills!287:287,"AAAAABdX32g=",0)</f>
        <v>0</v>
      </c>
      <c r="DB89" t="e">
        <f>AND(Bills!B287,"AAAAABdX32k=")</f>
        <v>#VALUE!</v>
      </c>
      <c r="DC89" t="e">
        <f>AND(Bills!#REF!,"AAAAABdX32o=")</f>
        <v>#REF!</v>
      </c>
      <c r="DD89" t="e">
        <f>AND(Bills!C287,"AAAAABdX32s=")</f>
        <v>#VALUE!</v>
      </c>
      <c r="DE89" t="e">
        <f>AND(Bills!D287,"AAAAABdX32w=")</f>
        <v>#VALUE!</v>
      </c>
      <c r="DF89" t="e">
        <f>AND(Bills!E287,"AAAAABdX320=")</f>
        <v>#VALUE!</v>
      </c>
      <c r="DG89" t="e">
        <f>AND(Bills!#REF!,"AAAAABdX324=")</f>
        <v>#REF!</v>
      </c>
      <c r="DH89" t="e">
        <f>AND(Bills!#REF!,"AAAAABdX328=")</f>
        <v>#REF!</v>
      </c>
      <c r="DI89" t="e">
        <f>AND(Bills!#REF!,"AAAAABdX33A=")</f>
        <v>#REF!</v>
      </c>
      <c r="DJ89" t="e">
        <f>AND(Bills!F287,"AAAAABdX33E=")</f>
        <v>#VALUE!</v>
      </c>
      <c r="DK89" t="e">
        <f>AND(Bills!#REF!,"AAAAABdX33I=")</f>
        <v>#REF!</v>
      </c>
      <c r="DL89" t="e">
        <f>AND(Bills!G287,"AAAAABdX33M=")</f>
        <v>#VALUE!</v>
      </c>
      <c r="DM89" t="e">
        <f>AND(Bills!H287,"AAAAABdX33Q=")</f>
        <v>#VALUE!</v>
      </c>
      <c r="DN89" t="e">
        <f>AND(Bills!I287,"AAAAABdX33U=")</f>
        <v>#VALUE!</v>
      </c>
      <c r="DO89" t="e">
        <f>AND(Bills!J287,"AAAAABdX33Y=")</f>
        <v>#VALUE!</v>
      </c>
      <c r="DP89" t="e">
        <f>AND(Bills!K287,"AAAAABdX33c=")</f>
        <v>#VALUE!</v>
      </c>
      <c r="DQ89" t="e">
        <f>AND(Bills!L287,"AAAAABdX33g=")</f>
        <v>#VALUE!</v>
      </c>
      <c r="DR89" t="e">
        <f>AND(Bills!#REF!,"AAAAABdX33k=")</f>
        <v>#REF!</v>
      </c>
      <c r="DS89" t="e">
        <f>AND(Bills!M287,"AAAAABdX33o=")</f>
        <v>#VALUE!</v>
      </c>
      <c r="DT89" t="e">
        <f>AND(Bills!N287,"AAAAABdX33s=")</f>
        <v>#VALUE!</v>
      </c>
      <c r="DU89" t="e">
        <f>AND(Bills!O287,"AAAAABdX33w=")</f>
        <v>#VALUE!</v>
      </c>
      <c r="DV89" t="e">
        <f>AND(Bills!P287,"AAAAABdX330=")</f>
        <v>#VALUE!</v>
      </c>
      <c r="DW89" t="e">
        <f>AND(Bills!Q287,"AAAAABdX334=")</f>
        <v>#VALUE!</v>
      </c>
      <c r="DX89" t="e">
        <f>AND(Bills!R287,"AAAAABdX338=")</f>
        <v>#VALUE!</v>
      </c>
      <c r="DY89" t="e">
        <f>AND(Bills!S287,"AAAAABdX34A=")</f>
        <v>#VALUE!</v>
      </c>
      <c r="DZ89" t="e">
        <f>AND(Bills!T287,"AAAAABdX34E=")</f>
        <v>#VALUE!</v>
      </c>
      <c r="EA89" t="e">
        <f>AND(Bills!#REF!,"AAAAABdX34I=")</f>
        <v>#REF!</v>
      </c>
      <c r="EB89" t="e">
        <f>AND(Bills!U287,"AAAAABdX34M=")</f>
        <v>#VALUE!</v>
      </c>
      <c r="EC89" t="e">
        <f>AND(Bills!V287,"AAAAABdX34Q=")</f>
        <v>#VALUE!</v>
      </c>
      <c r="ED89" t="e">
        <f>AND(Bills!W287,"AAAAABdX34U=")</f>
        <v>#VALUE!</v>
      </c>
      <c r="EE89" t="e">
        <f>AND(Bills!#REF!,"AAAAABdX34Y=")</f>
        <v>#REF!</v>
      </c>
      <c r="EF89" t="e">
        <f>AND(Bills!#REF!,"AAAAABdX34c=")</f>
        <v>#REF!</v>
      </c>
      <c r="EG89" t="e">
        <f>AND(Bills!Y287,"AAAAABdX34g=")</f>
        <v>#VALUE!</v>
      </c>
      <c r="EH89" t="e">
        <f>AND(Bills!Z287,"AAAAABdX34k=")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AND(Bills!AA287,"AAAAABdX35M=")</f>
        <v>#VALUE!</v>
      </c>
      <c r="ES89" t="e">
        <f>AND(Bills!AB287,"AAAAABdX35Q=")</f>
        <v>#VALUE!</v>
      </c>
      <c r="ET89" t="e">
        <f>AND(Bills!#REF!,"AAAAABdX35U=")</f>
        <v>#REF!</v>
      </c>
      <c r="EU89" t="e">
        <f>AND(Bills!#REF!,"AAAAABdX35Y=")</f>
        <v>#REF!</v>
      </c>
      <c r="EV89" t="e">
        <f>AND(Bills!#REF!,"AAAAABdX35c=")</f>
        <v>#REF!</v>
      </c>
      <c r="EW89" t="e">
        <f>AND(Bills!AC287,"AAAAABdX35g=")</f>
        <v>#VALUE!</v>
      </c>
      <c r="EX89" t="e">
        <f>AND(Bills!AD287,"AAAAABdX35k=")</f>
        <v>#VALUE!</v>
      </c>
      <c r="EY89" t="e">
        <f>AND(Bills!#REF!,"AAAAABdX35o=")</f>
        <v>#REF!</v>
      </c>
      <c r="EZ89">
        <f>IF(Bills!288:288,"AAAAABdX35s=",0)</f>
        <v>0</v>
      </c>
      <c r="FA89" t="e">
        <f>AND(Bills!B288,"AAAAABdX35w=")</f>
        <v>#VALUE!</v>
      </c>
      <c r="FB89" t="e">
        <f>AND(Bills!#REF!,"AAAAABdX350=")</f>
        <v>#REF!</v>
      </c>
      <c r="FC89" t="e">
        <f>AND(Bills!C288,"AAAAABdX354=")</f>
        <v>#VALUE!</v>
      </c>
      <c r="FD89" t="e">
        <f>AND(Bills!D288,"AAAAABdX358=")</f>
        <v>#VALUE!</v>
      </c>
      <c r="FE89" t="e">
        <f>AND(Bills!E288,"AAAAABdX36A=")</f>
        <v>#VALUE!</v>
      </c>
      <c r="FF89" t="e">
        <f>AND(Bills!#REF!,"AAAAABdX36E=")</f>
        <v>#REF!</v>
      </c>
      <c r="FG89" t="e">
        <f>AND(Bills!#REF!,"AAAAABdX36I=")</f>
        <v>#REF!</v>
      </c>
      <c r="FH89" t="e">
        <f>AND(Bills!#REF!,"AAAAABdX36M=")</f>
        <v>#REF!</v>
      </c>
      <c r="FI89" t="e">
        <f>AND(Bills!F288,"AAAAABdX36Q=")</f>
        <v>#VALUE!</v>
      </c>
      <c r="FJ89" t="e">
        <f>AND(Bills!#REF!,"AAAAABdX36U=")</f>
        <v>#REF!</v>
      </c>
      <c r="FK89" t="e">
        <f>AND(Bills!G288,"AAAAABdX36Y=")</f>
        <v>#VALUE!</v>
      </c>
      <c r="FL89" t="e">
        <f>AND(Bills!H288,"AAAAABdX36c=")</f>
        <v>#VALUE!</v>
      </c>
      <c r="FM89" t="e">
        <f>AND(Bills!I288,"AAAAABdX36g=")</f>
        <v>#VALUE!</v>
      </c>
      <c r="FN89" t="e">
        <f>AND(Bills!J288,"AAAAABdX36k=")</f>
        <v>#VALUE!</v>
      </c>
      <c r="FO89" t="e">
        <f>AND(Bills!K288,"AAAAABdX36o=")</f>
        <v>#VALUE!</v>
      </c>
      <c r="FP89" t="e">
        <f>AND(Bills!L288,"AAAAABdX36s=")</f>
        <v>#VALUE!</v>
      </c>
      <c r="FQ89" t="e">
        <f>AND(Bills!#REF!,"AAAAABdX36w=")</f>
        <v>#REF!</v>
      </c>
      <c r="FR89" t="e">
        <f>AND(Bills!M288,"AAAAABdX360=")</f>
        <v>#VALUE!</v>
      </c>
      <c r="FS89" t="e">
        <f>AND(Bills!N288,"AAAAABdX364=")</f>
        <v>#VALUE!</v>
      </c>
      <c r="FT89" t="e">
        <f>AND(Bills!O288,"AAAAABdX368=")</f>
        <v>#VALUE!</v>
      </c>
      <c r="FU89" t="e">
        <f>AND(Bills!P288,"AAAAABdX37A=")</f>
        <v>#VALUE!</v>
      </c>
      <c r="FV89" t="e">
        <f>AND(Bills!Q288,"AAAAABdX37E=")</f>
        <v>#VALUE!</v>
      </c>
      <c r="FW89" t="e">
        <f>AND(Bills!R288,"AAAAABdX37I=")</f>
        <v>#VALUE!</v>
      </c>
      <c r="FX89" t="e">
        <f>AND(Bills!S288,"AAAAABdX37M=")</f>
        <v>#VALUE!</v>
      </c>
      <c r="FY89" t="e">
        <f>AND(Bills!T288,"AAAAABdX37Q=")</f>
        <v>#VALUE!</v>
      </c>
      <c r="FZ89" t="e">
        <f>AND(Bills!#REF!,"AAAAABdX37U=")</f>
        <v>#REF!</v>
      </c>
      <c r="GA89" t="e">
        <f>AND(Bills!U288,"AAAAABdX37Y=")</f>
        <v>#VALUE!</v>
      </c>
      <c r="GB89" t="e">
        <f>AND(Bills!V288,"AAAAABdX37c=")</f>
        <v>#VALUE!</v>
      </c>
      <c r="GC89" t="e">
        <f>AND(Bills!W288,"AAAAABdX37g=")</f>
        <v>#VALUE!</v>
      </c>
      <c r="GD89" t="e">
        <f>AND(Bills!#REF!,"AAAAABdX37k=")</f>
        <v>#REF!</v>
      </c>
      <c r="GE89" t="e">
        <f>AND(Bills!#REF!,"AAAAABdX37o=")</f>
        <v>#REF!</v>
      </c>
      <c r="GF89" t="e">
        <f>AND(Bills!Y288,"AAAAABdX37s=")</f>
        <v>#VALUE!</v>
      </c>
      <c r="GG89" t="e">
        <f>AND(Bills!Z288,"AAAAABdX37w=")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AND(Bills!AA288,"AAAAABdX38Y=")</f>
        <v>#VALUE!</v>
      </c>
      <c r="GR89" t="e">
        <f>AND(Bills!AB288,"AAAAABdX38c=")</f>
        <v>#VALUE!</v>
      </c>
      <c r="GS89" t="e">
        <f>AND(Bills!#REF!,"AAAAABdX38g=")</f>
        <v>#REF!</v>
      </c>
      <c r="GT89" t="e">
        <f>AND(Bills!#REF!,"AAAAABdX38k=")</f>
        <v>#REF!</v>
      </c>
      <c r="GU89" t="e">
        <f>AND(Bills!#REF!,"AAAAABdX38o=")</f>
        <v>#REF!</v>
      </c>
      <c r="GV89" t="e">
        <f>AND(Bills!AC288,"AAAAABdX38s=")</f>
        <v>#VALUE!</v>
      </c>
      <c r="GW89" t="e">
        <f>AND(Bills!AD288,"AAAAABdX38w=")</f>
        <v>#VALUE!</v>
      </c>
      <c r="GX89" t="e">
        <f>AND(Bills!#REF!,"AAAAABdX380=")</f>
        <v>#REF!</v>
      </c>
      <c r="GY89">
        <f>IF(Bills!289:289,"AAAAABdX384=",0)</f>
        <v>0</v>
      </c>
      <c r="GZ89" t="e">
        <f>AND(Bills!B289,"AAAAABdX388=")</f>
        <v>#VALUE!</v>
      </c>
      <c r="HA89" t="e">
        <f>AND(Bills!#REF!,"AAAAABdX39A=")</f>
        <v>#REF!</v>
      </c>
      <c r="HB89" t="e">
        <f>AND(Bills!C289,"AAAAABdX39E=")</f>
        <v>#VALUE!</v>
      </c>
      <c r="HC89" t="e">
        <f>AND(Bills!D289,"AAAAABdX39I=")</f>
        <v>#VALUE!</v>
      </c>
      <c r="HD89" t="e">
        <f>AND(Bills!E289,"AAAAABdX39M=")</f>
        <v>#VALUE!</v>
      </c>
      <c r="HE89" t="e">
        <f>AND(Bills!#REF!,"AAAAABdX39Q=")</f>
        <v>#REF!</v>
      </c>
      <c r="HF89" t="e">
        <f>AND(Bills!#REF!,"AAAAABdX39U=")</f>
        <v>#REF!</v>
      </c>
      <c r="HG89" t="e">
        <f>AND(Bills!#REF!,"AAAAABdX39Y=")</f>
        <v>#REF!</v>
      </c>
      <c r="HH89" t="e">
        <f>AND(Bills!F289,"AAAAABdX39c=")</f>
        <v>#VALUE!</v>
      </c>
      <c r="HI89" t="e">
        <f>AND(Bills!#REF!,"AAAAABdX39g=")</f>
        <v>#REF!</v>
      </c>
      <c r="HJ89" t="e">
        <f>AND(Bills!G289,"AAAAABdX39k=")</f>
        <v>#VALUE!</v>
      </c>
      <c r="HK89" t="e">
        <f>AND(Bills!H289,"AAAAABdX39o=")</f>
        <v>#VALUE!</v>
      </c>
      <c r="HL89" t="e">
        <f>AND(Bills!I289,"AAAAABdX39s=")</f>
        <v>#VALUE!</v>
      </c>
      <c r="HM89" t="e">
        <f>AND(Bills!J289,"AAAAABdX39w=")</f>
        <v>#VALUE!</v>
      </c>
      <c r="HN89" t="e">
        <f>AND(Bills!K289,"AAAAABdX390=")</f>
        <v>#VALUE!</v>
      </c>
      <c r="HO89" t="e">
        <f>AND(Bills!L289,"AAAAABdX394=")</f>
        <v>#VALUE!</v>
      </c>
      <c r="HP89" t="e">
        <f>AND(Bills!#REF!,"AAAAABdX398=")</f>
        <v>#REF!</v>
      </c>
      <c r="HQ89" t="e">
        <f>AND(Bills!M289,"AAAAABdX3+A=")</f>
        <v>#VALUE!</v>
      </c>
      <c r="HR89" t="e">
        <f>AND(Bills!N289,"AAAAABdX3+E=")</f>
        <v>#VALUE!</v>
      </c>
      <c r="HS89" t="e">
        <f>AND(Bills!O289,"AAAAABdX3+I=")</f>
        <v>#VALUE!</v>
      </c>
      <c r="HT89" t="e">
        <f>AND(Bills!P289,"AAAAABdX3+M=")</f>
        <v>#VALUE!</v>
      </c>
      <c r="HU89" t="e">
        <f>AND(Bills!Q289,"AAAAABdX3+Q=")</f>
        <v>#VALUE!</v>
      </c>
      <c r="HV89" t="e">
        <f>AND(Bills!R289,"AAAAABdX3+U=")</f>
        <v>#VALUE!</v>
      </c>
      <c r="HW89" t="e">
        <f>AND(Bills!S289,"AAAAABdX3+Y=")</f>
        <v>#VALUE!</v>
      </c>
      <c r="HX89" t="e">
        <f>AND(Bills!T289,"AAAAABdX3+c=")</f>
        <v>#VALUE!</v>
      </c>
      <c r="HY89" t="e">
        <f>AND(Bills!#REF!,"AAAAABdX3+g=")</f>
        <v>#REF!</v>
      </c>
      <c r="HZ89" t="e">
        <f>AND(Bills!U289,"AAAAABdX3+k=")</f>
        <v>#VALUE!</v>
      </c>
      <c r="IA89" t="e">
        <f>AND(Bills!V289,"AAAAABdX3+o=")</f>
        <v>#VALUE!</v>
      </c>
      <c r="IB89" t="e">
        <f>AND(Bills!W289,"AAAAABdX3+s=")</f>
        <v>#VALUE!</v>
      </c>
      <c r="IC89" t="e">
        <f>AND(Bills!#REF!,"AAAAABdX3+w=")</f>
        <v>#REF!</v>
      </c>
      <c r="ID89" t="e">
        <f>AND(Bills!#REF!,"AAAAABdX3+0=")</f>
        <v>#REF!</v>
      </c>
      <c r="IE89" t="e">
        <f>AND(Bills!Y289,"AAAAABdX3+4=")</f>
        <v>#VALUE!</v>
      </c>
      <c r="IF89" t="e">
        <f>AND(Bills!Z289,"AAAAABdX3+8=")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AND(Bills!AA289,"AAAAABdX3/k=")</f>
        <v>#VALUE!</v>
      </c>
      <c r="IQ89" t="e">
        <f>AND(Bills!AB289,"AAAAABdX3/o=")</f>
        <v>#VALUE!</v>
      </c>
      <c r="IR89" t="e">
        <f>AND(Bills!#REF!,"AAAAABdX3/s=")</f>
        <v>#REF!</v>
      </c>
      <c r="IS89" t="e">
        <f>AND(Bills!#REF!,"AAAAABdX3/w=")</f>
        <v>#REF!</v>
      </c>
      <c r="IT89" t="e">
        <f>AND(Bills!#REF!,"AAAAABdX3/0=")</f>
        <v>#REF!</v>
      </c>
      <c r="IU89" t="e">
        <f>AND(Bills!AC289,"AAAAABdX3/4=")</f>
        <v>#VALUE!</v>
      </c>
      <c r="IV89" t="e">
        <f>AND(Bills!AD289,"AAAAABdX3/8=")</f>
        <v>#VALUE!</v>
      </c>
    </row>
    <row r="90" spans="1:256">
      <c r="A90" t="e">
        <f>AND(Bills!#REF!,"AAAAAHfbXwA=")</f>
        <v>#REF!</v>
      </c>
      <c r="B90">
        <f>IF(Bills!290:290,"AAAAAHfbXwE=",0)</f>
        <v>0</v>
      </c>
      <c r="C90" t="e">
        <f>AND(Bills!B290,"AAAAAHfbXwI=")</f>
        <v>#VALUE!</v>
      </c>
      <c r="D90" t="e">
        <f>AND(Bills!#REF!,"AAAAAHfbXwM=")</f>
        <v>#REF!</v>
      </c>
      <c r="E90" t="e">
        <f>AND(Bills!C290,"AAAAAHfbXwQ=")</f>
        <v>#VALUE!</v>
      </c>
      <c r="F90" t="e">
        <f>AND(Bills!D290,"AAAAAHfbXwU=")</f>
        <v>#VALUE!</v>
      </c>
      <c r="G90" t="e">
        <f>AND(Bills!E290,"AAAAAHfbXwY=")</f>
        <v>#VALUE!</v>
      </c>
      <c r="H90" t="e">
        <f>AND(Bills!#REF!,"AAAAAHfbXwc=")</f>
        <v>#REF!</v>
      </c>
      <c r="I90" t="e">
        <f>AND(Bills!#REF!,"AAAAAHfbXwg=")</f>
        <v>#REF!</v>
      </c>
      <c r="J90" t="e">
        <f>AND(Bills!#REF!,"AAAAAHfbXwk=")</f>
        <v>#REF!</v>
      </c>
      <c r="K90" t="e">
        <f>AND(Bills!F290,"AAAAAHfbXwo=")</f>
        <v>#VALUE!</v>
      </c>
      <c r="L90" t="e">
        <f>AND(Bills!#REF!,"AAAAAHfbXws=")</f>
        <v>#REF!</v>
      </c>
      <c r="M90" t="e">
        <f>AND(Bills!G290,"AAAAAHfbXww=")</f>
        <v>#VALUE!</v>
      </c>
      <c r="N90" t="e">
        <f>AND(Bills!H290,"AAAAAHfbXw0=")</f>
        <v>#VALUE!</v>
      </c>
      <c r="O90" t="e">
        <f>AND(Bills!I290,"AAAAAHfbXw4=")</f>
        <v>#VALUE!</v>
      </c>
      <c r="P90" t="e">
        <f>AND(Bills!J290,"AAAAAHfbXw8=")</f>
        <v>#VALUE!</v>
      </c>
      <c r="Q90" t="e">
        <f>AND(Bills!K290,"AAAAAHfbXxA=")</f>
        <v>#VALUE!</v>
      </c>
      <c r="R90" t="e">
        <f>AND(Bills!L290,"AAAAAHfbXxE=")</f>
        <v>#VALUE!</v>
      </c>
      <c r="S90" t="e">
        <f>AND(Bills!#REF!,"AAAAAHfbXxI=")</f>
        <v>#REF!</v>
      </c>
      <c r="T90" t="e">
        <f>AND(Bills!M290,"AAAAAHfbXxM=")</f>
        <v>#VALUE!</v>
      </c>
      <c r="U90" t="e">
        <f>AND(Bills!N290,"AAAAAHfbXxQ=")</f>
        <v>#VALUE!</v>
      </c>
      <c r="V90" t="e">
        <f>AND(Bills!O290,"AAAAAHfbXxU=")</f>
        <v>#VALUE!</v>
      </c>
      <c r="W90" t="e">
        <f>AND(Bills!P290,"AAAAAHfbXxY=")</f>
        <v>#VALUE!</v>
      </c>
      <c r="X90" t="e">
        <f>AND(Bills!Q290,"AAAAAHfbXxc=")</f>
        <v>#VALUE!</v>
      </c>
      <c r="Y90" t="e">
        <f>AND(Bills!R290,"AAAAAHfbXxg=")</f>
        <v>#VALUE!</v>
      </c>
      <c r="Z90" t="e">
        <f>AND(Bills!S290,"AAAAAHfbXxk=")</f>
        <v>#VALUE!</v>
      </c>
      <c r="AA90" t="e">
        <f>AND(Bills!T290,"AAAAAHfbXxo=")</f>
        <v>#VALUE!</v>
      </c>
      <c r="AB90" t="e">
        <f>AND(Bills!#REF!,"AAAAAHfbXxs=")</f>
        <v>#REF!</v>
      </c>
      <c r="AC90" t="e">
        <f>AND(Bills!U290,"AAAAAHfbXxw=")</f>
        <v>#VALUE!</v>
      </c>
      <c r="AD90" t="e">
        <f>AND(Bills!V290,"AAAAAHfbXx0=")</f>
        <v>#VALUE!</v>
      </c>
      <c r="AE90" t="e">
        <f>AND(Bills!W290,"AAAAAHfbXx4=")</f>
        <v>#VALUE!</v>
      </c>
      <c r="AF90" t="e">
        <f>AND(Bills!#REF!,"AAAAAHfbXx8=")</f>
        <v>#REF!</v>
      </c>
      <c r="AG90" t="e">
        <f>AND(Bills!#REF!,"AAAAAHfbXyA=")</f>
        <v>#REF!</v>
      </c>
      <c r="AH90" t="e">
        <f>AND(Bills!Y290,"AAAAAHfbXyE=")</f>
        <v>#VALUE!</v>
      </c>
      <c r="AI90" t="e">
        <f>AND(Bills!Z290,"AAAAAHfbXyI=")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AND(Bills!AA290,"AAAAAHfbXyw=")</f>
        <v>#VALUE!</v>
      </c>
      <c r="AT90" t="e">
        <f>AND(Bills!AB290,"AAAAAHfbXy0=")</f>
        <v>#VALUE!</v>
      </c>
      <c r="AU90" t="e">
        <f>AND(Bills!#REF!,"AAAAAHfbXy4=")</f>
        <v>#REF!</v>
      </c>
      <c r="AV90" t="e">
        <f>AND(Bills!#REF!,"AAAAAHfbXy8=")</f>
        <v>#REF!</v>
      </c>
      <c r="AW90" t="e">
        <f>AND(Bills!#REF!,"AAAAAHfbXzA=")</f>
        <v>#REF!</v>
      </c>
      <c r="AX90" t="e">
        <f>AND(Bills!AC290,"AAAAAHfbXzE=")</f>
        <v>#VALUE!</v>
      </c>
      <c r="AY90" t="e">
        <f>AND(Bills!AD290,"AAAAAHfbXzI=")</f>
        <v>#VALUE!</v>
      </c>
      <c r="AZ90" t="e">
        <f>AND(Bills!#REF!,"AAAAAHfbXzM=")</f>
        <v>#REF!</v>
      </c>
      <c r="BA90">
        <f>IF(Bills!291:291,"AAAAAHfbXzQ=",0)</f>
        <v>0</v>
      </c>
      <c r="BB90" t="e">
        <f>AND(Bills!B291,"AAAAAHfbXzU=")</f>
        <v>#VALUE!</v>
      </c>
      <c r="BC90" t="e">
        <f>AND(Bills!#REF!,"AAAAAHfbXzY=")</f>
        <v>#REF!</v>
      </c>
      <c r="BD90" t="e">
        <f>AND(Bills!C291,"AAAAAHfbXzc=")</f>
        <v>#VALUE!</v>
      </c>
      <c r="BE90" t="e">
        <f>AND(Bills!D291,"AAAAAHfbXzg=")</f>
        <v>#VALUE!</v>
      </c>
      <c r="BF90" t="e">
        <f>AND(Bills!E291,"AAAAAHfbXzk=")</f>
        <v>#VALUE!</v>
      </c>
      <c r="BG90" t="e">
        <f>AND(Bills!#REF!,"AAAAAHfbXzo=")</f>
        <v>#REF!</v>
      </c>
      <c r="BH90" t="e">
        <f>AND(Bills!#REF!,"AAAAAHfbXzs=")</f>
        <v>#REF!</v>
      </c>
      <c r="BI90" t="e">
        <f>AND(Bills!#REF!,"AAAAAHfbXzw=")</f>
        <v>#REF!</v>
      </c>
      <c r="BJ90" t="e">
        <f>AND(Bills!F291,"AAAAAHfbXz0=")</f>
        <v>#VALUE!</v>
      </c>
      <c r="BK90" t="e">
        <f>AND(Bills!#REF!,"AAAAAHfbXz4=")</f>
        <v>#REF!</v>
      </c>
      <c r="BL90" t="e">
        <f>AND(Bills!G291,"AAAAAHfbXz8=")</f>
        <v>#VALUE!</v>
      </c>
      <c r="BM90" t="e">
        <f>AND(Bills!H291,"AAAAAHfbX0A=")</f>
        <v>#VALUE!</v>
      </c>
      <c r="BN90" t="e">
        <f>AND(Bills!I291,"AAAAAHfbX0E=")</f>
        <v>#VALUE!</v>
      </c>
      <c r="BO90" t="e">
        <f>AND(Bills!J291,"AAAAAHfbX0I=")</f>
        <v>#VALUE!</v>
      </c>
      <c r="BP90" t="e">
        <f>AND(Bills!K291,"AAAAAHfbX0M=")</f>
        <v>#VALUE!</v>
      </c>
      <c r="BQ90" t="e">
        <f>AND(Bills!L291,"AAAAAHfbX0Q=")</f>
        <v>#VALUE!</v>
      </c>
      <c r="BR90" t="e">
        <f>AND(Bills!#REF!,"AAAAAHfbX0U=")</f>
        <v>#REF!</v>
      </c>
      <c r="BS90" t="e">
        <f>AND(Bills!M291,"AAAAAHfbX0Y=")</f>
        <v>#VALUE!</v>
      </c>
      <c r="BT90" t="e">
        <f>AND(Bills!N291,"AAAAAHfbX0c=")</f>
        <v>#VALUE!</v>
      </c>
      <c r="BU90" t="e">
        <f>AND(Bills!O291,"AAAAAHfbX0g=")</f>
        <v>#VALUE!</v>
      </c>
      <c r="BV90" t="e">
        <f>AND(Bills!P291,"AAAAAHfbX0k=")</f>
        <v>#VALUE!</v>
      </c>
      <c r="BW90" t="e">
        <f>AND(Bills!Q291,"AAAAAHfbX0o=")</f>
        <v>#VALUE!</v>
      </c>
      <c r="BX90" t="e">
        <f>AND(Bills!R291,"AAAAAHfbX0s=")</f>
        <v>#VALUE!</v>
      </c>
      <c r="BY90" t="e">
        <f>AND(Bills!S291,"AAAAAHfbX0w=")</f>
        <v>#VALUE!</v>
      </c>
      <c r="BZ90" t="e">
        <f>AND(Bills!T291,"AAAAAHfbX00=")</f>
        <v>#VALUE!</v>
      </c>
      <c r="CA90" t="e">
        <f>AND(Bills!#REF!,"AAAAAHfbX04=")</f>
        <v>#REF!</v>
      </c>
      <c r="CB90" t="e">
        <f>AND(Bills!U291,"AAAAAHfbX08=")</f>
        <v>#VALUE!</v>
      </c>
      <c r="CC90" t="e">
        <f>AND(Bills!V291,"AAAAAHfbX1A=")</f>
        <v>#VALUE!</v>
      </c>
      <c r="CD90" t="e">
        <f>AND(Bills!W291,"AAAAAHfbX1E=")</f>
        <v>#VALUE!</v>
      </c>
      <c r="CE90" t="e">
        <f>AND(Bills!#REF!,"AAAAAHfbX1I=")</f>
        <v>#REF!</v>
      </c>
      <c r="CF90" t="e">
        <f>AND(Bills!#REF!,"AAAAAHfbX1M=")</f>
        <v>#REF!</v>
      </c>
      <c r="CG90" t="e">
        <f>AND(Bills!Y291,"AAAAAHfbX1Q=")</f>
        <v>#VALUE!</v>
      </c>
      <c r="CH90" t="e">
        <f>AND(Bills!Z291,"AAAAAHfbX1U=")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AND(Bills!AA291,"AAAAAHfbX18=")</f>
        <v>#VALUE!</v>
      </c>
      <c r="CS90" t="e">
        <f>AND(Bills!AB291,"AAAAAHfbX2A=")</f>
        <v>#VALUE!</v>
      </c>
      <c r="CT90" t="e">
        <f>AND(Bills!#REF!,"AAAAAHfbX2E=")</f>
        <v>#REF!</v>
      </c>
      <c r="CU90" t="e">
        <f>AND(Bills!#REF!,"AAAAAHfbX2I=")</f>
        <v>#REF!</v>
      </c>
      <c r="CV90" t="e">
        <f>AND(Bills!#REF!,"AAAAAHfbX2M=")</f>
        <v>#REF!</v>
      </c>
      <c r="CW90" t="e">
        <f>AND(Bills!AC291,"AAAAAHfbX2Q=")</f>
        <v>#VALUE!</v>
      </c>
      <c r="CX90" t="e">
        <f>AND(Bills!AD291,"AAAAAHfbX2U=")</f>
        <v>#VALUE!</v>
      </c>
      <c r="CY90" t="e">
        <f>AND(Bills!#REF!,"AAAAAHfbX2Y=")</f>
        <v>#REF!</v>
      </c>
      <c r="CZ90">
        <f>IF(Bills!292:292,"AAAAAHfbX2c=",0)</f>
        <v>0</v>
      </c>
      <c r="DA90" t="e">
        <f>AND(Bills!B292,"AAAAAHfbX2g=")</f>
        <v>#VALUE!</v>
      </c>
      <c r="DB90" t="e">
        <f>AND(Bills!#REF!,"AAAAAHfbX2k=")</f>
        <v>#REF!</v>
      </c>
      <c r="DC90" t="e">
        <f>AND(Bills!C292,"AAAAAHfbX2o=")</f>
        <v>#VALUE!</v>
      </c>
      <c r="DD90" t="e">
        <f>AND(Bills!D292,"AAAAAHfbX2s=")</f>
        <v>#VALUE!</v>
      </c>
      <c r="DE90" t="e">
        <f>AND(Bills!E292,"AAAAAHfbX2w=")</f>
        <v>#VALUE!</v>
      </c>
      <c r="DF90" t="e">
        <f>AND(Bills!#REF!,"AAAAAHfbX20=")</f>
        <v>#REF!</v>
      </c>
      <c r="DG90" t="e">
        <f>AND(Bills!#REF!,"AAAAAHfbX24=")</f>
        <v>#REF!</v>
      </c>
      <c r="DH90" t="e">
        <f>AND(Bills!#REF!,"AAAAAHfbX28=")</f>
        <v>#REF!</v>
      </c>
      <c r="DI90" t="e">
        <f>AND(Bills!F292,"AAAAAHfbX3A=")</f>
        <v>#VALUE!</v>
      </c>
      <c r="DJ90" t="e">
        <f>AND(Bills!#REF!,"AAAAAHfbX3E=")</f>
        <v>#REF!</v>
      </c>
      <c r="DK90" t="e">
        <f>AND(Bills!G292,"AAAAAHfbX3I=")</f>
        <v>#VALUE!</v>
      </c>
      <c r="DL90" t="e">
        <f>AND(Bills!H292,"AAAAAHfbX3M=")</f>
        <v>#VALUE!</v>
      </c>
      <c r="DM90" t="e">
        <f>AND(Bills!I292,"AAAAAHfbX3Q=")</f>
        <v>#VALUE!</v>
      </c>
      <c r="DN90" t="e">
        <f>AND(Bills!J292,"AAAAAHfbX3U=")</f>
        <v>#VALUE!</v>
      </c>
      <c r="DO90" t="e">
        <f>AND(Bills!K292,"AAAAAHfbX3Y=")</f>
        <v>#VALUE!</v>
      </c>
      <c r="DP90" t="e">
        <f>AND(Bills!L292,"AAAAAHfbX3c=")</f>
        <v>#VALUE!</v>
      </c>
      <c r="DQ90" t="e">
        <f>AND(Bills!#REF!,"AAAAAHfbX3g=")</f>
        <v>#REF!</v>
      </c>
      <c r="DR90" t="e">
        <f>AND(Bills!M292,"AAAAAHfbX3k=")</f>
        <v>#VALUE!</v>
      </c>
      <c r="DS90" t="e">
        <f>AND(Bills!N292,"AAAAAHfbX3o=")</f>
        <v>#VALUE!</v>
      </c>
      <c r="DT90" t="e">
        <f>AND(Bills!O292,"AAAAAHfbX3s=")</f>
        <v>#VALUE!</v>
      </c>
      <c r="DU90" t="e">
        <f>AND(Bills!P292,"AAAAAHfbX3w=")</f>
        <v>#VALUE!</v>
      </c>
      <c r="DV90" t="e">
        <f>AND(Bills!Q292,"AAAAAHfbX30=")</f>
        <v>#VALUE!</v>
      </c>
      <c r="DW90" t="e">
        <f>AND(Bills!R292,"AAAAAHfbX34=")</f>
        <v>#VALUE!</v>
      </c>
      <c r="DX90" t="e">
        <f>AND(Bills!S292,"AAAAAHfbX38=")</f>
        <v>#VALUE!</v>
      </c>
      <c r="DY90" t="e">
        <f>AND(Bills!T292,"AAAAAHfbX4A=")</f>
        <v>#VALUE!</v>
      </c>
      <c r="DZ90" t="e">
        <f>AND(Bills!#REF!,"AAAAAHfbX4E=")</f>
        <v>#REF!</v>
      </c>
      <c r="EA90" t="e">
        <f>AND(Bills!U292,"AAAAAHfbX4I=")</f>
        <v>#VALUE!</v>
      </c>
      <c r="EB90" t="e">
        <f>AND(Bills!V292,"AAAAAHfbX4M=")</f>
        <v>#VALUE!</v>
      </c>
      <c r="EC90" t="e">
        <f>AND(Bills!W292,"AAAAAHfbX4Q=")</f>
        <v>#VALUE!</v>
      </c>
      <c r="ED90" t="e">
        <f>AND(Bills!#REF!,"AAAAAHfbX4U=")</f>
        <v>#REF!</v>
      </c>
      <c r="EE90" t="e">
        <f>AND(Bills!#REF!,"AAAAAHfbX4Y=")</f>
        <v>#REF!</v>
      </c>
      <c r="EF90" t="e">
        <f>AND(Bills!Y292,"AAAAAHfbX4c=")</f>
        <v>#VALUE!</v>
      </c>
      <c r="EG90" t="e">
        <f>AND(Bills!Z292,"AAAAAHfbX4g=")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AND(Bills!AA292,"AAAAAHfbX5I=")</f>
        <v>#VALUE!</v>
      </c>
      <c r="ER90" t="e">
        <f>AND(Bills!AB292,"AAAAAHfbX5M=")</f>
        <v>#VALUE!</v>
      </c>
      <c r="ES90" t="e">
        <f>AND(Bills!#REF!,"AAAAAHfbX5Q=")</f>
        <v>#REF!</v>
      </c>
      <c r="ET90" t="e">
        <f>AND(Bills!#REF!,"AAAAAHfbX5U=")</f>
        <v>#REF!</v>
      </c>
      <c r="EU90" t="e">
        <f>AND(Bills!#REF!,"AAAAAHfbX5Y=")</f>
        <v>#REF!</v>
      </c>
      <c r="EV90" t="e">
        <f>AND(Bills!AC292,"AAAAAHfbX5c=")</f>
        <v>#VALUE!</v>
      </c>
      <c r="EW90" t="e">
        <f>AND(Bills!AD292,"AAAAAHfbX5g=")</f>
        <v>#VALUE!</v>
      </c>
      <c r="EX90" t="e">
        <f>AND(Bills!#REF!,"AAAAAHfbX5k=")</f>
        <v>#REF!</v>
      </c>
      <c r="EY90">
        <f>IF(Bills!293:293,"AAAAAHfbX5o=",0)</f>
        <v>0</v>
      </c>
      <c r="EZ90" t="e">
        <f>AND(Bills!B293,"AAAAAHfbX5s=")</f>
        <v>#VALUE!</v>
      </c>
      <c r="FA90" t="e">
        <f>AND(Bills!#REF!,"AAAAAHfbX5w=")</f>
        <v>#REF!</v>
      </c>
      <c r="FB90" t="e">
        <f>AND(Bills!C293,"AAAAAHfbX50=")</f>
        <v>#VALUE!</v>
      </c>
      <c r="FC90" t="e">
        <f>AND(Bills!D293,"AAAAAHfbX54=")</f>
        <v>#VALUE!</v>
      </c>
      <c r="FD90" t="e">
        <f>AND(Bills!E293,"AAAAAHfbX58=")</f>
        <v>#VALUE!</v>
      </c>
      <c r="FE90" t="e">
        <f>AND(Bills!#REF!,"AAAAAHfbX6A=")</f>
        <v>#REF!</v>
      </c>
      <c r="FF90" t="e">
        <f>AND(Bills!#REF!,"AAAAAHfbX6E=")</f>
        <v>#REF!</v>
      </c>
      <c r="FG90" t="e">
        <f>AND(Bills!#REF!,"AAAAAHfbX6I=")</f>
        <v>#REF!</v>
      </c>
      <c r="FH90" t="e">
        <f>AND(Bills!F293,"AAAAAHfbX6M=")</f>
        <v>#VALUE!</v>
      </c>
      <c r="FI90" t="e">
        <f>AND(Bills!#REF!,"AAAAAHfbX6Q=")</f>
        <v>#REF!</v>
      </c>
      <c r="FJ90" t="e">
        <f>AND(Bills!G293,"AAAAAHfbX6U=")</f>
        <v>#VALUE!</v>
      </c>
      <c r="FK90" t="e">
        <f>AND(Bills!H293,"AAAAAHfbX6Y=")</f>
        <v>#VALUE!</v>
      </c>
      <c r="FL90" t="e">
        <f>AND(Bills!I293,"AAAAAHfbX6c=")</f>
        <v>#VALUE!</v>
      </c>
      <c r="FM90" t="e">
        <f>AND(Bills!J293,"AAAAAHfbX6g=")</f>
        <v>#VALUE!</v>
      </c>
      <c r="FN90" t="e">
        <f>AND(Bills!K293,"AAAAAHfbX6k=")</f>
        <v>#VALUE!</v>
      </c>
      <c r="FO90" t="e">
        <f>AND(Bills!L293,"AAAAAHfbX6o=")</f>
        <v>#VALUE!</v>
      </c>
      <c r="FP90" t="e">
        <f>AND(Bills!#REF!,"AAAAAHfbX6s=")</f>
        <v>#REF!</v>
      </c>
      <c r="FQ90" t="e">
        <f>AND(Bills!M293,"AAAAAHfbX6w=")</f>
        <v>#VALUE!</v>
      </c>
      <c r="FR90" t="e">
        <f>AND(Bills!N293,"AAAAAHfbX60=")</f>
        <v>#VALUE!</v>
      </c>
      <c r="FS90" t="e">
        <f>AND(Bills!O293,"AAAAAHfbX64=")</f>
        <v>#VALUE!</v>
      </c>
      <c r="FT90" t="e">
        <f>AND(Bills!P293,"AAAAAHfbX68=")</f>
        <v>#VALUE!</v>
      </c>
      <c r="FU90" t="e">
        <f>AND(Bills!Q293,"AAAAAHfbX7A=")</f>
        <v>#VALUE!</v>
      </c>
      <c r="FV90" t="e">
        <f>AND(Bills!R293,"AAAAAHfbX7E=")</f>
        <v>#VALUE!</v>
      </c>
      <c r="FW90" t="e">
        <f>AND(Bills!S293,"AAAAAHfbX7I=")</f>
        <v>#VALUE!</v>
      </c>
      <c r="FX90" t="e">
        <f>AND(Bills!T293,"AAAAAHfbX7M=")</f>
        <v>#VALUE!</v>
      </c>
      <c r="FY90" t="e">
        <f>AND(Bills!#REF!,"AAAAAHfbX7Q=")</f>
        <v>#REF!</v>
      </c>
      <c r="FZ90" t="e">
        <f>AND(Bills!U293,"AAAAAHfbX7U=")</f>
        <v>#VALUE!</v>
      </c>
      <c r="GA90" t="e">
        <f>AND(Bills!V293,"AAAAAHfbX7Y=")</f>
        <v>#VALUE!</v>
      </c>
      <c r="GB90" t="e">
        <f>AND(Bills!W293,"AAAAAHfbX7c=")</f>
        <v>#VALUE!</v>
      </c>
      <c r="GC90" t="e">
        <f>AND(Bills!#REF!,"AAAAAHfbX7g=")</f>
        <v>#REF!</v>
      </c>
      <c r="GD90" t="e">
        <f>AND(Bills!#REF!,"AAAAAHfbX7k=")</f>
        <v>#REF!</v>
      </c>
      <c r="GE90" t="e">
        <f>AND(Bills!Y293,"AAAAAHfbX7o=")</f>
        <v>#VALUE!</v>
      </c>
      <c r="GF90" t="e">
        <f>AND(Bills!Z293,"AAAAAHfbX7s=")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AND(Bills!AA293,"AAAAAHfbX8U=")</f>
        <v>#VALUE!</v>
      </c>
      <c r="GQ90" t="e">
        <f>AND(Bills!AB293,"AAAAAHfbX8Y=")</f>
        <v>#VALUE!</v>
      </c>
      <c r="GR90" t="e">
        <f>AND(Bills!#REF!,"AAAAAHfbX8c=")</f>
        <v>#REF!</v>
      </c>
      <c r="GS90" t="e">
        <f>AND(Bills!#REF!,"AAAAAHfbX8g=")</f>
        <v>#REF!</v>
      </c>
      <c r="GT90" t="e">
        <f>AND(Bills!#REF!,"AAAAAHfbX8k=")</f>
        <v>#REF!</v>
      </c>
      <c r="GU90" t="e">
        <f>AND(Bills!AC293,"AAAAAHfbX8o=")</f>
        <v>#VALUE!</v>
      </c>
      <c r="GV90" t="e">
        <f>AND(Bills!AD293,"AAAAAHfbX8s=")</f>
        <v>#VALUE!</v>
      </c>
      <c r="GW90" t="e">
        <f>AND(Bills!#REF!,"AAAAAHfbX8w=")</f>
        <v>#REF!</v>
      </c>
      <c r="GX90">
        <f>IF(Bills!294:294,"AAAAAHfbX80=",0)</f>
        <v>0</v>
      </c>
      <c r="GY90" t="e">
        <f>AND(Bills!B294,"AAAAAHfbX84=")</f>
        <v>#VALUE!</v>
      </c>
      <c r="GZ90" t="e">
        <f>AND(Bills!#REF!,"AAAAAHfbX88=")</f>
        <v>#REF!</v>
      </c>
      <c r="HA90" t="e">
        <f>AND(Bills!C294,"AAAAAHfbX9A=")</f>
        <v>#VALUE!</v>
      </c>
      <c r="HB90" t="e">
        <f>AND(Bills!D294,"AAAAAHfbX9E=")</f>
        <v>#VALUE!</v>
      </c>
      <c r="HC90" t="e">
        <f>AND(Bills!E294,"AAAAAHfbX9I=")</f>
        <v>#VALUE!</v>
      </c>
      <c r="HD90" t="e">
        <f>AND(Bills!#REF!,"AAAAAHfbX9M=")</f>
        <v>#REF!</v>
      </c>
      <c r="HE90" t="e">
        <f>AND(Bills!#REF!,"AAAAAHfbX9Q=")</f>
        <v>#REF!</v>
      </c>
      <c r="HF90" t="e">
        <f>AND(Bills!#REF!,"AAAAAHfbX9U=")</f>
        <v>#REF!</v>
      </c>
      <c r="HG90" t="e">
        <f>AND(Bills!F294,"AAAAAHfbX9Y=")</f>
        <v>#VALUE!</v>
      </c>
      <c r="HH90" t="e">
        <f>AND(Bills!#REF!,"AAAAAHfbX9c=")</f>
        <v>#REF!</v>
      </c>
      <c r="HI90" t="e">
        <f>AND(Bills!G294,"AAAAAHfbX9g=")</f>
        <v>#VALUE!</v>
      </c>
      <c r="HJ90" t="e">
        <f>AND(Bills!H294,"AAAAAHfbX9k=")</f>
        <v>#VALUE!</v>
      </c>
      <c r="HK90" t="e">
        <f>AND(Bills!I294,"AAAAAHfbX9o=")</f>
        <v>#VALUE!</v>
      </c>
      <c r="HL90" t="e">
        <f>AND(Bills!J294,"AAAAAHfbX9s=")</f>
        <v>#VALUE!</v>
      </c>
      <c r="HM90" t="e">
        <f>AND(Bills!K294,"AAAAAHfbX9w=")</f>
        <v>#VALUE!</v>
      </c>
      <c r="HN90" t="e">
        <f>AND(Bills!L294,"AAAAAHfbX90=")</f>
        <v>#VALUE!</v>
      </c>
      <c r="HO90" t="e">
        <f>AND(Bills!#REF!,"AAAAAHfbX94=")</f>
        <v>#REF!</v>
      </c>
      <c r="HP90" t="e">
        <f>AND(Bills!M294,"AAAAAHfbX98=")</f>
        <v>#VALUE!</v>
      </c>
      <c r="HQ90" t="e">
        <f>AND(Bills!N294,"AAAAAHfbX+A=")</f>
        <v>#VALUE!</v>
      </c>
      <c r="HR90" t="e">
        <f>AND(Bills!O294,"AAAAAHfbX+E=")</f>
        <v>#VALUE!</v>
      </c>
      <c r="HS90" t="e">
        <f>AND(Bills!P294,"AAAAAHfbX+I=")</f>
        <v>#VALUE!</v>
      </c>
      <c r="HT90" t="e">
        <f>AND(Bills!Q294,"AAAAAHfbX+M=")</f>
        <v>#VALUE!</v>
      </c>
      <c r="HU90" t="e">
        <f>AND(Bills!R294,"AAAAAHfbX+Q=")</f>
        <v>#VALUE!</v>
      </c>
      <c r="HV90" t="e">
        <f>AND(Bills!S294,"AAAAAHfbX+U=")</f>
        <v>#VALUE!</v>
      </c>
      <c r="HW90" t="e">
        <f>AND(Bills!T294,"AAAAAHfbX+Y=")</f>
        <v>#VALUE!</v>
      </c>
      <c r="HX90" t="e">
        <f>AND(Bills!#REF!,"AAAAAHfbX+c=")</f>
        <v>#REF!</v>
      </c>
      <c r="HY90" t="e">
        <f>AND(Bills!U294,"AAAAAHfbX+g=")</f>
        <v>#VALUE!</v>
      </c>
      <c r="HZ90" t="e">
        <f>AND(Bills!V294,"AAAAAHfbX+k=")</f>
        <v>#VALUE!</v>
      </c>
      <c r="IA90" t="e">
        <f>AND(Bills!W294,"AAAAAHfbX+o=")</f>
        <v>#VALUE!</v>
      </c>
      <c r="IB90" t="e">
        <f>AND(Bills!#REF!,"AAAAAHfbX+s=")</f>
        <v>#REF!</v>
      </c>
      <c r="IC90" t="e">
        <f>AND(Bills!#REF!,"AAAAAHfbX+w=")</f>
        <v>#REF!</v>
      </c>
      <c r="ID90" t="e">
        <f>AND(Bills!Y294,"AAAAAHfbX+0=")</f>
        <v>#VALUE!</v>
      </c>
      <c r="IE90" t="e">
        <f>AND(Bills!Z294,"AAAAAHfbX+4=")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AND(Bills!AA294,"AAAAAHfbX/g=")</f>
        <v>#VALUE!</v>
      </c>
      <c r="IP90" t="e">
        <f>AND(Bills!AB294,"AAAAAHfbX/k=")</f>
        <v>#VALUE!</v>
      </c>
      <c r="IQ90" t="e">
        <f>AND(Bills!#REF!,"AAAAAHfbX/o=")</f>
        <v>#REF!</v>
      </c>
      <c r="IR90" t="e">
        <f>AND(Bills!#REF!,"AAAAAHfbX/s=")</f>
        <v>#REF!</v>
      </c>
      <c r="IS90" t="e">
        <f>AND(Bills!#REF!,"AAAAAHfbX/w=")</f>
        <v>#REF!</v>
      </c>
      <c r="IT90" t="e">
        <f>AND(Bills!AC294,"AAAAAHfbX/0=")</f>
        <v>#VALUE!</v>
      </c>
      <c r="IU90" t="e">
        <f>AND(Bills!AD294,"AAAAAHfbX/4=")</f>
        <v>#VALUE!</v>
      </c>
      <c r="IV90" t="e">
        <f>AND(Bills!#REF!,"AAAAAHfbX/8=")</f>
        <v>#REF!</v>
      </c>
    </row>
    <row r="91" spans="1:256">
      <c r="A91">
        <f>IF(Bills!295:295,"AAAAAH6rfwA=",0)</f>
        <v>0</v>
      </c>
      <c r="B91" t="e">
        <f>AND(Bills!B295,"AAAAAH6rfwE=")</f>
        <v>#VALUE!</v>
      </c>
      <c r="C91" t="e">
        <f>AND(Bills!#REF!,"AAAAAH6rfwI=")</f>
        <v>#REF!</v>
      </c>
      <c r="D91" t="e">
        <f>AND(Bills!C295,"AAAAAH6rfwM=")</f>
        <v>#VALUE!</v>
      </c>
      <c r="E91" t="e">
        <f>AND(Bills!D295,"AAAAAH6rfwQ=")</f>
        <v>#VALUE!</v>
      </c>
      <c r="F91" t="e">
        <f>AND(Bills!E295,"AAAAAH6rfwU=")</f>
        <v>#VALUE!</v>
      </c>
      <c r="G91" t="e">
        <f>AND(Bills!#REF!,"AAAAAH6rfwY=")</f>
        <v>#REF!</v>
      </c>
      <c r="H91" t="e">
        <f>AND(Bills!#REF!,"AAAAAH6rfwc=")</f>
        <v>#REF!</v>
      </c>
      <c r="I91" t="e">
        <f>AND(Bills!#REF!,"AAAAAH6rfwg=")</f>
        <v>#REF!</v>
      </c>
      <c r="J91" t="e">
        <f>AND(Bills!F295,"AAAAAH6rfwk=")</f>
        <v>#VALUE!</v>
      </c>
      <c r="K91" t="e">
        <f>AND(Bills!#REF!,"AAAAAH6rfwo=")</f>
        <v>#REF!</v>
      </c>
      <c r="L91" t="e">
        <f>AND(Bills!G295,"AAAAAH6rfws=")</f>
        <v>#VALUE!</v>
      </c>
      <c r="M91" t="e">
        <f>AND(Bills!H295,"AAAAAH6rfww=")</f>
        <v>#VALUE!</v>
      </c>
      <c r="N91" t="e">
        <f>AND(Bills!I295,"AAAAAH6rfw0=")</f>
        <v>#VALUE!</v>
      </c>
      <c r="O91" t="e">
        <f>AND(Bills!J295,"AAAAAH6rfw4=")</f>
        <v>#VALUE!</v>
      </c>
      <c r="P91" t="e">
        <f>AND(Bills!K295,"AAAAAH6rfw8=")</f>
        <v>#VALUE!</v>
      </c>
      <c r="Q91" t="e">
        <f>AND(Bills!L295,"AAAAAH6rfxA=")</f>
        <v>#VALUE!</v>
      </c>
      <c r="R91" t="e">
        <f>AND(Bills!#REF!,"AAAAAH6rfxE=")</f>
        <v>#REF!</v>
      </c>
      <c r="S91" t="e">
        <f>AND(Bills!M295,"AAAAAH6rfxI=")</f>
        <v>#VALUE!</v>
      </c>
      <c r="T91" t="e">
        <f>AND(Bills!N295,"AAAAAH6rfxM=")</f>
        <v>#VALUE!</v>
      </c>
      <c r="U91" t="e">
        <f>AND(Bills!O295,"AAAAAH6rfxQ=")</f>
        <v>#VALUE!</v>
      </c>
      <c r="V91" t="e">
        <f>AND(Bills!P295,"AAAAAH6rfxU=")</f>
        <v>#VALUE!</v>
      </c>
      <c r="W91" t="e">
        <f>AND(Bills!Q295,"AAAAAH6rfxY=")</f>
        <v>#VALUE!</v>
      </c>
      <c r="X91" t="e">
        <f>AND(Bills!R295,"AAAAAH6rfxc=")</f>
        <v>#VALUE!</v>
      </c>
      <c r="Y91" t="e">
        <f>AND(Bills!S295,"AAAAAH6rfxg=")</f>
        <v>#VALUE!</v>
      </c>
      <c r="Z91" t="e">
        <f>AND(Bills!T295,"AAAAAH6rfxk=")</f>
        <v>#VALUE!</v>
      </c>
      <c r="AA91" t="e">
        <f>AND(Bills!#REF!,"AAAAAH6rfxo=")</f>
        <v>#REF!</v>
      </c>
      <c r="AB91" t="e">
        <f>AND(Bills!U295,"AAAAAH6rfxs=")</f>
        <v>#VALUE!</v>
      </c>
      <c r="AC91" t="e">
        <f>AND(Bills!V295,"AAAAAH6rfxw=")</f>
        <v>#VALUE!</v>
      </c>
      <c r="AD91" t="e">
        <f>AND(Bills!W295,"AAAAAH6rfx0=")</f>
        <v>#VALUE!</v>
      </c>
      <c r="AE91" t="e">
        <f>AND(Bills!#REF!,"AAAAAH6rfx4=")</f>
        <v>#REF!</v>
      </c>
      <c r="AF91" t="e">
        <f>AND(Bills!#REF!,"AAAAAH6rfx8=")</f>
        <v>#REF!</v>
      </c>
      <c r="AG91" t="e">
        <f>AND(Bills!Y295,"AAAAAH6rfyA=")</f>
        <v>#VALUE!</v>
      </c>
      <c r="AH91" t="e">
        <f>AND(Bills!Z295,"AAAAAH6rfyE=")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AND(Bills!AA295,"AAAAAH6rfys=")</f>
        <v>#VALUE!</v>
      </c>
      <c r="AS91" t="e">
        <f>AND(Bills!AB295,"AAAAAH6rfyw=")</f>
        <v>#VALUE!</v>
      </c>
      <c r="AT91" t="e">
        <f>AND(Bills!#REF!,"AAAAAH6rfy0=")</f>
        <v>#REF!</v>
      </c>
      <c r="AU91" t="e">
        <f>AND(Bills!#REF!,"AAAAAH6rfy4=")</f>
        <v>#REF!</v>
      </c>
      <c r="AV91" t="e">
        <f>AND(Bills!#REF!,"AAAAAH6rfy8=")</f>
        <v>#REF!</v>
      </c>
      <c r="AW91" t="e">
        <f>AND(Bills!AC295,"AAAAAH6rfzA=")</f>
        <v>#VALUE!</v>
      </c>
      <c r="AX91" t="e">
        <f>AND(Bills!AD295,"AAAAAH6rfzE=")</f>
        <v>#VALUE!</v>
      </c>
      <c r="AY91" t="e">
        <f>AND(Bills!#REF!,"AAAAAH6rfzI=")</f>
        <v>#REF!</v>
      </c>
      <c r="AZ91">
        <f>IF(Bills!296:296,"AAAAAH6rfzM=",0)</f>
        <v>0</v>
      </c>
      <c r="BA91" t="e">
        <f>AND(Bills!B296,"AAAAAH6rfzQ=")</f>
        <v>#VALUE!</v>
      </c>
      <c r="BB91" t="e">
        <f>AND(Bills!#REF!,"AAAAAH6rfzU=")</f>
        <v>#REF!</v>
      </c>
      <c r="BC91" t="e">
        <f>AND(Bills!C296,"AAAAAH6rfzY=")</f>
        <v>#VALUE!</v>
      </c>
      <c r="BD91" t="e">
        <f>AND(Bills!D296,"AAAAAH6rfzc=")</f>
        <v>#VALUE!</v>
      </c>
      <c r="BE91" t="e">
        <f>AND(Bills!E296,"AAAAAH6rfzg=")</f>
        <v>#VALUE!</v>
      </c>
      <c r="BF91" t="e">
        <f>AND(Bills!#REF!,"AAAAAH6rfzk=")</f>
        <v>#REF!</v>
      </c>
      <c r="BG91" t="e">
        <f>AND(Bills!#REF!,"AAAAAH6rfzo=")</f>
        <v>#REF!</v>
      </c>
      <c r="BH91" t="e">
        <f>AND(Bills!#REF!,"AAAAAH6rfzs=")</f>
        <v>#REF!</v>
      </c>
      <c r="BI91" t="e">
        <f>AND(Bills!F296,"AAAAAH6rfzw=")</f>
        <v>#VALUE!</v>
      </c>
      <c r="BJ91" t="e">
        <f>AND(Bills!#REF!,"AAAAAH6rfz0=")</f>
        <v>#REF!</v>
      </c>
      <c r="BK91" t="e">
        <f>AND(Bills!G296,"AAAAAH6rfz4=")</f>
        <v>#VALUE!</v>
      </c>
      <c r="BL91" t="e">
        <f>AND(Bills!H296,"AAAAAH6rfz8=")</f>
        <v>#VALUE!</v>
      </c>
      <c r="BM91" t="e">
        <f>AND(Bills!I296,"AAAAAH6rf0A=")</f>
        <v>#VALUE!</v>
      </c>
      <c r="BN91" t="e">
        <f>AND(Bills!J296,"AAAAAH6rf0E=")</f>
        <v>#VALUE!</v>
      </c>
      <c r="BO91" t="e">
        <f>AND(Bills!K296,"AAAAAH6rf0I=")</f>
        <v>#VALUE!</v>
      </c>
      <c r="BP91" t="e">
        <f>AND(Bills!L296,"AAAAAH6rf0M=")</f>
        <v>#VALUE!</v>
      </c>
      <c r="BQ91" t="e">
        <f>AND(Bills!#REF!,"AAAAAH6rf0Q=")</f>
        <v>#REF!</v>
      </c>
      <c r="BR91" t="e">
        <f>AND(Bills!M296,"AAAAAH6rf0U=")</f>
        <v>#VALUE!</v>
      </c>
      <c r="BS91" t="e">
        <f>AND(Bills!N296,"AAAAAH6rf0Y=")</f>
        <v>#VALUE!</v>
      </c>
      <c r="BT91" t="e">
        <f>AND(Bills!O296,"AAAAAH6rf0c=")</f>
        <v>#VALUE!</v>
      </c>
      <c r="BU91" t="e">
        <f>AND(Bills!P296,"AAAAAH6rf0g=")</f>
        <v>#VALUE!</v>
      </c>
      <c r="BV91" t="e">
        <f>AND(Bills!Q296,"AAAAAH6rf0k=")</f>
        <v>#VALUE!</v>
      </c>
      <c r="BW91" t="e">
        <f>AND(Bills!R296,"AAAAAH6rf0o=")</f>
        <v>#VALUE!</v>
      </c>
      <c r="BX91" t="e">
        <f>AND(Bills!S296,"AAAAAH6rf0s=")</f>
        <v>#VALUE!</v>
      </c>
      <c r="BY91" t="e">
        <f>AND(Bills!T296,"AAAAAH6rf0w=")</f>
        <v>#VALUE!</v>
      </c>
      <c r="BZ91" t="e">
        <f>AND(Bills!#REF!,"AAAAAH6rf00=")</f>
        <v>#REF!</v>
      </c>
      <c r="CA91" t="e">
        <f>AND(Bills!U296,"AAAAAH6rf04=")</f>
        <v>#VALUE!</v>
      </c>
      <c r="CB91" t="e">
        <f>AND(Bills!V296,"AAAAAH6rf08=")</f>
        <v>#VALUE!</v>
      </c>
      <c r="CC91" t="e">
        <f>AND(Bills!W296,"AAAAAH6rf1A=")</f>
        <v>#VALUE!</v>
      </c>
      <c r="CD91" t="e">
        <f>AND(Bills!#REF!,"AAAAAH6rf1E=")</f>
        <v>#REF!</v>
      </c>
      <c r="CE91" t="e">
        <f>AND(Bills!#REF!,"AAAAAH6rf1I=")</f>
        <v>#REF!</v>
      </c>
      <c r="CF91" t="e">
        <f>AND(Bills!Y296,"AAAAAH6rf1M=")</f>
        <v>#VALUE!</v>
      </c>
      <c r="CG91" t="e">
        <f>AND(Bills!Z296,"AAAAAH6rf1Q=")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AND(Bills!AA296,"AAAAAH6rf14=")</f>
        <v>#VALUE!</v>
      </c>
      <c r="CR91" t="e">
        <f>AND(Bills!AB296,"AAAAAH6rf18=")</f>
        <v>#VALUE!</v>
      </c>
      <c r="CS91" t="e">
        <f>AND(Bills!#REF!,"AAAAAH6rf2A=")</f>
        <v>#REF!</v>
      </c>
      <c r="CT91" t="e">
        <f>AND(Bills!#REF!,"AAAAAH6rf2E=")</f>
        <v>#REF!</v>
      </c>
      <c r="CU91" t="e">
        <f>AND(Bills!#REF!,"AAAAAH6rf2I=")</f>
        <v>#REF!</v>
      </c>
      <c r="CV91" t="e">
        <f>AND(Bills!AC296,"AAAAAH6rf2M=")</f>
        <v>#VALUE!</v>
      </c>
      <c r="CW91" t="e">
        <f>AND(Bills!AD296,"AAAAAH6rf2Q=")</f>
        <v>#VALUE!</v>
      </c>
      <c r="CX91" t="e">
        <f>AND(Bills!#REF!,"AAAAAH6rf2U=")</f>
        <v>#REF!</v>
      </c>
      <c r="CY91">
        <f>IF(Bills!297:297,"AAAAAH6rf2Y=",0)</f>
        <v>0</v>
      </c>
      <c r="CZ91" t="e">
        <f>AND(Bills!B297,"AAAAAH6rf2c=")</f>
        <v>#VALUE!</v>
      </c>
      <c r="DA91" t="e">
        <f>AND(Bills!#REF!,"AAAAAH6rf2g=")</f>
        <v>#REF!</v>
      </c>
      <c r="DB91" t="e">
        <f>AND(Bills!C297,"AAAAAH6rf2k=")</f>
        <v>#VALUE!</v>
      </c>
      <c r="DC91" t="e">
        <f>AND(Bills!D297,"AAAAAH6rf2o=")</f>
        <v>#VALUE!</v>
      </c>
      <c r="DD91" t="e">
        <f>AND(Bills!E297,"AAAAAH6rf2s=")</f>
        <v>#VALUE!</v>
      </c>
      <c r="DE91" t="e">
        <f>AND(Bills!#REF!,"AAAAAH6rf2w=")</f>
        <v>#REF!</v>
      </c>
      <c r="DF91" t="e">
        <f>AND(Bills!#REF!,"AAAAAH6rf20=")</f>
        <v>#REF!</v>
      </c>
      <c r="DG91" t="e">
        <f>AND(Bills!#REF!,"AAAAAH6rf24=")</f>
        <v>#REF!</v>
      </c>
      <c r="DH91" t="e">
        <f>AND(Bills!F297,"AAAAAH6rf28=")</f>
        <v>#VALUE!</v>
      </c>
      <c r="DI91" t="e">
        <f>AND(Bills!#REF!,"AAAAAH6rf3A=")</f>
        <v>#REF!</v>
      </c>
      <c r="DJ91" t="e">
        <f>AND(Bills!G297,"AAAAAH6rf3E=")</f>
        <v>#VALUE!</v>
      </c>
      <c r="DK91" t="e">
        <f>AND(Bills!H297,"AAAAAH6rf3I=")</f>
        <v>#VALUE!</v>
      </c>
      <c r="DL91" t="e">
        <f>AND(Bills!I297,"AAAAAH6rf3M=")</f>
        <v>#VALUE!</v>
      </c>
      <c r="DM91" t="e">
        <f>AND(Bills!J297,"AAAAAH6rf3Q=")</f>
        <v>#VALUE!</v>
      </c>
      <c r="DN91" t="e">
        <f>AND(Bills!K297,"AAAAAH6rf3U=")</f>
        <v>#VALUE!</v>
      </c>
      <c r="DO91" t="e">
        <f>AND(Bills!L297,"AAAAAH6rf3Y=")</f>
        <v>#VALUE!</v>
      </c>
      <c r="DP91" t="e">
        <f>AND(Bills!#REF!,"AAAAAH6rf3c=")</f>
        <v>#REF!</v>
      </c>
      <c r="DQ91" t="e">
        <f>AND(Bills!M297,"AAAAAH6rf3g=")</f>
        <v>#VALUE!</v>
      </c>
      <c r="DR91" t="e">
        <f>AND(Bills!N297,"AAAAAH6rf3k=")</f>
        <v>#VALUE!</v>
      </c>
      <c r="DS91" t="e">
        <f>AND(Bills!O297,"AAAAAH6rf3o=")</f>
        <v>#VALUE!</v>
      </c>
      <c r="DT91" t="e">
        <f>AND(Bills!P297,"AAAAAH6rf3s=")</f>
        <v>#VALUE!</v>
      </c>
      <c r="DU91" t="e">
        <f>AND(Bills!Q297,"AAAAAH6rf3w=")</f>
        <v>#VALUE!</v>
      </c>
      <c r="DV91" t="e">
        <f>AND(Bills!R297,"AAAAAH6rf30=")</f>
        <v>#VALUE!</v>
      </c>
      <c r="DW91" t="e">
        <f>AND(Bills!S297,"AAAAAH6rf34=")</f>
        <v>#VALUE!</v>
      </c>
      <c r="DX91" t="e">
        <f>AND(Bills!T297,"AAAAAH6rf38=")</f>
        <v>#VALUE!</v>
      </c>
      <c r="DY91" t="e">
        <f>AND(Bills!#REF!,"AAAAAH6rf4A=")</f>
        <v>#REF!</v>
      </c>
      <c r="DZ91" t="e">
        <f>AND(Bills!U297,"AAAAAH6rf4E=")</f>
        <v>#VALUE!</v>
      </c>
      <c r="EA91" t="e">
        <f>AND(Bills!V297,"AAAAAH6rf4I=")</f>
        <v>#VALUE!</v>
      </c>
      <c r="EB91" t="e">
        <f>AND(Bills!W297,"AAAAAH6rf4M=")</f>
        <v>#VALUE!</v>
      </c>
      <c r="EC91" t="e">
        <f>AND(Bills!#REF!,"AAAAAH6rf4Q=")</f>
        <v>#REF!</v>
      </c>
      <c r="ED91" t="e">
        <f>AND(Bills!#REF!,"AAAAAH6rf4U=")</f>
        <v>#REF!</v>
      </c>
      <c r="EE91" t="e">
        <f>AND(Bills!Y297,"AAAAAH6rf4Y=")</f>
        <v>#VALUE!</v>
      </c>
      <c r="EF91" t="e">
        <f>AND(Bills!Z297,"AAAAAH6rf4c=")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AND(Bills!AA297,"AAAAAH6rf5E=")</f>
        <v>#VALUE!</v>
      </c>
      <c r="EQ91" t="e">
        <f>AND(Bills!AB297,"AAAAAH6rf5I=")</f>
        <v>#VALUE!</v>
      </c>
      <c r="ER91" t="e">
        <f>AND(Bills!#REF!,"AAAAAH6rf5M=")</f>
        <v>#REF!</v>
      </c>
      <c r="ES91" t="e">
        <f>AND(Bills!#REF!,"AAAAAH6rf5Q=")</f>
        <v>#REF!</v>
      </c>
      <c r="ET91" t="e">
        <f>AND(Bills!#REF!,"AAAAAH6rf5U=")</f>
        <v>#REF!</v>
      </c>
      <c r="EU91" t="e">
        <f>AND(Bills!AC297,"AAAAAH6rf5Y=")</f>
        <v>#VALUE!</v>
      </c>
      <c r="EV91" t="e">
        <f>AND(Bills!AD297,"AAAAAH6rf5c=")</f>
        <v>#VALUE!</v>
      </c>
      <c r="EW91" t="e">
        <f>AND(Bills!#REF!,"AAAAAH6rf5g=")</f>
        <v>#REF!</v>
      </c>
      <c r="EX91">
        <f>IF(Bills!298:298,"AAAAAH6rf5k=",0)</f>
        <v>0</v>
      </c>
      <c r="EY91" t="e">
        <f>AND(Bills!B298,"AAAAAH6rf5o=")</f>
        <v>#VALUE!</v>
      </c>
      <c r="EZ91" t="e">
        <f>AND(Bills!#REF!,"AAAAAH6rf5s=")</f>
        <v>#REF!</v>
      </c>
      <c r="FA91" t="e">
        <f>AND(Bills!C298,"AAAAAH6rf5w=")</f>
        <v>#VALUE!</v>
      </c>
      <c r="FB91" t="e">
        <f>AND(Bills!D298,"AAAAAH6rf50=")</f>
        <v>#VALUE!</v>
      </c>
      <c r="FC91" t="e">
        <f>AND(Bills!E298,"AAAAAH6rf54=")</f>
        <v>#VALUE!</v>
      </c>
      <c r="FD91" t="e">
        <f>AND(Bills!#REF!,"AAAAAH6rf58=")</f>
        <v>#REF!</v>
      </c>
      <c r="FE91" t="e">
        <f>AND(Bills!#REF!,"AAAAAH6rf6A=")</f>
        <v>#REF!</v>
      </c>
      <c r="FF91" t="e">
        <f>AND(Bills!#REF!,"AAAAAH6rf6E=")</f>
        <v>#REF!</v>
      </c>
      <c r="FG91" t="e">
        <f>AND(Bills!F298,"AAAAAH6rf6I=")</f>
        <v>#VALUE!</v>
      </c>
      <c r="FH91" t="e">
        <f>AND(Bills!#REF!,"AAAAAH6rf6M=")</f>
        <v>#REF!</v>
      </c>
      <c r="FI91" t="e">
        <f>AND(Bills!G298,"AAAAAH6rf6Q=")</f>
        <v>#VALUE!</v>
      </c>
      <c r="FJ91" t="e">
        <f>AND(Bills!H298,"AAAAAH6rf6U=")</f>
        <v>#VALUE!</v>
      </c>
      <c r="FK91" t="e">
        <f>AND(Bills!I298,"AAAAAH6rf6Y=")</f>
        <v>#VALUE!</v>
      </c>
      <c r="FL91" t="e">
        <f>AND(Bills!J298,"AAAAAH6rf6c=")</f>
        <v>#VALUE!</v>
      </c>
      <c r="FM91" t="e">
        <f>AND(Bills!K298,"AAAAAH6rf6g=")</f>
        <v>#VALUE!</v>
      </c>
      <c r="FN91" t="e">
        <f>AND(Bills!L298,"AAAAAH6rf6k=")</f>
        <v>#VALUE!</v>
      </c>
      <c r="FO91" t="e">
        <f>AND(Bills!#REF!,"AAAAAH6rf6o=")</f>
        <v>#REF!</v>
      </c>
      <c r="FP91" t="e">
        <f>AND(Bills!M298,"AAAAAH6rf6s=")</f>
        <v>#VALUE!</v>
      </c>
      <c r="FQ91" t="e">
        <f>AND(Bills!N298,"AAAAAH6rf6w=")</f>
        <v>#VALUE!</v>
      </c>
      <c r="FR91" t="e">
        <f>AND(Bills!O298,"AAAAAH6rf60=")</f>
        <v>#VALUE!</v>
      </c>
      <c r="FS91" t="e">
        <f>AND(Bills!P298,"AAAAAH6rf64=")</f>
        <v>#VALUE!</v>
      </c>
      <c r="FT91" t="e">
        <f>AND(Bills!Q298,"AAAAAH6rf68=")</f>
        <v>#VALUE!</v>
      </c>
      <c r="FU91" t="e">
        <f>AND(Bills!R298,"AAAAAH6rf7A=")</f>
        <v>#VALUE!</v>
      </c>
      <c r="FV91" t="e">
        <f>AND(Bills!S298,"AAAAAH6rf7E=")</f>
        <v>#VALUE!</v>
      </c>
      <c r="FW91" t="e">
        <f>AND(Bills!T298,"AAAAAH6rf7I=")</f>
        <v>#VALUE!</v>
      </c>
      <c r="FX91" t="e">
        <f>AND(Bills!#REF!,"AAAAAH6rf7M=")</f>
        <v>#REF!</v>
      </c>
      <c r="FY91" t="e">
        <f>AND(Bills!U298,"AAAAAH6rf7Q=")</f>
        <v>#VALUE!</v>
      </c>
      <c r="FZ91" t="e">
        <f>AND(Bills!V298,"AAAAAH6rf7U=")</f>
        <v>#VALUE!</v>
      </c>
      <c r="GA91" t="e">
        <f>AND(Bills!W298,"AAAAAH6rf7Y=")</f>
        <v>#VALUE!</v>
      </c>
      <c r="GB91" t="e">
        <f>AND(Bills!#REF!,"AAAAAH6rf7c=")</f>
        <v>#REF!</v>
      </c>
      <c r="GC91" t="e">
        <f>AND(Bills!#REF!,"AAAAAH6rf7g=")</f>
        <v>#REF!</v>
      </c>
      <c r="GD91" t="e">
        <f>AND(Bills!Y298,"AAAAAH6rf7k=")</f>
        <v>#VALUE!</v>
      </c>
      <c r="GE91" t="e">
        <f>AND(Bills!Z298,"AAAAAH6rf7o=")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AND(Bills!AA298,"AAAAAH6rf8Q=")</f>
        <v>#VALUE!</v>
      </c>
      <c r="GP91" t="e">
        <f>AND(Bills!AB298,"AAAAAH6rf8U=")</f>
        <v>#VALUE!</v>
      </c>
      <c r="GQ91" t="e">
        <f>AND(Bills!#REF!,"AAAAAH6rf8Y=")</f>
        <v>#REF!</v>
      </c>
      <c r="GR91" t="e">
        <f>AND(Bills!#REF!,"AAAAAH6rf8c=")</f>
        <v>#REF!</v>
      </c>
      <c r="GS91" t="e">
        <f>AND(Bills!#REF!,"AAAAAH6rf8g=")</f>
        <v>#REF!</v>
      </c>
      <c r="GT91" t="e">
        <f>AND(Bills!AC298,"AAAAAH6rf8k=")</f>
        <v>#VALUE!</v>
      </c>
      <c r="GU91" t="e">
        <f>AND(Bills!AD298,"AAAAAH6rf8o=")</f>
        <v>#VALUE!</v>
      </c>
      <c r="GV91" t="e">
        <f>AND(Bills!#REF!,"AAAAAH6rf8s=")</f>
        <v>#REF!</v>
      </c>
      <c r="GW91">
        <f>IF(Bills!299:299,"AAAAAH6rf8w=",0)</f>
        <v>0</v>
      </c>
      <c r="GX91" t="e">
        <f>AND(Bills!B299,"AAAAAH6rf80=")</f>
        <v>#VALUE!</v>
      </c>
      <c r="GY91" t="e">
        <f>AND(Bills!#REF!,"AAAAAH6rf84=")</f>
        <v>#REF!</v>
      </c>
      <c r="GZ91" t="e">
        <f>AND(Bills!C299,"AAAAAH6rf88=")</f>
        <v>#VALUE!</v>
      </c>
      <c r="HA91" t="e">
        <f>AND(Bills!D299,"AAAAAH6rf9A=")</f>
        <v>#VALUE!</v>
      </c>
      <c r="HB91" t="e">
        <f>AND(Bills!E299,"AAAAAH6rf9E=")</f>
        <v>#VALUE!</v>
      </c>
      <c r="HC91" t="e">
        <f>AND(Bills!#REF!,"AAAAAH6rf9I=")</f>
        <v>#REF!</v>
      </c>
      <c r="HD91" t="e">
        <f>AND(Bills!#REF!,"AAAAAH6rf9M=")</f>
        <v>#REF!</v>
      </c>
      <c r="HE91" t="e">
        <f>AND(Bills!#REF!,"AAAAAH6rf9Q=")</f>
        <v>#REF!</v>
      </c>
      <c r="HF91" t="e">
        <f>AND(Bills!F299,"AAAAAH6rf9U=")</f>
        <v>#VALUE!</v>
      </c>
      <c r="HG91" t="e">
        <f>AND(Bills!#REF!,"AAAAAH6rf9Y=")</f>
        <v>#REF!</v>
      </c>
      <c r="HH91" t="e">
        <f>AND(Bills!G299,"AAAAAH6rf9c=")</f>
        <v>#VALUE!</v>
      </c>
      <c r="HI91" t="e">
        <f>AND(Bills!H299,"AAAAAH6rf9g=")</f>
        <v>#VALUE!</v>
      </c>
      <c r="HJ91" t="e">
        <f>AND(Bills!I299,"AAAAAH6rf9k=")</f>
        <v>#VALUE!</v>
      </c>
      <c r="HK91" t="e">
        <f>AND(Bills!J299,"AAAAAH6rf9o=")</f>
        <v>#VALUE!</v>
      </c>
      <c r="HL91" t="e">
        <f>AND(Bills!K299,"AAAAAH6rf9s=")</f>
        <v>#VALUE!</v>
      </c>
      <c r="HM91" t="e">
        <f>AND(Bills!L299,"AAAAAH6rf9w=")</f>
        <v>#VALUE!</v>
      </c>
      <c r="HN91" t="e">
        <f>AND(Bills!#REF!,"AAAAAH6rf90=")</f>
        <v>#REF!</v>
      </c>
      <c r="HO91" t="e">
        <f>AND(Bills!M299,"AAAAAH6rf94=")</f>
        <v>#VALUE!</v>
      </c>
      <c r="HP91" t="e">
        <f>AND(Bills!N299,"AAAAAH6rf98=")</f>
        <v>#VALUE!</v>
      </c>
      <c r="HQ91" t="e">
        <f>AND(Bills!O299,"AAAAAH6rf+A=")</f>
        <v>#VALUE!</v>
      </c>
      <c r="HR91" t="e">
        <f>AND(Bills!P299,"AAAAAH6rf+E=")</f>
        <v>#VALUE!</v>
      </c>
      <c r="HS91" t="e">
        <f>AND(Bills!Q299,"AAAAAH6rf+I=")</f>
        <v>#VALUE!</v>
      </c>
      <c r="HT91" t="e">
        <f>AND(Bills!R299,"AAAAAH6rf+M=")</f>
        <v>#VALUE!</v>
      </c>
      <c r="HU91" t="e">
        <f>AND(Bills!S299,"AAAAAH6rf+Q=")</f>
        <v>#VALUE!</v>
      </c>
      <c r="HV91" t="e">
        <f>AND(Bills!T299,"AAAAAH6rf+U=")</f>
        <v>#VALUE!</v>
      </c>
      <c r="HW91" t="e">
        <f>AND(Bills!#REF!,"AAAAAH6rf+Y=")</f>
        <v>#REF!</v>
      </c>
      <c r="HX91" t="e">
        <f>AND(Bills!U299,"AAAAAH6rf+c=")</f>
        <v>#VALUE!</v>
      </c>
      <c r="HY91" t="e">
        <f>AND(Bills!V299,"AAAAAH6rf+g=")</f>
        <v>#VALUE!</v>
      </c>
      <c r="HZ91" t="e">
        <f>AND(Bills!W299,"AAAAAH6rf+k=")</f>
        <v>#VALUE!</v>
      </c>
      <c r="IA91" t="e">
        <f>AND(Bills!#REF!,"AAAAAH6rf+o=")</f>
        <v>#REF!</v>
      </c>
      <c r="IB91" t="e">
        <f>AND(Bills!#REF!,"AAAAAH6rf+s=")</f>
        <v>#REF!</v>
      </c>
      <c r="IC91" t="e">
        <f>AND(Bills!Y299,"AAAAAH6rf+w=")</f>
        <v>#VALUE!</v>
      </c>
      <c r="ID91" t="e">
        <f>AND(Bills!Z299,"AAAAAH6rf+0=")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AND(Bills!AA299,"AAAAAH6rf/c=")</f>
        <v>#VALUE!</v>
      </c>
      <c r="IO91" t="e">
        <f>AND(Bills!AB299,"AAAAAH6rf/g=")</f>
        <v>#VALUE!</v>
      </c>
      <c r="IP91" t="e">
        <f>AND(Bills!#REF!,"AAAAAH6rf/k=")</f>
        <v>#REF!</v>
      </c>
      <c r="IQ91" t="e">
        <f>AND(Bills!#REF!,"AAAAAH6rf/o=")</f>
        <v>#REF!</v>
      </c>
      <c r="IR91" t="e">
        <f>AND(Bills!#REF!,"AAAAAH6rf/s=")</f>
        <v>#REF!</v>
      </c>
      <c r="IS91" t="e">
        <f>AND(Bills!AC299,"AAAAAH6rf/w=")</f>
        <v>#VALUE!</v>
      </c>
      <c r="IT91" t="e">
        <f>AND(Bills!AD299,"AAAAAH6rf/0=")</f>
        <v>#VALUE!</v>
      </c>
      <c r="IU91" t="e">
        <f>AND(Bills!#REF!,"AAAAAH6rf/4=")</f>
        <v>#REF!</v>
      </c>
      <c r="IV91">
        <f>IF(Bills!300:300,"AAAAAH6rf/8=",0)</f>
        <v>0</v>
      </c>
    </row>
    <row r="92" spans="1:256">
      <c r="A92" t="e">
        <f>AND(Bills!B300,"AAAAAD/v3wA=")</f>
        <v>#VALUE!</v>
      </c>
      <c r="B92" t="e">
        <f>AND(Bills!#REF!,"AAAAAD/v3wE=")</f>
        <v>#REF!</v>
      </c>
      <c r="C92" t="e">
        <f>AND(Bills!C300,"AAAAAD/v3wI=")</f>
        <v>#VALUE!</v>
      </c>
      <c r="D92" t="e">
        <f>AND(Bills!D300,"AAAAAD/v3wM=")</f>
        <v>#VALUE!</v>
      </c>
      <c r="E92" t="e">
        <f>AND(Bills!E300,"AAAAAD/v3wQ=")</f>
        <v>#VALUE!</v>
      </c>
      <c r="F92" t="e">
        <f>AND(Bills!#REF!,"AAAAAD/v3wU=")</f>
        <v>#REF!</v>
      </c>
      <c r="G92" t="e">
        <f>AND(Bills!#REF!,"AAAAAD/v3wY=")</f>
        <v>#REF!</v>
      </c>
      <c r="H92" t="e">
        <f>AND(Bills!#REF!,"AAAAAD/v3wc=")</f>
        <v>#REF!</v>
      </c>
      <c r="I92" t="e">
        <f>AND(Bills!F300,"AAAAAD/v3wg=")</f>
        <v>#VALUE!</v>
      </c>
      <c r="J92" t="e">
        <f>AND(Bills!#REF!,"AAAAAD/v3wk=")</f>
        <v>#REF!</v>
      </c>
      <c r="K92" t="e">
        <f>AND(Bills!G300,"AAAAAD/v3wo=")</f>
        <v>#VALUE!</v>
      </c>
      <c r="L92" t="e">
        <f>AND(Bills!H300,"AAAAAD/v3ws=")</f>
        <v>#VALUE!</v>
      </c>
      <c r="M92" t="e">
        <f>AND(Bills!I300,"AAAAAD/v3ww=")</f>
        <v>#VALUE!</v>
      </c>
      <c r="N92" t="e">
        <f>AND(Bills!J300,"AAAAAD/v3w0=")</f>
        <v>#VALUE!</v>
      </c>
      <c r="O92" t="e">
        <f>AND(Bills!K300,"AAAAAD/v3w4=")</f>
        <v>#VALUE!</v>
      </c>
      <c r="P92" t="e">
        <f>AND(Bills!L300,"AAAAAD/v3w8=")</f>
        <v>#VALUE!</v>
      </c>
      <c r="Q92" t="e">
        <f>AND(Bills!#REF!,"AAAAAD/v3xA=")</f>
        <v>#REF!</v>
      </c>
      <c r="R92" t="e">
        <f>AND(Bills!M300,"AAAAAD/v3xE=")</f>
        <v>#VALUE!</v>
      </c>
      <c r="S92" t="e">
        <f>AND(Bills!N300,"AAAAAD/v3xI=")</f>
        <v>#VALUE!</v>
      </c>
      <c r="T92" t="e">
        <f>AND(Bills!O300,"AAAAAD/v3xM=")</f>
        <v>#VALUE!</v>
      </c>
      <c r="U92" t="e">
        <f>AND(Bills!P300,"AAAAAD/v3xQ=")</f>
        <v>#VALUE!</v>
      </c>
      <c r="V92" t="e">
        <f>AND(Bills!Q300,"AAAAAD/v3xU=")</f>
        <v>#VALUE!</v>
      </c>
      <c r="W92" t="e">
        <f>AND(Bills!R300,"AAAAAD/v3xY=")</f>
        <v>#VALUE!</v>
      </c>
      <c r="X92" t="e">
        <f>AND(Bills!S300,"AAAAAD/v3xc=")</f>
        <v>#VALUE!</v>
      </c>
      <c r="Y92" t="e">
        <f>AND(Bills!T300,"AAAAAD/v3xg=")</f>
        <v>#VALUE!</v>
      </c>
      <c r="Z92" t="e">
        <f>AND(Bills!#REF!,"AAAAAD/v3xk=")</f>
        <v>#REF!</v>
      </c>
      <c r="AA92" t="e">
        <f>AND(Bills!U300,"AAAAAD/v3xo=")</f>
        <v>#VALUE!</v>
      </c>
      <c r="AB92" t="e">
        <f>AND(Bills!V300,"AAAAAD/v3xs=")</f>
        <v>#VALUE!</v>
      </c>
      <c r="AC92" t="e">
        <f>AND(Bills!W300,"AAAAAD/v3xw=")</f>
        <v>#VALUE!</v>
      </c>
      <c r="AD92" t="e">
        <f>AND(Bills!#REF!,"AAAAAD/v3x0=")</f>
        <v>#REF!</v>
      </c>
      <c r="AE92" t="e">
        <f>AND(Bills!#REF!,"AAAAAD/v3x4=")</f>
        <v>#REF!</v>
      </c>
      <c r="AF92" t="e">
        <f>AND(Bills!Y300,"AAAAAD/v3x8=")</f>
        <v>#VALUE!</v>
      </c>
      <c r="AG92" t="e">
        <f>AND(Bills!Z300,"AAAAAD/v3yA=")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AND(Bills!AA300,"AAAAAD/v3yo=")</f>
        <v>#VALUE!</v>
      </c>
      <c r="AR92" t="e">
        <f>AND(Bills!AB300,"AAAAAD/v3ys=")</f>
        <v>#VALUE!</v>
      </c>
      <c r="AS92" t="e">
        <f>AND(Bills!#REF!,"AAAAAD/v3yw=")</f>
        <v>#REF!</v>
      </c>
      <c r="AT92" t="e">
        <f>AND(Bills!#REF!,"AAAAAD/v3y0=")</f>
        <v>#REF!</v>
      </c>
      <c r="AU92" t="e">
        <f>AND(Bills!#REF!,"AAAAAD/v3y4=")</f>
        <v>#REF!</v>
      </c>
      <c r="AV92" t="e">
        <f>AND(Bills!AC300,"AAAAAD/v3y8=")</f>
        <v>#VALUE!</v>
      </c>
      <c r="AW92" t="e">
        <f>AND(Bills!AD300,"AAAAAD/v3zA=")</f>
        <v>#VALUE!</v>
      </c>
      <c r="AX92" t="e">
        <f>AND(Bills!#REF!,"AAAAAD/v3zE=")</f>
        <v>#REF!</v>
      </c>
      <c r="AY92">
        <f>IF(Bills!301:301,"AAAAAD/v3zI=",0)</f>
        <v>0</v>
      </c>
      <c r="AZ92" t="e">
        <f>AND(Bills!B301,"AAAAAD/v3zM=")</f>
        <v>#VALUE!</v>
      </c>
      <c r="BA92" t="e">
        <f>AND(Bills!#REF!,"AAAAAD/v3zQ=")</f>
        <v>#REF!</v>
      </c>
      <c r="BB92" t="e">
        <f>AND(Bills!C301,"AAAAAD/v3zU=")</f>
        <v>#VALUE!</v>
      </c>
      <c r="BC92" t="e">
        <f>AND(Bills!D301,"AAAAAD/v3zY=")</f>
        <v>#VALUE!</v>
      </c>
      <c r="BD92" t="e">
        <f>AND(Bills!E301,"AAAAAD/v3zc=")</f>
        <v>#VALUE!</v>
      </c>
      <c r="BE92" t="e">
        <f>AND(Bills!#REF!,"AAAAAD/v3zg=")</f>
        <v>#REF!</v>
      </c>
      <c r="BF92" t="e">
        <f>AND(Bills!#REF!,"AAAAAD/v3zk=")</f>
        <v>#REF!</v>
      </c>
      <c r="BG92" t="e">
        <f>AND(Bills!#REF!,"AAAAAD/v3zo=")</f>
        <v>#REF!</v>
      </c>
      <c r="BH92" t="e">
        <f>AND(Bills!F301,"AAAAAD/v3zs=")</f>
        <v>#VALUE!</v>
      </c>
      <c r="BI92" t="e">
        <f>AND(Bills!#REF!,"AAAAAD/v3zw=")</f>
        <v>#REF!</v>
      </c>
      <c r="BJ92" t="e">
        <f>AND(Bills!G301,"AAAAAD/v3z0=")</f>
        <v>#VALUE!</v>
      </c>
      <c r="BK92" t="e">
        <f>AND(Bills!H301,"AAAAAD/v3z4=")</f>
        <v>#VALUE!</v>
      </c>
      <c r="BL92" t="e">
        <f>AND(Bills!I301,"AAAAAD/v3z8=")</f>
        <v>#VALUE!</v>
      </c>
      <c r="BM92" t="e">
        <f>AND(Bills!J301,"AAAAAD/v30A=")</f>
        <v>#VALUE!</v>
      </c>
      <c r="BN92" t="e">
        <f>AND(Bills!K301,"AAAAAD/v30E=")</f>
        <v>#VALUE!</v>
      </c>
      <c r="BO92" t="e">
        <f>AND(Bills!L301,"AAAAAD/v30I=")</f>
        <v>#VALUE!</v>
      </c>
      <c r="BP92" t="e">
        <f>AND(Bills!#REF!,"AAAAAD/v30M=")</f>
        <v>#REF!</v>
      </c>
      <c r="BQ92" t="e">
        <f>AND(Bills!M301,"AAAAAD/v30Q=")</f>
        <v>#VALUE!</v>
      </c>
      <c r="BR92" t="e">
        <f>AND(Bills!N301,"AAAAAD/v30U=")</f>
        <v>#VALUE!</v>
      </c>
      <c r="BS92" t="e">
        <f>AND(Bills!O301,"AAAAAD/v30Y=")</f>
        <v>#VALUE!</v>
      </c>
      <c r="BT92" t="e">
        <f>AND(Bills!P301,"AAAAAD/v30c=")</f>
        <v>#VALUE!</v>
      </c>
      <c r="BU92" t="e">
        <f>AND(Bills!Q301,"AAAAAD/v30g=")</f>
        <v>#VALUE!</v>
      </c>
      <c r="BV92" t="e">
        <f>AND(Bills!R301,"AAAAAD/v30k=")</f>
        <v>#VALUE!</v>
      </c>
      <c r="BW92" t="e">
        <f>AND(Bills!S301,"AAAAAD/v30o=")</f>
        <v>#VALUE!</v>
      </c>
      <c r="BX92" t="e">
        <f>AND(Bills!T301,"AAAAAD/v30s=")</f>
        <v>#VALUE!</v>
      </c>
      <c r="BY92" t="e">
        <f>AND(Bills!#REF!,"AAAAAD/v30w=")</f>
        <v>#REF!</v>
      </c>
      <c r="BZ92" t="e">
        <f>AND(Bills!U301,"AAAAAD/v300=")</f>
        <v>#VALUE!</v>
      </c>
      <c r="CA92" t="e">
        <f>AND(Bills!V301,"AAAAAD/v304=")</f>
        <v>#VALUE!</v>
      </c>
      <c r="CB92" t="e">
        <f>AND(Bills!W301,"AAAAAD/v308=")</f>
        <v>#VALUE!</v>
      </c>
      <c r="CC92" t="e">
        <f>AND(Bills!#REF!,"AAAAAD/v31A=")</f>
        <v>#REF!</v>
      </c>
      <c r="CD92" t="e">
        <f>AND(Bills!#REF!,"AAAAAD/v31E=")</f>
        <v>#REF!</v>
      </c>
      <c r="CE92" t="e">
        <f>AND(Bills!Y301,"AAAAAD/v31I=")</f>
        <v>#VALUE!</v>
      </c>
      <c r="CF92" t="e">
        <f>AND(Bills!Z301,"AAAAAD/v31M=")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AND(Bills!AA301,"AAAAAD/v310=")</f>
        <v>#VALUE!</v>
      </c>
      <c r="CQ92" t="e">
        <f>AND(Bills!AB301,"AAAAAD/v314=")</f>
        <v>#VALUE!</v>
      </c>
      <c r="CR92" t="e">
        <f>AND(Bills!#REF!,"AAAAAD/v318=")</f>
        <v>#REF!</v>
      </c>
      <c r="CS92" t="e">
        <f>AND(Bills!#REF!,"AAAAAD/v32A=")</f>
        <v>#REF!</v>
      </c>
      <c r="CT92" t="e">
        <f>AND(Bills!#REF!,"AAAAAD/v32E=")</f>
        <v>#REF!</v>
      </c>
      <c r="CU92" t="e">
        <f>AND(Bills!AC301,"AAAAAD/v32I=")</f>
        <v>#VALUE!</v>
      </c>
      <c r="CV92" t="e">
        <f>AND(Bills!AD301,"AAAAAD/v32M=")</f>
        <v>#VALUE!</v>
      </c>
      <c r="CW92" t="e">
        <f>AND(Bills!#REF!,"AAAAAD/v32Q=")</f>
        <v>#REF!</v>
      </c>
      <c r="CX92">
        <f>IF(Bills!302:302,"AAAAAD/v32U=",0)</f>
        <v>0</v>
      </c>
      <c r="CY92" t="e">
        <f>AND(Bills!B302,"AAAAAD/v32Y=")</f>
        <v>#VALUE!</v>
      </c>
      <c r="CZ92" t="e">
        <f>AND(Bills!#REF!,"AAAAAD/v32c=")</f>
        <v>#REF!</v>
      </c>
      <c r="DA92" t="e">
        <f>AND(Bills!C302,"AAAAAD/v32g=")</f>
        <v>#VALUE!</v>
      </c>
      <c r="DB92" t="e">
        <f>AND(Bills!D302,"AAAAAD/v32k=")</f>
        <v>#VALUE!</v>
      </c>
      <c r="DC92" t="e">
        <f>AND(Bills!E302,"AAAAAD/v32o=")</f>
        <v>#VALUE!</v>
      </c>
      <c r="DD92" t="e">
        <f>AND(Bills!#REF!,"AAAAAD/v32s=")</f>
        <v>#REF!</v>
      </c>
      <c r="DE92" t="e">
        <f>AND(Bills!#REF!,"AAAAAD/v32w=")</f>
        <v>#REF!</v>
      </c>
      <c r="DF92" t="e">
        <f>AND(Bills!#REF!,"AAAAAD/v320=")</f>
        <v>#REF!</v>
      </c>
      <c r="DG92" t="e">
        <f>AND(Bills!F302,"AAAAAD/v324=")</f>
        <v>#VALUE!</v>
      </c>
      <c r="DH92" t="e">
        <f>AND(Bills!#REF!,"AAAAAD/v328=")</f>
        <v>#REF!</v>
      </c>
      <c r="DI92" t="e">
        <f>AND(Bills!G302,"AAAAAD/v33A=")</f>
        <v>#VALUE!</v>
      </c>
      <c r="DJ92" t="e">
        <f>AND(Bills!H302,"AAAAAD/v33E=")</f>
        <v>#VALUE!</v>
      </c>
      <c r="DK92" t="e">
        <f>AND(Bills!I302,"AAAAAD/v33I=")</f>
        <v>#VALUE!</v>
      </c>
      <c r="DL92" t="e">
        <f>AND(Bills!J302,"AAAAAD/v33M=")</f>
        <v>#VALUE!</v>
      </c>
      <c r="DM92" t="e">
        <f>AND(Bills!K302,"AAAAAD/v33Q=")</f>
        <v>#VALUE!</v>
      </c>
      <c r="DN92" t="e">
        <f>AND(Bills!L302,"AAAAAD/v33U=")</f>
        <v>#VALUE!</v>
      </c>
      <c r="DO92" t="e">
        <f>AND(Bills!#REF!,"AAAAAD/v33Y=")</f>
        <v>#REF!</v>
      </c>
      <c r="DP92" t="e">
        <f>AND(Bills!M302,"AAAAAD/v33c=")</f>
        <v>#VALUE!</v>
      </c>
      <c r="DQ92" t="e">
        <f>AND(Bills!N302,"AAAAAD/v33g=")</f>
        <v>#VALUE!</v>
      </c>
      <c r="DR92" t="e">
        <f>AND(Bills!O302,"AAAAAD/v33k=")</f>
        <v>#VALUE!</v>
      </c>
      <c r="DS92" t="e">
        <f>AND(Bills!P302,"AAAAAD/v33o=")</f>
        <v>#VALUE!</v>
      </c>
      <c r="DT92" t="e">
        <f>AND(Bills!Q302,"AAAAAD/v33s=")</f>
        <v>#VALUE!</v>
      </c>
      <c r="DU92" t="e">
        <f>AND(Bills!R302,"AAAAAD/v33w=")</f>
        <v>#VALUE!</v>
      </c>
      <c r="DV92" t="e">
        <f>AND(Bills!S302,"AAAAAD/v330=")</f>
        <v>#VALUE!</v>
      </c>
      <c r="DW92" t="e">
        <f>AND(Bills!T302,"AAAAAD/v334=")</f>
        <v>#VALUE!</v>
      </c>
      <c r="DX92" t="e">
        <f>AND(Bills!#REF!,"AAAAAD/v338=")</f>
        <v>#REF!</v>
      </c>
      <c r="DY92" t="e">
        <f>AND(Bills!U302,"AAAAAD/v34A=")</f>
        <v>#VALUE!</v>
      </c>
      <c r="DZ92" t="e">
        <f>AND(Bills!V302,"AAAAAD/v34E=")</f>
        <v>#VALUE!</v>
      </c>
      <c r="EA92" t="e">
        <f>AND(Bills!W302,"AAAAAD/v34I=")</f>
        <v>#VALUE!</v>
      </c>
      <c r="EB92" t="e">
        <f>AND(Bills!#REF!,"AAAAAD/v34M=")</f>
        <v>#REF!</v>
      </c>
      <c r="EC92" t="e">
        <f>AND(Bills!#REF!,"AAAAAD/v34Q=")</f>
        <v>#REF!</v>
      </c>
      <c r="ED92" t="e">
        <f>AND(Bills!Y302,"AAAAAD/v34U=")</f>
        <v>#VALUE!</v>
      </c>
      <c r="EE92" t="e">
        <f>AND(Bills!Z302,"AAAAAD/v34Y=")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AND(Bills!AA302,"AAAAAD/v35A=")</f>
        <v>#VALUE!</v>
      </c>
      <c r="EP92" t="e">
        <f>AND(Bills!AB302,"AAAAAD/v35E=")</f>
        <v>#VALUE!</v>
      </c>
      <c r="EQ92" t="e">
        <f>AND(Bills!#REF!,"AAAAAD/v35I=")</f>
        <v>#REF!</v>
      </c>
      <c r="ER92" t="e">
        <f>AND(Bills!#REF!,"AAAAAD/v35M=")</f>
        <v>#REF!</v>
      </c>
      <c r="ES92" t="e">
        <f>AND(Bills!#REF!,"AAAAAD/v35Q=")</f>
        <v>#REF!</v>
      </c>
      <c r="ET92" t="e">
        <f>AND(Bills!AC302,"AAAAAD/v35U=")</f>
        <v>#VALUE!</v>
      </c>
      <c r="EU92" t="e">
        <f>AND(Bills!AD302,"AAAAAD/v35Y=")</f>
        <v>#VALUE!</v>
      </c>
      <c r="EV92" t="e">
        <f>AND(Bills!#REF!,"AAAAAD/v35c=")</f>
        <v>#REF!</v>
      </c>
      <c r="EW92">
        <f>IF(Bills!303:303,"AAAAAD/v35g=",0)</f>
        <v>0</v>
      </c>
      <c r="EX92" t="e">
        <f>AND(Bills!B303,"AAAAAD/v35k=")</f>
        <v>#VALUE!</v>
      </c>
      <c r="EY92" t="e">
        <f>AND(Bills!#REF!,"AAAAAD/v35o=")</f>
        <v>#REF!</v>
      </c>
      <c r="EZ92" t="e">
        <f>AND(Bills!C303,"AAAAAD/v35s=")</f>
        <v>#VALUE!</v>
      </c>
      <c r="FA92" t="e">
        <f>AND(Bills!D303,"AAAAAD/v35w=")</f>
        <v>#VALUE!</v>
      </c>
      <c r="FB92" t="e">
        <f>AND(Bills!E303,"AAAAAD/v350=")</f>
        <v>#VALUE!</v>
      </c>
      <c r="FC92" t="e">
        <f>AND(Bills!#REF!,"AAAAAD/v354=")</f>
        <v>#REF!</v>
      </c>
      <c r="FD92" t="e">
        <f>AND(Bills!#REF!,"AAAAAD/v358=")</f>
        <v>#REF!</v>
      </c>
      <c r="FE92" t="e">
        <f>AND(Bills!#REF!,"AAAAAD/v36A=")</f>
        <v>#REF!</v>
      </c>
      <c r="FF92" t="e">
        <f>AND(Bills!F303,"AAAAAD/v36E=")</f>
        <v>#VALUE!</v>
      </c>
      <c r="FG92" t="e">
        <f>AND(Bills!#REF!,"AAAAAD/v36I=")</f>
        <v>#REF!</v>
      </c>
      <c r="FH92" t="e">
        <f>AND(Bills!G303,"AAAAAD/v36M=")</f>
        <v>#VALUE!</v>
      </c>
      <c r="FI92" t="e">
        <f>AND(Bills!H303,"AAAAAD/v36Q=")</f>
        <v>#VALUE!</v>
      </c>
      <c r="FJ92" t="e">
        <f>AND(Bills!I303,"AAAAAD/v36U=")</f>
        <v>#VALUE!</v>
      </c>
      <c r="FK92" t="e">
        <f>AND(Bills!J303,"AAAAAD/v36Y=")</f>
        <v>#VALUE!</v>
      </c>
      <c r="FL92" t="e">
        <f>AND(Bills!K303,"AAAAAD/v36c=")</f>
        <v>#VALUE!</v>
      </c>
      <c r="FM92" t="e">
        <f>AND(Bills!L303,"AAAAAD/v36g=")</f>
        <v>#VALUE!</v>
      </c>
      <c r="FN92" t="e">
        <f>AND(Bills!#REF!,"AAAAAD/v36k=")</f>
        <v>#REF!</v>
      </c>
      <c r="FO92" t="e">
        <f>AND(Bills!M303,"AAAAAD/v36o=")</f>
        <v>#VALUE!</v>
      </c>
      <c r="FP92" t="e">
        <f>AND(Bills!N303,"AAAAAD/v36s=")</f>
        <v>#VALUE!</v>
      </c>
      <c r="FQ92" t="e">
        <f>AND(Bills!O303,"AAAAAD/v36w=")</f>
        <v>#VALUE!</v>
      </c>
      <c r="FR92" t="e">
        <f>AND(Bills!P303,"AAAAAD/v360=")</f>
        <v>#VALUE!</v>
      </c>
      <c r="FS92" t="e">
        <f>AND(Bills!Q303,"AAAAAD/v364=")</f>
        <v>#VALUE!</v>
      </c>
      <c r="FT92" t="e">
        <f>AND(Bills!R303,"AAAAAD/v368=")</f>
        <v>#VALUE!</v>
      </c>
      <c r="FU92" t="e">
        <f>AND(Bills!S303,"AAAAAD/v37A=")</f>
        <v>#VALUE!</v>
      </c>
      <c r="FV92" t="e">
        <f>AND(Bills!T303,"AAAAAD/v37E=")</f>
        <v>#VALUE!</v>
      </c>
      <c r="FW92" t="e">
        <f>AND(Bills!#REF!,"AAAAAD/v37I=")</f>
        <v>#REF!</v>
      </c>
      <c r="FX92" t="e">
        <f>AND(Bills!U303,"AAAAAD/v37M=")</f>
        <v>#VALUE!</v>
      </c>
      <c r="FY92" t="e">
        <f>AND(Bills!V303,"AAAAAD/v37Q=")</f>
        <v>#VALUE!</v>
      </c>
      <c r="FZ92" t="e">
        <f>AND(Bills!W303,"AAAAAD/v37U=")</f>
        <v>#VALUE!</v>
      </c>
      <c r="GA92" t="e">
        <f>AND(Bills!#REF!,"AAAAAD/v37Y=")</f>
        <v>#REF!</v>
      </c>
      <c r="GB92" t="e">
        <f>AND(Bills!#REF!,"AAAAAD/v37c=")</f>
        <v>#REF!</v>
      </c>
      <c r="GC92" t="e">
        <f>AND(Bills!Y303,"AAAAAD/v37g=")</f>
        <v>#VALUE!</v>
      </c>
      <c r="GD92" t="e">
        <f>AND(Bills!Z303,"AAAAAD/v37k=")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AND(Bills!AA303,"AAAAAD/v38M=")</f>
        <v>#VALUE!</v>
      </c>
      <c r="GO92" t="e">
        <f>AND(Bills!AB303,"AAAAAD/v38Q=")</f>
        <v>#VALUE!</v>
      </c>
      <c r="GP92" t="e">
        <f>AND(Bills!#REF!,"AAAAAD/v38U=")</f>
        <v>#REF!</v>
      </c>
      <c r="GQ92" t="e">
        <f>AND(Bills!#REF!,"AAAAAD/v38Y=")</f>
        <v>#REF!</v>
      </c>
      <c r="GR92" t="e">
        <f>AND(Bills!#REF!,"AAAAAD/v38c=")</f>
        <v>#REF!</v>
      </c>
      <c r="GS92" t="e">
        <f>AND(Bills!AC303,"AAAAAD/v38g=")</f>
        <v>#VALUE!</v>
      </c>
      <c r="GT92" t="e">
        <f>AND(Bills!AD303,"AAAAAD/v38k=")</f>
        <v>#VALUE!</v>
      </c>
      <c r="GU92" t="e">
        <f>AND(Bills!#REF!,"AAAAAD/v38o=")</f>
        <v>#REF!</v>
      </c>
      <c r="GV92">
        <f>IF(Bills!304:304,"AAAAAD/v38s=",0)</f>
        <v>0</v>
      </c>
      <c r="GW92" t="e">
        <f>AND(Bills!B304,"AAAAAD/v38w=")</f>
        <v>#VALUE!</v>
      </c>
      <c r="GX92" t="e">
        <f>AND(Bills!#REF!,"AAAAAD/v380=")</f>
        <v>#REF!</v>
      </c>
      <c r="GY92" t="e">
        <f>AND(Bills!C304,"AAAAAD/v384=")</f>
        <v>#VALUE!</v>
      </c>
      <c r="GZ92" t="e">
        <f>AND(Bills!D304,"AAAAAD/v388=")</f>
        <v>#VALUE!</v>
      </c>
      <c r="HA92" t="e">
        <f>AND(Bills!E304,"AAAAAD/v39A=")</f>
        <v>#VALUE!</v>
      </c>
      <c r="HB92" t="e">
        <f>AND(Bills!#REF!,"AAAAAD/v39E=")</f>
        <v>#REF!</v>
      </c>
      <c r="HC92" t="e">
        <f>AND(Bills!#REF!,"AAAAAD/v39I=")</f>
        <v>#REF!</v>
      </c>
      <c r="HD92" t="e">
        <f>AND(Bills!#REF!,"AAAAAD/v39M=")</f>
        <v>#REF!</v>
      </c>
      <c r="HE92" t="e">
        <f>AND(Bills!F304,"AAAAAD/v39Q=")</f>
        <v>#VALUE!</v>
      </c>
      <c r="HF92" t="e">
        <f>AND(Bills!#REF!,"AAAAAD/v39U=")</f>
        <v>#REF!</v>
      </c>
      <c r="HG92" t="e">
        <f>AND(Bills!G304,"AAAAAD/v39Y=")</f>
        <v>#VALUE!</v>
      </c>
      <c r="HH92" t="e">
        <f>AND(Bills!H304,"AAAAAD/v39c=")</f>
        <v>#VALUE!</v>
      </c>
      <c r="HI92" t="e">
        <f>AND(Bills!I304,"AAAAAD/v39g=")</f>
        <v>#VALUE!</v>
      </c>
      <c r="HJ92" t="e">
        <f>AND(Bills!J304,"AAAAAD/v39k=")</f>
        <v>#VALUE!</v>
      </c>
      <c r="HK92" t="e">
        <f>AND(Bills!K304,"AAAAAD/v39o=")</f>
        <v>#VALUE!</v>
      </c>
      <c r="HL92" t="e">
        <f>AND(Bills!L304,"AAAAAD/v39s=")</f>
        <v>#VALUE!</v>
      </c>
      <c r="HM92" t="e">
        <f>AND(Bills!#REF!,"AAAAAD/v39w=")</f>
        <v>#REF!</v>
      </c>
      <c r="HN92" t="e">
        <f>AND(Bills!M304,"AAAAAD/v390=")</f>
        <v>#VALUE!</v>
      </c>
      <c r="HO92" t="e">
        <f>AND(Bills!N304,"AAAAAD/v394=")</f>
        <v>#VALUE!</v>
      </c>
      <c r="HP92" t="e">
        <f>AND(Bills!O304,"AAAAAD/v398=")</f>
        <v>#VALUE!</v>
      </c>
      <c r="HQ92" t="e">
        <f>AND(Bills!P304,"AAAAAD/v3+A=")</f>
        <v>#VALUE!</v>
      </c>
      <c r="HR92" t="e">
        <f>AND(Bills!Q304,"AAAAAD/v3+E=")</f>
        <v>#VALUE!</v>
      </c>
      <c r="HS92" t="e">
        <f>AND(Bills!R304,"AAAAAD/v3+I=")</f>
        <v>#VALUE!</v>
      </c>
      <c r="HT92" t="e">
        <f>AND(Bills!S304,"AAAAAD/v3+M=")</f>
        <v>#VALUE!</v>
      </c>
      <c r="HU92" t="e">
        <f>AND(Bills!T304,"AAAAAD/v3+Q=")</f>
        <v>#VALUE!</v>
      </c>
      <c r="HV92" t="e">
        <f>AND(Bills!#REF!,"AAAAAD/v3+U=")</f>
        <v>#REF!</v>
      </c>
      <c r="HW92" t="e">
        <f>AND(Bills!U304,"AAAAAD/v3+Y=")</f>
        <v>#VALUE!</v>
      </c>
      <c r="HX92" t="e">
        <f>AND(Bills!V304,"AAAAAD/v3+c=")</f>
        <v>#VALUE!</v>
      </c>
      <c r="HY92" t="e">
        <f>AND(Bills!W304,"AAAAAD/v3+g=")</f>
        <v>#VALUE!</v>
      </c>
      <c r="HZ92" t="e">
        <f>AND(Bills!#REF!,"AAAAAD/v3+k=")</f>
        <v>#REF!</v>
      </c>
      <c r="IA92" t="e">
        <f>AND(Bills!#REF!,"AAAAAD/v3+o=")</f>
        <v>#REF!</v>
      </c>
      <c r="IB92" t="e">
        <f>AND(Bills!Y304,"AAAAAD/v3+s=")</f>
        <v>#VALUE!</v>
      </c>
      <c r="IC92" t="e">
        <f>AND(Bills!Z304,"AAAAAD/v3+w=")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AND(Bills!AA304,"AAAAAD/v3/Y=")</f>
        <v>#VALUE!</v>
      </c>
      <c r="IN92" t="e">
        <f>AND(Bills!AB304,"AAAAAD/v3/c=")</f>
        <v>#VALUE!</v>
      </c>
      <c r="IO92" t="e">
        <f>AND(Bills!#REF!,"AAAAAD/v3/g=")</f>
        <v>#REF!</v>
      </c>
      <c r="IP92" t="e">
        <f>AND(Bills!#REF!,"AAAAAD/v3/k=")</f>
        <v>#REF!</v>
      </c>
      <c r="IQ92" t="e">
        <f>AND(Bills!#REF!,"AAAAAD/v3/o=")</f>
        <v>#REF!</v>
      </c>
      <c r="IR92" t="e">
        <f>AND(Bills!AC304,"AAAAAD/v3/s=")</f>
        <v>#VALUE!</v>
      </c>
      <c r="IS92" t="e">
        <f>AND(Bills!AD304,"AAAAAD/v3/w=")</f>
        <v>#VALUE!</v>
      </c>
      <c r="IT92" t="e">
        <f>AND(Bills!#REF!,"AAAAAD/v3/0=")</f>
        <v>#REF!</v>
      </c>
      <c r="IU92">
        <f>IF(Bills!305:305,"AAAAAD/v3/4=",0)</f>
        <v>0</v>
      </c>
      <c r="IV92" t="e">
        <f>AND(Bills!B305,"AAAAAD/v3/8=")</f>
        <v>#VALUE!</v>
      </c>
    </row>
    <row r="93" spans="1:256">
      <c r="A93" t="e">
        <f>AND(Bills!#REF!,"AAAAAHj1/gA=")</f>
        <v>#REF!</v>
      </c>
      <c r="B93" t="e">
        <f>AND(Bills!C305,"AAAAAHj1/gE=")</f>
        <v>#VALUE!</v>
      </c>
      <c r="C93" t="e">
        <f>AND(Bills!D305,"AAAAAHj1/gI=")</f>
        <v>#VALUE!</v>
      </c>
      <c r="D93" t="e">
        <f>AND(Bills!E305,"AAAAAHj1/gM=")</f>
        <v>#VALUE!</v>
      </c>
      <c r="E93" t="e">
        <f>AND(Bills!#REF!,"AAAAAHj1/gQ=")</f>
        <v>#REF!</v>
      </c>
      <c r="F93" t="e">
        <f>AND(Bills!#REF!,"AAAAAHj1/gU=")</f>
        <v>#REF!</v>
      </c>
      <c r="G93" t="e">
        <f>AND(Bills!#REF!,"AAAAAHj1/gY=")</f>
        <v>#REF!</v>
      </c>
      <c r="H93" t="e">
        <f>AND(Bills!F305,"AAAAAHj1/gc=")</f>
        <v>#VALUE!</v>
      </c>
      <c r="I93" t="e">
        <f>AND(Bills!#REF!,"AAAAAHj1/gg=")</f>
        <v>#REF!</v>
      </c>
      <c r="J93" t="e">
        <f>AND(Bills!G305,"AAAAAHj1/gk=")</f>
        <v>#VALUE!</v>
      </c>
      <c r="K93" t="e">
        <f>AND(Bills!H305,"AAAAAHj1/go=")</f>
        <v>#VALUE!</v>
      </c>
      <c r="L93" t="e">
        <f>AND(Bills!I305,"AAAAAHj1/gs=")</f>
        <v>#VALUE!</v>
      </c>
      <c r="M93" t="e">
        <f>AND(Bills!J305,"AAAAAHj1/gw=")</f>
        <v>#VALUE!</v>
      </c>
      <c r="N93" t="e">
        <f>AND(Bills!K305,"AAAAAHj1/g0=")</f>
        <v>#VALUE!</v>
      </c>
      <c r="O93" t="e">
        <f>AND(Bills!L305,"AAAAAHj1/g4=")</f>
        <v>#VALUE!</v>
      </c>
      <c r="P93" t="e">
        <f>AND(Bills!#REF!,"AAAAAHj1/g8=")</f>
        <v>#REF!</v>
      </c>
      <c r="Q93" t="e">
        <f>AND(Bills!M305,"AAAAAHj1/hA=")</f>
        <v>#VALUE!</v>
      </c>
      <c r="R93" t="e">
        <f>AND(Bills!N305,"AAAAAHj1/hE=")</f>
        <v>#VALUE!</v>
      </c>
      <c r="S93" t="e">
        <f>AND(Bills!O305,"AAAAAHj1/hI=")</f>
        <v>#VALUE!</v>
      </c>
      <c r="T93" t="e">
        <f>AND(Bills!P305,"AAAAAHj1/hM=")</f>
        <v>#VALUE!</v>
      </c>
      <c r="U93" t="e">
        <f>AND(Bills!Q305,"AAAAAHj1/hQ=")</f>
        <v>#VALUE!</v>
      </c>
      <c r="V93" t="e">
        <f>AND(Bills!R305,"AAAAAHj1/hU=")</f>
        <v>#VALUE!</v>
      </c>
      <c r="W93" t="e">
        <f>AND(Bills!S305,"AAAAAHj1/hY=")</f>
        <v>#VALUE!</v>
      </c>
      <c r="X93" t="e">
        <f>AND(Bills!T305,"AAAAAHj1/hc=")</f>
        <v>#VALUE!</v>
      </c>
      <c r="Y93" t="e">
        <f>AND(Bills!#REF!,"AAAAAHj1/hg=")</f>
        <v>#REF!</v>
      </c>
      <c r="Z93" t="e">
        <f>AND(Bills!U305,"AAAAAHj1/hk=")</f>
        <v>#VALUE!</v>
      </c>
      <c r="AA93" t="e">
        <f>AND(Bills!V305,"AAAAAHj1/ho=")</f>
        <v>#VALUE!</v>
      </c>
      <c r="AB93" t="e">
        <f>AND(Bills!W305,"AAAAAHj1/hs=")</f>
        <v>#VALUE!</v>
      </c>
      <c r="AC93" t="e">
        <f>AND(Bills!#REF!,"AAAAAHj1/hw=")</f>
        <v>#REF!</v>
      </c>
      <c r="AD93" t="e">
        <f>AND(Bills!#REF!,"AAAAAHj1/h0=")</f>
        <v>#REF!</v>
      </c>
      <c r="AE93" t="e">
        <f>AND(Bills!Y305,"AAAAAHj1/h4=")</f>
        <v>#VALUE!</v>
      </c>
      <c r="AF93" t="e">
        <f>AND(Bills!Z305,"AAAAAHj1/h8=")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AND(Bills!AA305,"AAAAAHj1/ik=")</f>
        <v>#VALUE!</v>
      </c>
      <c r="AQ93" t="e">
        <f>AND(Bills!AB305,"AAAAAHj1/io=")</f>
        <v>#VALUE!</v>
      </c>
      <c r="AR93" t="e">
        <f>AND(Bills!#REF!,"AAAAAHj1/is=")</f>
        <v>#REF!</v>
      </c>
      <c r="AS93" t="e">
        <f>AND(Bills!#REF!,"AAAAAHj1/iw=")</f>
        <v>#REF!</v>
      </c>
      <c r="AT93" t="e">
        <f>AND(Bills!#REF!,"AAAAAHj1/i0=")</f>
        <v>#REF!</v>
      </c>
      <c r="AU93" t="e">
        <f>AND(Bills!AC305,"AAAAAHj1/i4=")</f>
        <v>#VALUE!</v>
      </c>
      <c r="AV93" t="e">
        <f>AND(Bills!AD305,"AAAAAHj1/i8=")</f>
        <v>#VALUE!</v>
      </c>
      <c r="AW93" t="e">
        <f>AND(Bills!#REF!,"AAAAAHj1/jA=")</f>
        <v>#REF!</v>
      </c>
      <c r="AX93">
        <f>IF(Bills!306:306,"AAAAAHj1/jE=",0)</f>
        <v>0</v>
      </c>
      <c r="AY93" t="e">
        <f>AND(Bills!B306,"AAAAAHj1/jI=")</f>
        <v>#VALUE!</v>
      </c>
      <c r="AZ93" t="e">
        <f>AND(Bills!#REF!,"AAAAAHj1/jM=")</f>
        <v>#REF!</v>
      </c>
      <c r="BA93" t="e">
        <f>AND(Bills!C306,"AAAAAHj1/jQ=")</f>
        <v>#VALUE!</v>
      </c>
      <c r="BB93" t="e">
        <f>AND(Bills!D306,"AAAAAHj1/jU=")</f>
        <v>#VALUE!</v>
      </c>
      <c r="BC93" t="e">
        <f>AND(Bills!E306,"AAAAAHj1/jY=")</f>
        <v>#VALUE!</v>
      </c>
      <c r="BD93" t="e">
        <f>AND(Bills!#REF!,"AAAAAHj1/jc=")</f>
        <v>#REF!</v>
      </c>
      <c r="BE93" t="e">
        <f>AND(Bills!#REF!,"AAAAAHj1/jg=")</f>
        <v>#REF!</v>
      </c>
      <c r="BF93" t="e">
        <f>AND(Bills!#REF!,"AAAAAHj1/jk=")</f>
        <v>#REF!</v>
      </c>
      <c r="BG93" t="e">
        <f>AND(Bills!F306,"AAAAAHj1/jo=")</f>
        <v>#VALUE!</v>
      </c>
      <c r="BH93" t="e">
        <f>AND(Bills!#REF!,"AAAAAHj1/js=")</f>
        <v>#REF!</v>
      </c>
      <c r="BI93" t="e">
        <f>AND(Bills!G306,"AAAAAHj1/jw=")</f>
        <v>#VALUE!</v>
      </c>
      <c r="BJ93" t="e">
        <f>AND(Bills!H306,"AAAAAHj1/j0=")</f>
        <v>#VALUE!</v>
      </c>
      <c r="BK93" t="e">
        <f>AND(Bills!I306,"AAAAAHj1/j4=")</f>
        <v>#VALUE!</v>
      </c>
      <c r="BL93" t="e">
        <f>AND(Bills!J306,"AAAAAHj1/j8=")</f>
        <v>#VALUE!</v>
      </c>
      <c r="BM93" t="e">
        <f>AND(Bills!K306,"AAAAAHj1/kA=")</f>
        <v>#VALUE!</v>
      </c>
      <c r="BN93" t="e">
        <f>AND(Bills!L306,"AAAAAHj1/kE=")</f>
        <v>#VALUE!</v>
      </c>
      <c r="BO93" t="e">
        <f>AND(Bills!#REF!,"AAAAAHj1/kI=")</f>
        <v>#REF!</v>
      </c>
      <c r="BP93" t="e">
        <f>AND(Bills!M306,"AAAAAHj1/kM=")</f>
        <v>#VALUE!</v>
      </c>
      <c r="BQ93" t="e">
        <f>AND(Bills!N306,"AAAAAHj1/kQ=")</f>
        <v>#VALUE!</v>
      </c>
      <c r="BR93" t="e">
        <f>AND(Bills!O306,"AAAAAHj1/kU=")</f>
        <v>#VALUE!</v>
      </c>
      <c r="BS93" t="e">
        <f>AND(Bills!P306,"AAAAAHj1/kY=")</f>
        <v>#VALUE!</v>
      </c>
      <c r="BT93" t="e">
        <f>AND(Bills!Q306,"AAAAAHj1/kc=")</f>
        <v>#VALUE!</v>
      </c>
      <c r="BU93" t="e">
        <f>AND(Bills!R306,"AAAAAHj1/kg=")</f>
        <v>#VALUE!</v>
      </c>
      <c r="BV93" t="e">
        <f>AND(Bills!S306,"AAAAAHj1/kk=")</f>
        <v>#VALUE!</v>
      </c>
      <c r="BW93" t="e">
        <f>AND(Bills!T306,"AAAAAHj1/ko=")</f>
        <v>#VALUE!</v>
      </c>
      <c r="BX93" t="e">
        <f>AND(Bills!#REF!,"AAAAAHj1/ks=")</f>
        <v>#REF!</v>
      </c>
      <c r="BY93" t="e">
        <f>AND(Bills!U306,"AAAAAHj1/kw=")</f>
        <v>#VALUE!</v>
      </c>
      <c r="BZ93" t="e">
        <f>AND(Bills!V306,"AAAAAHj1/k0=")</f>
        <v>#VALUE!</v>
      </c>
      <c r="CA93" t="e">
        <f>AND(Bills!W306,"AAAAAHj1/k4=")</f>
        <v>#VALUE!</v>
      </c>
      <c r="CB93" t="e">
        <f>AND(Bills!#REF!,"AAAAAHj1/k8=")</f>
        <v>#REF!</v>
      </c>
      <c r="CC93" t="e">
        <f>AND(Bills!#REF!,"AAAAAHj1/lA=")</f>
        <v>#REF!</v>
      </c>
      <c r="CD93" t="e">
        <f>AND(Bills!Y306,"AAAAAHj1/lE=")</f>
        <v>#VALUE!</v>
      </c>
      <c r="CE93" t="e">
        <f>AND(Bills!Z306,"AAAAAHj1/lI=")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AND(Bills!AA306,"AAAAAHj1/lw=")</f>
        <v>#VALUE!</v>
      </c>
      <c r="CP93" t="e">
        <f>AND(Bills!AB306,"AAAAAHj1/l0=")</f>
        <v>#VALUE!</v>
      </c>
      <c r="CQ93" t="e">
        <f>AND(Bills!#REF!,"AAAAAHj1/l4=")</f>
        <v>#REF!</v>
      </c>
      <c r="CR93" t="e">
        <f>AND(Bills!#REF!,"AAAAAHj1/l8=")</f>
        <v>#REF!</v>
      </c>
      <c r="CS93" t="e">
        <f>AND(Bills!#REF!,"AAAAAHj1/mA=")</f>
        <v>#REF!</v>
      </c>
      <c r="CT93" t="e">
        <f>AND(Bills!AC306,"AAAAAHj1/mE=")</f>
        <v>#VALUE!</v>
      </c>
      <c r="CU93" t="e">
        <f>AND(Bills!AD306,"AAAAAHj1/mI=")</f>
        <v>#VALUE!</v>
      </c>
      <c r="CV93" t="e">
        <f>AND(Bills!#REF!,"AAAAAHj1/mM=")</f>
        <v>#REF!</v>
      </c>
      <c r="CW93">
        <f>IF(Bills!307:307,"AAAAAHj1/mQ=",0)</f>
        <v>0</v>
      </c>
      <c r="CX93" t="e">
        <f>AND(Bills!B307,"AAAAAHj1/mU=")</f>
        <v>#VALUE!</v>
      </c>
      <c r="CY93" t="e">
        <f>AND(Bills!#REF!,"AAAAAHj1/mY=")</f>
        <v>#REF!</v>
      </c>
      <c r="CZ93" t="e">
        <f>AND(Bills!C307,"AAAAAHj1/mc=")</f>
        <v>#VALUE!</v>
      </c>
      <c r="DA93" t="e">
        <f>AND(Bills!D307,"AAAAAHj1/mg=")</f>
        <v>#VALUE!</v>
      </c>
      <c r="DB93" t="e">
        <f>AND(Bills!E307,"AAAAAHj1/mk=")</f>
        <v>#VALUE!</v>
      </c>
      <c r="DC93" t="e">
        <f>AND(Bills!#REF!,"AAAAAHj1/mo=")</f>
        <v>#REF!</v>
      </c>
      <c r="DD93" t="e">
        <f>AND(Bills!#REF!,"AAAAAHj1/ms=")</f>
        <v>#REF!</v>
      </c>
      <c r="DE93" t="e">
        <f>AND(Bills!#REF!,"AAAAAHj1/mw=")</f>
        <v>#REF!</v>
      </c>
      <c r="DF93" t="e">
        <f>AND(Bills!F307,"AAAAAHj1/m0=")</f>
        <v>#VALUE!</v>
      </c>
      <c r="DG93" t="e">
        <f>AND(Bills!#REF!,"AAAAAHj1/m4=")</f>
        <v>#REF!</v>
      </c>
      <c r="DH93" t="e">
        <f>AND(Bills!G307,"AAAAAHj1/m8=")</f>
        <v>#VALUE!</v>
      </c>
      <c r="DI93" t="e">
        <f>AND(Bills!H307,"AAAAAHj1/nA=")</f>
        <v>#VALUE!</v>
      </c>
      <c r="DJ93" t="e">
        <f>AND(Bills!I307,"AAAAAHj1/nE=")</f>
        <v>#VALUE!</v>
      </c>
      <c r="DK93" t="e">
        <f>AND(Bills!J307,"AAAAAHj1/nI=")</f>
        <v>#VALUE!</v>
      </c>
      <c r="DL93" t="e">
        <f>AND(Bills!K307,"AAAAAHj1/nM=")</f>
        <v>#VALUE!</v>
      </c>
      <c r="DM93" t="e">
        <f>AND(Bills!L307,"AAAAAHj1/nQ=")</f>
        <v>#VALUE!</v>
      </c>
      <c r="DN93" t="e">
        <f>AND(Bills!#REF!,"AAAAAHj1/nU=")</f>
        <v>#REF!</v>
      </c>
      <c r="DO93" t="e">
        <f>AND(Bills!M307,"AAAAAHj1/nY=")</f>
        <v>#VALUE!</v>
      </c>
      <c r="DP93" t="e">
        <f>AND(Bills!N307,"AAAAAHj1/nc=")</f>
        <v>#VALUE!</v>
      </c>
      <c r="DQ93" t="e">
        <f>AND(Bills!O307,"AAAAAHj1/ng=")</f>
        <v>#VALUE!</v>
      </c>
      <c r="DR93" t="e">
        <f>AND(Bills!P307,"AAAAAHj1/nk=")</f>
        <v>#VALUE!</v>
      </c>
      <c r="DS93" t="e">
        <f>AND(Bills!Q307,"AAAAAHj1/no=")</f>
        <v>#VALUE!</v>
      </c>
      <c r="DT93" t="e">
        <f>AND(Bills!R307,"AAAAAHj1/ns=")</f>
        <v>#VALUE!</v>
      </c>
      <c r="DU93" t="e">
        <f>AND(Bills!S307,"AAAAAHj1/nw=")</f>
        <v>#VALUE!</v>
      </c>
      <c r="DV93" t="e">
        <f>AND(Bills!T307,"AAAAAHj1/n0=")</f>
        <v>#VALUE!</v>
      </c>
      <c r="DW93" t="e">
        <f>AND(Bills!#REF!,"AAAAAHj1/n4=")</f>
        <v>#REF!</v>
      </c>
      <c r="DX93" t="e">
        <f>AND(Bills!U307,"AAAAAHj1/n8=")</f>
        <v>#VALUE!</v>
      </c>
      <c r="DY93" t="e">
        <f>AND(Bills!V307,"AAAAAHj1/oA=")</f>
        <v>#VALUE!</v>
      </c>
      <c r="DZ93" t="e">
        <f>AND(Bills!W307,"AAAAAHj1/oE=")</f>
        <v>#VALUE!</v>
      </c>
      <c r="EA93" t="e">
        <f>AND(Bills!#REF!,"AAAAAHj1/oI=")</f>
        <v>#REF!</v>
      </c>
      <c r="EB93" t="e">
        <f>AND(Bills!#REF!,"AAAAAHj1/oM=")</f>
        <v>#REF!</v>
      </c>
      <c r="EC93" t="e">
        <f>AND(Bills!Y307,"AAAAAHj1/oQ=")</f>
        <v>#VALUE!</v>
      </c>
      <c r="ED93" t="e">
        <f>AND(Bills!Z307,"AAAAAHj1/oU=")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AND(Bills!AA307,"AAAAAHj1/o8=")</f>
        <v>#VALUE!</v>
      </c>
      <c r="EO93" t="e">
        <f>AND(Bills!AB307,"AAAAAHj1/pA=")</f>
        <v>#VALUE!</v>
      </c>
      <c r="EP93" t="e">
        <f>AND(Bills!#REF!,"AAAAAHj1/pE=")</f>
        <v>#REF!</v>
      </c>
      <c r="EQ93" t="e">
        <f>AND(Bills!#REF!,"AAAAAHj1/pI=")</f>
        <v>#REF!</v>
      </c>
      <c r="ER93" t="e">
        <f>AND(Bills!#REF!,"AAAAAHj1/pM=")</f>
        <v>#REF!</v>
      </c>
      <c r="ES93" t="e">
        <f>AND(Bills!AC307,"AAAAAHj1/pQ=")</f>
        <v>#VALUE!</v>
      </c>
      <c r="ET93" t="e">
        <f>AND(Bills!AD307,"AAAAAHj1/pU=")</f>
        <v>#VALUE!</v>
      </c>
      <c r="EU93" t="e">
        <f>AND(Bills!#REF!,"AAAAAHj1/pY=")</f>
        <v>#REF!</v>
      </c>
      <c r="EV93">
        <f>IF(Bills!308:308,"AAAAAHj1/pc=",0)</f>
        <v>0</v>
      </c>
      <c r="EW93" t="e">
        <f>AND(Bills!B308,"AAAAAHj1/pg=")</f>
        <v>#VALUE!</v>
      </c>
      <c r="EX93" t="e">
        <f>AND(Bills!#REF!,"AAAAAHj1/pk=")</f>
        <v>#REF!</v>
      </c>
      <c r="EY93" t="e">
        <f>AND(Bills!C308,"AAAAAHj1/po=")</f>
        <v>#VALUE!</v>
      </c>
      <c r="EZ93" t="e">
        <f>AND(Bills!D308,"AAAAAHj1/ps=")</f>
        <v>#VALUE!</v>
      </c>
      <c r="FA93" t="e">
        <f>AND(Bills!E308,"AAAAAHj1/pw=")</f>
        <v>#VALUE!</v>
      </c>
      <c r="FB93" t="e">
        <f>AND(Bills!#REF!,"AAAAAHj1/p0=")</f>
        <v>#REF!</v>
      </c>
      <c r="FC93" t="e">
        <f>AND(Bills!#REF!,"AAAAAHj1/p4=")</f>
        <v>#REF!</v>
      </c>
      <c r="FD93" t="e">
        <f>AND(Bills!#REF!,"AAAAAHj1/p8=")</f>
        <v>#REF!</v>
      </c>
      <c r="FE93" t="e">
        <f>AND(Bills!F308,"AAAAAHj1/qA=")</f>
        <v>#VALUE!</v>
      </c>
      <c r="FF93" t="e">
        <f>AND(Bills!#REF!,"AAAAAHj1/qE=")</f>
        <v>#REF!</v>
      </c>
      <c r="FG93" t="e">
        <f>AND(Bills!G308,"AAAAAHj1/qI=")</f>
        <v>#VALUE!</v>
      </c>
      <c r="FH93" t="e">
        <f>AND(Bills!H308,"AAAAAHj1/qM=")</f>
        <v>#VALUE!</v>
      </c>
      <c r="FI93" t="e">
        <f>AND(Bills!I308,"AAAAAHj1/qQ=")</f>
        <v>#VALUE!</v>
      </c>
      <c r="FJ93" t="e">
        <f>AND(Bills!J308,"AAAAAHj1/qU=")</f>
        <v>#VALUE!</v>
      </c>
      <c r="FK93" t="e">
        <f>AND(Bills!K308,"AAAAAHj1/qY=")</f>
        <v>#VALUE!</v>
      </c>
      <c r="FL93" t="e">
        <f>AND(Bills!L308,"AAAAAHj1/qc=")</f>
        <v>#VALUE!</v>
      </c>
      <c r="FM93" t="e">
        <f>AND(Bills!#REF!,"AAAAAHj1/qg=")</f>
        <v>#REF!</v>
      </c>
      <c r="FN93" t="e">
        <f>AND(Bills!M308,"AAAAAHj1/qk=")</f>
        <v>#VALUE!</v>
      </c>
      <c r="FO93" t="e">
        <f>AND(Bills!N308,"AAAAAHj1/qo=")</f>
        <v>#VALUE!</v>
      </c>
      <c r="FP93" t="e">
        <f>AND(Bills!O308,"AAAAAHj1/qs=")</f>
        <v>#VALUE!</v>
      </c>
      <c r="FQ93" t="e">
        <f>AND(Bills!P308,"AAAAAHj1/qw=")</f>
        <v>#VALUE!</v>
      </c>
      <c r="FR93" t="e">
        <f>AND(Bills!Q308,"AAAAAHj1/q0=")</f>
        <v>#VALUE!</v>
      </c>
      <c r="FS93" t="e">
        <f>AND(Bills!R308,"AAAAAHj1/q4=")</f>
        <v>#VALUE!</v>
      </c>
      <c r="FT93" t="e">
        <f>AND(Bills!S308,"AAAAAHj1/q8=")</f>
        <v>#VALUE!</v>
      </c>
      <c r="FU93" t="e">
        <f>AND(Bills!T308,"AAAAAHj1/rA=")</f>
        <v>#VALUE!</v>
      </c>
      <c r="FV93" t="e">
        <f>AND(Bills!#REF!,"AAAAAHj1/rE=")</f>
        <v>#REF!</v>
      </c>
      <c r="FW93" t="e">
        <f>AND(Bills!U308,"AAAAAHj1/rI=")</f>
        <v>#VALUE!</v>
      </c>
      <c r="FX93" t="e">
        <f>AND(Bills!V308,"AAAAAHj1/rM=")</f>
        <v>#VALUE!</v>
      </c>
      <c r="FY93" t="e">
        <f>AND(Bills!W308,"AAAAAHj1/rQ=")</f>
        <v>#VALUE!</v>
      </c>
      <c r="FZ93" t="e">
        <f>AND(Bills!#REF!,"AAAAAHj1/rU=")</f>
        <v>#REF!</v>
      </c>
      <c r="GA93" t="e">
        <f>AND(Bills!#REF!,"AAAAAHj1/rY=")</f>
        <v>#REF!</v>
      </c>
      <c r="GB93" t="e">
        <f>AND(Bills!Y308,"AAAAAHj1/rc=")</f>
        <v>#VALUE!</v>
      </c>
      <c r="GC93" t="e">
        <f>AND(Bills!Z308,"AAAAAHj1/rg=")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AND(Bills!AA308,"AAAAAHj1/sI=")</f>
        <v>#VALUE!</v>
      </c>
      <c r="GN93" t="e">
        <f>AND(Bills!AB308,"AAAAAHj1/sM=")</f>
        <v>#VALUE!</v>
      </c>
      <c r="GO93" t="e">
        <f>AND(Bills!#REF!,"AAAAAHj1/sQ=")</f>
        <v>#REF!</v>
      </c>
      <c r="GP93" t="e">
        <f>AND(Bills!#REF!,"AAAAAHj1/sU=")</f>
        <v>#REF!</v>
      </c>
      <c r="GQ93" t="e">
        <f>AND(Bills!#REF!,"AAAAAHj1/sY=")</f>
        <v>#REF!</v>
      </c>
      <c r="GR93" t="e">
        <f>AND(Bills!AC308,"AAAAAHj1/sc=")</f>
        <v>#VALUE!</v>
      </c>
      <c r="GS93" t="e">
        <f>AND(Bills!AD308,"AAAAAHj1/sg=")</f>
        <v>#VALUE!</v>
      </c>
      <c r="GT93" t="e">
        <f>AND(Bills!#REF!,"AAAAAHj1/sk=")</f>
        <v>#REF!</v>
      </c>
      <c r="GU93">
        <f>IF(Bills!309:309,"AAAAAHj1/so=",0)</f>
        <v>0</v>
      </c>
      <c r="GV93" t="e">
        <f>AND(Bills!B309,"AAAAAHj1/ss=")</f>
        <v>#VALUE!</v>
      </c>
      <c r="GW93" t="e">
        <f>AND(Bills!#REF!,"AAAAAHj1/sw=")</f>
        <v>#REF!</v>
      </c>
      <c r="GX93" t="e">
        <f>AND(Bills!C309,"AAAAAHj1/s0=")</f>
        <v>#VALUE!</v>
      </c>
      <c r="GY93" t="e">
        <f>AND(Bills!D309,"AAAAAHj1/s4=")</f>
        <v>#VALUE!</v>
      </c>
      <c r="GZ93" t="e">
        <f>AND(Bills!E309,"AAAAAHj1/s8=")</f>
        <v>#VALUE!</v>
      </c>
      <c r="HA93" t="e">
        <f>AND(Bills!#REF!,"AAAAAHj1/tA=")</f>
        <v>#REF!</v>
      </c>
      <c r="HB93" t="e">
        <f>AND(Bills!#REF!,"AAAAAHj1/tE=")</f>
        <v>#REF!</v>
      </c>
      <c r="HC93" t="e">
        <f>AND(Bills!#REF!,"AAAAAHj1/tI=")</f>
        <v>#REF!</v>
      </c>
      <c r="HD93" t="e">
        <f>AND(Bills!F309,"AAAAAHj1/tM=")</f>
        <v>#VALUE!</v>
      </c>
      <c r="HE93" t="e">
        <f>AND(Bills!#REF!,"AAAAAHj1/tQ=")</f>
        <v>#REF!</v>
      </c>
      <c r="HF93" t="e">
        <f>AND(Bills!G309,"AAAAAHj1/tU=")</f>
        <v>#VALUE!</v>
      </c>
      <c r="HG93" t="e">
        <f>AND(Bills!H309,"AAAAAHj1/tY=")</f>
        <v>#VALUE!</v>
      </c>
      <c r="HH93" t="e">
        <f>AND(Bills!I309,"AAAAAHj1/tc=")</f>
        <v>#VALUE!</v>
      </c>
      <c r="HI93" t="e">
        <f>AND(Bills!J309,"AAAAAHj1/tg=")</f>
        <v>#VALUE!</v>
      </c>
      <c r="HJ93" t="e">
        <f>AND(Bills!K309,"AAAAAHj1/tk=")</f>
        <v>#VALUE!</v>
      </c>
      <c r="HK93" t="e">
        <f>AND(Bills!L309,"AAAAAHj1/to=")</f>
        <v>#VALUE!</v>
      </c>
      <c r="HL93" t="e">
        <f>AND(Bills!#REF!,"AAAAAHj1/ts=")</f>
        <v>#REF!</v>
      </c>
      <c r="HM93" t="e">
        <f>AND(Bills!M309,"AAAAAHj1/tw=")</f>
        <v>#VALUE!</v>
      </c>
      <c r="HN93" t="e">
        <f>AND(Bills!N309,"AAAAAHj1/t0=")</f>
        <v>#VALUE!</v>
      </c>
      <c r="HO93" t="e">
        <f>AND(Bills!O309,"AAAAAHj1/t4=")</f>
        <v>#VALUE!</v>
      </c>
      <c r="HP93" t="e">
        <f>AND(Bills!P309,"AAAAAHj1/t8=")</f>
        <v>#VALUE!</v>
      </c>
      <c r="HQ93" t="e">
        <f>AND(Bills!Q309,"AAAAAHj1/uA=")</f>
        <v>#VALUE!</v>
      </c>
      <c r="HR93" t="e">
        <f>AND(Bills!R309,"AAAAAHj1/uE=")</f>
        <v>#VALUE!</v>
      </c>
      <c r="HS93" t="e">
        <f>AND(Bills!S309,"AAAAAHj1/uI=")</f>
        <v>#VALUE!</v>
      </c>
      <c r="HT93" t="e">
        <f>AND(Bills!T309,"AAAAAHj1/uM=")</f>
        <v>#VALUE!</v>
      </c>
      <c r="HU93" t="e">
        <f>AND(Bills!#REF!,"AAAAAHj1/uQ=")</f>
        <v>#REF!</v>
      </c>
      <c r="HV93" t="e">
        <f>AND(Bills!U309,"AAAAAHj1/uU=")</f>
        <v>#VALUE!</v>
      </c>
      <c r="HW93" t="e">
        <f>AND(Bills!V309,"AAAAAHj1/uY=")</f>
        <v>#VALUE!</v>
      </c>
      <c r="HX93" t="e">
        <f>AND(Bills!W309,"AAAAAHj1/uc=")</f>
        <v>#VALUE!</v>
      </c>
      <c r="HY93" t="e">
        <f>AND(Bills!#REF!,"AAAAAHj1/ug=")</f>
        <v>#REF!</v>
      </c>
      <c r="HZ93" t="e">
        <f>AND(Bills!#REF!,"AAAAAHj1/uk=")</f>
        <v>#REF!</v>
      </c>
      <c r="IA93" t="e">
        <f>AND(Bills!Y309,"AAAAAHj1/uo=")</f>
        <v>#VALUE!</v>
      </c>
      <c r="IB93" t="e">
        <f>AND(Bills!Z309,"AAAAAHj1/us=")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AND(Bills!AA309,"AAAAAHj1/vU=")</f>
        <v>#VALUE!</v>
      </c>
      <c r="IM93" t="e">
        <f>AND(Bills!AB309,"AAAAAHj1/vY=")</f>
        <v>#VALUE!</v>
      </c>
      <c r="IN93" t="e">
        <f>AND(Bills!#REF!,"AAAAAHj1/vc=")</f>
        <v>#REF!</v>
      </c>
      <c r="IO93" t="e">
        <f>AND(Bills!#REF!,"AAAAAHj1/vg=")</f>
        <v>#REF!</v>
      </c>
      <c r="IP93" t="e">
        <f>AND(Bills!#REF!,"AAAAAHj1/vk=")</f>
        <v>#REF!</v>
      </c>
      <c r="IQ93" t="e">
        <f>AND(Bills!AC309,"AAAAAHj1/vo=")</f>
        <v>#VALUE!</v>
      </c>
      <c r="IR93" t="e">
        <f>AND(Bills!AD309,"AAAAAHj1/vs=")</f>
        <v>#VALUE!</v>
      </c>
      <c r="IS93" t="e">
        <f>AND(Bills!#REF!,"AAAAAHj1/vw=")</f>
        <v>#REF!</v>
      </c>
      <c r="IT93">
        <f>IF(Bills!310:310,"AAAAAHj1/v0=",0)</f>
        <v>0</v>
      </c>
      <c r="IU93" t="e">
        <f>AND(Bills!B310,"AAAAAHj1/v4=")</f>
        <v>#VALUE!</v>
      </c>
      <c r="IV93" t="e">
        <f>AND(Bills!#REF!,"AAAAAHj1/v8=")</f>
        <v>#REF!</v>
      </c>
    </row>
    <row r="94" spans="1:256">
      <c r="A94" t="e">
        <f>AND(Bills!C310,"AAAAAB/a3wA=")</f>
        <v>#VALUE!</v>
      </c>
      <c r="B94" t="e">
        <f>AND(Bills!D310,"AAAAAB/a3wE=")</f>
        <v>#VALUE!</v>
      </c>
      <c r="C94" t="e">
        <f>AND(Bills!E310,"AAAAAB/a3wI=")</f>
        <v>#VALUE!</v>
      </c>
      <c r="D94" t="e">
        <f>AND(Bills!#REF!,"AAAAAB/a3wM=")</f>
        <v>#REF!</v>
      </c>
      <c r="E94" t="e">
        <f>AND(Bills!#REF!,"AAAAAB/a3wQ=")</f>
        <v>#REF!</v>
      </c>
      <c r="F94" t="e">
        <f>AND(Bills!#REF!,"AAAAAB/a3wU=")</f>
        <v>#REF!</v>
      </c>
      <c r="G94" t="e">
        <f>AND(Bills!F310,"AAAAAB/a3wY=")</f>
        <v>#VALUE!</v>
      </c>
      <c r="H94" t="e">
        <f>AND(Bills!#REF!,"AAAAAB/a3wc=")</f>
        <v>#REF!</v>
      </c>
      <c r="I94" t="e">
        <f>AND(Bills!G310,"AAAAAB/a3wg=")</f>
        <v>#VALUE!</v>
      </c>
      <c r="J94" t="e">
        <f>AND(Bills!H310,"AAAAAB/a3wk=")</f>
        <v>#VALUE!</v>
      </c>
      <c r="K94" t="e">
        <f>AND(Bills!I310,"AAAAAB/a3wo=")</f>
        <v>#VALUE!</v>
      </c>
      <c r="L94" t="e">
        <f>AND(Bills!J310,"AAAAAB/a3ws=")</f>
        <v>#VALUE!</v>
      </c>
      <c r="M94" t="e">
        <f>AND(Bills!K310,"AAAAAB/a3ww=")</f>
        <v>#VALUE!</v>
      </c>
      <c r="N94" t="e">
        <f>AND(Bills!L310,"AAAAAB/a3w0=")</f>
        <v>#VALUE!</v>
      </c>
      <c r="O94" t="e">
        <f>AND(Bills!#REF!,"AAAAAB/a3w4=")</f>
        <v>#REF!</v>
      </c>
      <c r="P94" t="e">
        <f>AND(Bills!M310,"AAAAAB/a3w8=")</f>
        <v>#VALUE!</v>
      </c>
      <c r="Q94" t="e">
        <f>AND(Bills!N310,"AAAAAB/a3xA=")</f>
        <v>#VALUE!</v>
      </c>
      <c r="R94" t="e">
        <f>AND(Bills!O310,"AAAAAB/a3xE=")</f>
        <v>#VALUE!</v>
      </c>
      <c r="S94" t="e">
        <f>AND(Bills!P310,"AAAAAB/a3xI=")</f>
        <v>#VALUE!</v>
      </c>
      <c r="T94" t="e">
        <f>AND(Bills!Q310,"AAAAAB/a3xM=")</f>
        <v>#VALUE!</v>
      </c>
      <c r="U94" t="e">
        <f>AND(Bills!R310,"AAAAAB/a3xQ=")</f>
        <v>#VALUE!</v>
      </c>
      <c r="V94" t="e">
        <f>AND(Bills!S310,"AAAAAB/a3xU=")</f>
        <v>#VALUE!</v>
      </c>
      <c r="W94" t="e">
        <f>AND(Bills!T310,"AAAAAB/a3xY=")</f>
        <v>#VALUE!</v>
      </c>
      <c r="X94" t="e">
        <f>AND(Bills!#REF!,"AAAAAB/a3xc=")</f>
        <v>#REF!</v>
      </c>
      <c r="Y94" t="e">
        <f>AND(Bills!U310,"AAAAAB/a3xg=")</f>
        <v>#VALUE!</v>
      </c>
      <c r="Z94" t="e">
        <f>AND(Bills!V310,"AAAAAB/a3xk=")</f>
        <v>#VALUE!</v>
      </c>
      <c r="AA94" t="e">
        <f>AND(Bills!W310,"AAAAAB/a3xo=")</f>
        <v>#VALUE!</v>
      </c>
      <c r="AB94" t="e">
        <f>AND(Bills!#REF!,"AAAAAB/a3xs=")</f>
        <v>#REF!</v>
      </c>
      <c r="AC94" t="e">
        <f>AND(Bills!#REF!,"AAAAAB/a3xw=")</f>
        <v>#REF!</v>
      </c>
      <c r="AD94" t="e">
        <f>AND(Bills!Y310,"AAAAAB/a3x0=")</f>
        <v>#VALUE!</v>
      </c>
      <c r="AE94" t="e">
        <f>AND(Bills!Z310,"AAAAAB/a3x4=")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AND(Bills!AA310,"AAAAAB/a3yg=")</f>
        <v>#VALUE!</v>
      </c>
      <c r="AP94" t="e">
        <f>AND(Bills!AB310,"AAAAAB/a3yk=")</f>
        <v>#VALUE!</v>
      </c>
      <c r="AQ94" t="e">
        <f>AND(Bills!#REF!,"AAAAAB/a3yo=")</f>
        <v>#REF!</v>
      </c>
      <c r="AR94" t="e">
        <f>AND(Bills!#REF!,"AAAAAB/a3ys=")</f>
        <v>#REF!</v>
      </c>
      <c r="AS94" t="e">
        <f>AND(Bills!#REF!,"AAAAAB/a3yw=")</f>
        <v>#REF!</v>
      </c>
      <c r="AT94" t="e">
        <f>AND(Bills!AC310,"AAAAAB/a3y0=")</f>
        <v>#VALUE!</v>
      </c>
      <c r="AU94" t="e">
        <f>AND(Bills!AD310,"AAAAAB/a3y4=")</f>
        <v>#VALUE!</v>
      </c>
      <c r="AV94" t="e">
        <f>AND(Bills!#REF!,"AAAAAB/a3y8=")</f>
        <v>#REF!</v>
      </c>
      <c r="AW94">
        <f>IF(Bills!311:311,"AAAAAB/a3zA=",0)</f>
        <v>0</v>
      </c>
      <c r="AX94" t="e">
        <f>AND(Bills!B311,"AAAAAB/a3zE=")</f>
        <v>#VALUE!</v>
      </c>
      <c r="AY94" t="e">
        <f>AND(Bills!#REF!,"AAAAAB/a3zI=")</f>
        <v>#REF!</v>
      </c>
      <c r="AZ94" t="e">
        <f>AND(Bills!C311,"AAAAAB/a3zM=")</f>
        <v>#VALUE!</v>
      </c>
      <c r="BA94" t="e">
        <f>AND(Bills!D311,"AAAAAB/a3zQ=")</f>
        <v>#VALUE!</v>
      </c>
      <c r="BB94" t="e">
        <f>AND(Bills!E311,"AAAAAB/a3zU=")</f>
        <v>#VALUE!</v>
      </c>
      <c r="BC94" t="e">
        <f>AND(Bills!#REF!,"AAAAAB/a3zY=")</f>
        <v>#REF!</v>
      </c>
      <c r="BD94" t="e">
        <f>AND(Bills!#REF!,"AAAAAB/a3zc=")</f>
        <v>#REF!</v>
      </c>
      <c r="BE94" t="e">
        <f>AND(Bills!#REF!,"AAAAAB/a3zg=")</f>
        <v>#REF!</v>
      </c>
      <c r="BF94" t="e">
        <f>AND(Bills!F311,"AAAAAB/a3zk=")</f>
        <v>#VALUE!</v>
      </c>
      <c r="BG94" t="e">
        <f>AND(Bills!#REF!,"AAAAAB/a3zo=")</f>
        <v>#REF!</v>
      </c>
      <c r="BH94" t="e">
        <f>AND(Bills!G311,"AAAAAB/a3zs=")</f>
        <v>#VALUE!</v>
      </c>
      <c r="BI94" t="e">
        <f>AND(Bills!H311,"AAAAAB/a3zw=")</f>
        <v>#VALUE!</v>
      </c>
      <c r="BJ94" t="e">
        <f>AND(Bills!I311,"AAAAAB/a3z0=")</f>
        <v>#VALUE!</v>
      </c>
      <c r="BK94" t="e">
        <f>AND(Bills!J311,"AAAAAB/a3z4=")</f>
        <v>#VALUE!</v>
      </c>
      <c r="BL94" t="e">
        <f>AND(Bills!K311,"AAAAAB/a3z8=")</f>
        <v>#VALUE!</v>
      </c>
      <c r="BM94" t="e">
        <f>AND(Bills!L311,"AAAAAB/a30A=")</f>
        <v>#VALUE!</v>
      </c>
      <c r="BN94" t="e">
        <f>AND(Bills!#REF!,"AAAAAB/a30E=")</f>
        <v>#REF!</v>
      </c>
      <c r="BO94" t="e">
        <f>AND(Bills!M311,"AAAAAB/a30I=")</f>
        <v>#VALUE!</v>
      </c>
      <c r="BP94" t="e">
        <f>AND(Bills!N311,"AAAAAB/a30M=")</f>
        <v>#VALUE!</v>
      </c>
      <c r="BQ94" t="e">
        <f>AND(Bills!O311,"AAAAAB/a30Q=")</f>
        <v>#VALUE!</v>
      </c>
      <c r="BR94" t="e">
        <f>AND(Bills!P311,"AAAAAB/a30U=")</f>
        <v>#VALUE!</v>
      </c>
      <c r="BS94" t="e">
        <f>AND(Bills!Q311,"AAAAAB/a30Y=")</f>
        <v>#VALUE!</v>
      </c>
      <c r="BT94" t="e">
        <f>AND(Bills!R311,"AAAAAB/a30c=")</f>
        <v>#VALUE!</v>
      </c>
      <c r="BU94" t="e">
        <f>AND(Bills!S311,"AAAAAB/a30g=")</f>
        <v>#VALUE!</v>
      </c>
      <c r="BV94" t="e">
        <f>AND(Bills!T311,"AAAAAB/a30k=")</f>
        <v>#VALUE!</v>
      </c>
      <c r="BW94" t="e">
        <f>AND(Bills!#REF!,"AAAAAB/a30o=")</f>
        <v>#REF!</v>
      </c>
      <c r="BX94" t="e">
        <f>AND(Bills!U311,"AAAAAB/a30s=")</f>
        <v>#VALUE!</v>
      </c>
      <c r="BY94" t="e">
        <f>AND(Bills!V311,"AAAAAB/a30w=")</f>
        <v>#VALUE!</v>
      </c>
      <c r="BZ94" t="e">
        <f>AND(Bills!W311,"AAAAAB/a300=")</f>
        <v>#VALUE!</v>
      </c>
      <c r="CA94" t="e">
        <f>AND(Bills!#REF!,"AAAAAB/a304=")</f>
        <v>#REF!</v>
      </c>
      <c r="CB94" t="e">
        <f>AND(Bills!#REF!,"AAAAAB/a308=")</f>
        <v>#REF!</v>
      </c>
      <c r="CC94" t="e">
        <f>AND(Bills!Y311,"AAAAAB/a31A=")</f>
        <v>#VALUE!</v>
      </c>
      <c r="CD94" t="e">
        <f>AND(Bills!Z311,"AAAAAB/a31E=")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AND(Bills!AA311,"AAAAAB/a31s=")</f>
        <v>#VALUE!</v>
      </c>
      <c r="CO94" t="e">
        <f>AND(Bills!AB311,"AAAAAB/a31w=")</f>
        <v>#VALUE!</v>
      </c>
      <c r="CP94" t="e">
        <f>AND(Bills!#REF!,"AAAAAB/a310=")</f>
        <v>#REF!</v>
      </c>
      <c r="CQ94" t="e">
        <f>AND(Bills!#REF!,"AAAAAB/a314=")</f>
        <v>#REF!</v>
      </c>
      <c r="CR94" t="e">
        <f>AND(Bills!#REF!,"AAAAAB/a318=")</f>
        <v>#REF!</v>
      </c>
      <c r="CS94" t="e">
        <f>AND(Bills!AC311,"AAAAAB/a32A=")</f>
        <v>#VALUE!</v>
      </c>
      <c r="CT94" t="e">
        <f>AND(Bills!AD311,"AAAAAB/a32E=")</f>
        <v>#VALUE!</v>
      </c>
      <c r="CU94" t="e">
        <f>AND(Bills!#REF!,"AAAAAB/a32I=")</f>
        <v>#REF!</v>
      </c>
      <c r="CV94">
        <f>IF(Bills!312:312,"AAAAAB/a32M=",0)</f>
        <v>0</v>
      </c>
      <c r="CW94" t="e">
        <f>AND(Bills!B312,"AAAAAB/a32Q=")</f>
        <v>#VALUE!</v>
      </c>
      <c r="CX94" t="e">
        <f>AND(Bills!#REF!,"AAAAAB/a32U=")</f>
        <v>#REF!</v>
      </c>
      <c r="CY94" t="e">
        <f>AND(Bills!C312,"AAAAAB/a32Y=")</f>
        <v>#VALUE!</v>
      </c>
      <c r="CZ94" t="e">
        <f>AND(Bills!D312,"AAAAAB/a32c=")</f>
        <v>#VALUE!</v>
      </c>
      <c r="DA94" t="e">
        <f>AND(Bills!E312,"AAAAAB/a32g=")</f>
        <v>#VALUE!</v>
      </c>
      <c r="DB94" t="e">
        <f>AND(Bills!#REF!,"AAAAAB/a32k=")</f>
        <v>#REF!</v>
      </c>
      <c r="DC94" t="e">
        <f>AND(Bills!#REF!,"AAAAAB/a32o=")</f>
        <v>#REF!</v>
      </c>
      <c r="DD94" t="e">
        <f>AND(Bills!#REF!,"AAAAAB/a32s=")</f>
        <v>#REF!</v>
      </c>
      <c r="DE94" t="e">
        <f>AND(Bills!F312,"AAAAAB/a32w=")</f>
        <v>#VALUE!</v>
      </c>
      <c r="DF94" t="e">
        <f>AND(Bills!#REF!,"AAAAAB/a320=")</f>
        <v>#REF!</v>
      </c>
      <c r="DG94" t="e">
        <f>AND(Bills!G312,"AAAAAB/a324=")</f>
        <v>#VALUE!</v>
      </c>
      <c r="DH94" t="e">
        <f>AND(Bills!H312,"AAAAAB/a328=")</f>
        <v>#VALUE!</v>
      </c>
      <c r="DI94" t="e">
        <f>AND(Bills!I312,"AAAAAB/a33A=")</f>
        <v>#VALUE!</v>
      </c>
      <c r="DJ94" t="e">
        <f>AND(Bills!J312,"AAAAAB/a33E=")</f>
        <v>#VALUE!</v>
      </c>
      <c r="DK94" t="e">
        <f>AND(Bills!K312,"AAAAAB/a33I=")</f>
        <v>#VALUE!</v>
      </c>
      <c r="DL94" t="e">
        <f>AND(Bills!L312,"AAAAAB/a33M=")</f>
        <v>#VALUE!</v>
      </c>
      <c r="DM94" t="e">
        <f>AND(Bills!#REF!,"AAAAAB/a33Q=")</f>
        <v>#REF!</v>
      </c>
      <c r="DN94" t="e">
        <f>AND(Bills!M312,"AAAAAB/a33U=")</f>
        <v>#VALUE!</v>
      </c>
      <c r="DO94" t="e">
        <f>AND(Bills!N312,"AAAAAB/a33Y=")</f>
        <v>#VALUE!</v>
      </c>
      <c r="DP94" t="e">
        <f>AND(Bills!O312,"AAAAAB/a33c=")</f>
        <v>#VALUE!</v>
      </c>
      <c r="DQ94" t="e">
        <f>AND(Bills!P312,"AAAAAB/a33g=")</f>
        <v>#VALUE!</v>
      </c>
      <c r="DR94" t="e">
        <f>AND(Bills!Q312,"AAAAAB/a33k=")</f>
        <v>#VALUE!</v>
      </c>
      <c r="DS94" t="e">
        <f>AND(Bills!R312,"AAAAAB/a33o=")</f>
        <v>#VALUE!</v>
      </c>
      <c r="DT94" t="e">
        <f>AND(Bills!S312,"AAAAAB/a33s=")</f>
        <v>#VALUE!</v>
      </c>
      <c r="DU94" t="e">
        <f>AND(Bills!T312,"AAAAAB/a33w=")</f>
        <v>#VALUE!</v>
      </c>
      <c r="DV94" t="e">
        <f>AND(Bills!#REF!,"AAAAAB/a330=")</f>
        <v>#REF!</v>
      </c>
      <c r="DW94" t="e">
        <f>AND(Bills!U312,"AAAAAB/a334=")</f>
        <v>#VALUE!</v>
      </c>
      <c r="DX94" t="e">
        <f>AND(Bills!V312,"AAAAAB/a338=")</f>
        <v>#VALUE!</v>
      </c>
      <c r="DY94" t="e">
        <f>AND(Bills!W312,"AAAAAB/a34A=")</f>
        <v>#VALUE!</v>
      </c>
      <c r="DZ94" t="e">
        <f>AND(Bills!#REF!,"AAAAAB/a34E=")</f>
        <v>#REF!</v>
      </c>
      <c r="EA94" t="e">
        <f>AND(Bills!#REF!,"AAAAAB/a34I=")</f>
        <v>#REF!</v>
      </c>
      <c r="EB94" t="e">
        <f>AND(Bills!Y312,"AAAAAB/a34M=")</f>
        <v>#VALUE!</v>
      </c>
      <c r="EC94" t="e">
        <f>AND(Bills!Z312,"AAAAAB/a34Q=")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AND(Bills!AA312,"AAAAAB/a344=")</f>
        <v>#VALUE!</v>
      </c>
      <c r="EN94" t="e">
        <f>AND(Bills!AB312,"AAAAAB/a348=")</f>
        <v>#VALUE!</v>
      </c>
      <c r="EO94" t="e">
        <f>AND(Bills!#REF!,"AAAAAB/a35A=")</f>
        <v>#REF!</v>
      </c>
      <c r="EP94" t="e">
        <f>AND(Bills!#REF!,"AAAAAB/a35E=")</f>
        <v>#REF!</v>
      </c>
      <c r="EQ94" t="e">
        <f>AND(Bills!#REF!,"AAAAAB/a35I=")</f>
        <v>#REF!</v>
      </c>
      <c r="ER94" t="e">
        <f>AND(Bills!AC312,"AAAAAB/a35M=")</f>
        <v>#VALUE!</v>
      </c>
      <c r="ES94" t="e">
        <f>AND(Bills!AD312,"AAAAAB/a35Q=")</f>
        <v>#VALUE!</v>
      </c>
      <c r="ET94" t="e">
        <f>AND(Bills!#REF!,"AAAAAB/a35U=")</f>
        <v>#REF!</v>
      </c>
      <c r="EU94">
        <f>IF(Bills!313:313,"AAAAAB/a35Y=",0)</f>
        <v>0</v>
      </c>
      <c r="EV94" t="e">
        <f>AND(Bills!B313,"AAAAAB/a35c=")</f>
        <v>#VALUE!</v>
      </c>
      <c r="EW94" t="e">
        <f>AND(Bills!#REF!,"AAAAAB/a35g=")</f>
        <v>#REF!</v>
      </c>
      <c r="EX94" t="e">
        <f>AND(Bills!C313,"AAAAAB/a35k=")</f>
        <v>#VALUE!</v>
      </c>
      <c r="EY94" t="e">
        <f>AND(Bills!D313,"AAAAAB/a35o=")</f>
        <v>#VALUE!</v>
      </c>
      <c r="EZ94" t="e">
        <f>AND(Bills!E313,"AAAAAB/a35s=")</f>
        <v>#VALUE!</v>
      </c>
      <c r="FA94" t="e">
        <f>AND(Bills!#REF!,"AAAAAB/a35w=")</f>
        <v>#REF!</v>
      </c>
      <c r="FB94" t="e">
        <f>AND(Bills!#REF!,"AAAAAB/a350=")</f>
        <v>#REF!</v>
      </c>
      <c r="FC94" t="e">
        <f>AND(Bills!#REF!,"AAAAAB/a354=")</f>
        <v>#REF!</v>
      </c>
      <c r="FD94" t="e">
        <f>AND(Bills!F313,"AAAAAB/a358=")</f>
        <v>#VALUE!</v>
      </c>
      <c r="FE94" t="e">
        <f>AND(Bills!#REF!,"AAAAAB/a36A=")</f>
        <v>#REF!</v>
      </c>
      <c r="FF94" t="e">
        <f>AND(Bills!G313,"AAAAAB/a36E=")</f>
        <v>#VALUE!</v>
      </c>
      <c r="FG94" t="e">
        <f>AND(Bills!H313,"AAAAAB/a36I=")</f>
        <v>#VALUE!</v>
      </c>
      <c r="FH94" t="e">
        <f>AND(Bills!I313,"AAAAAB/a36M=")</f>
        <v>#VALUE!</v>
      </c>
      <c r="FI94" t="e">
        <f>AND(Bills!J313,"AAAAAB/a36Q=")</f>
        <v>#VALUE!</v>
      </c>
      <c r="FJ94" t="e">
        <f>AND(Bills!K313,"AAAAAB/a36U=")</f>
        <v>#VALUE!</v>
      </c>
      <c r="FK94" t="e">
        <f>AND(Bills!L313,"AAAAAB/a36Y=")</f>
        <v>#VALUE!</v>
      </c>
      <c r="FL94" t="e">
        <f>AND(Bills!#REF!,"AAAAAB/a36c=")</f>
        <v>#REF!</v>
      </c>
      <c r="FM94" t="e">
        <f>AND(Bills!M313,"AAAAAB/a36g=")</f>
        <v>#VALUE!</v>
      </c>
      <c r="FN94" t="e">
        <f>AND(Bills!N313,"AAAAAB/a36k=")</f>
        <v>#VALUE!</v>
      </c>
      <c r="FO94" t="e">
        <f>AND(Bills!O313,"AAAAAB/a36o=")</f>
        <v>#VALUE!</v>
      </c>
      <c r="FP94" t="e">
        <f>AND(Bills!P313,"AAAAAB/a36s=")</f>
        <v>#VALUE!</v>
      </c>
      <c r="FQ94" t="e">
        <f>AND(Bills!Q313,"AAAAAB/a36w=")</f>
        <v>#VALUE!</v>
      </c>
      <c r="FR94" t="e">
        <f>AND(Bills!R313,"AAAAAB/a360=")</f>
        <v>#VALUE!</v>
      </c>
      <c r="FS94" t="e">
        <f>AND(Bills!S313,"AAAAAB/a364=")</f>
        <v>#VALUE!</v>
      </c>
      <c r="FT94" t="e">
        <f>AND(Bills!T313,"AAAAAB/a368=")</f>
        <v>#VALUE!</v>
      </c>
      <c r="FU94" t="e">
        <f>AND(Bills!#REF!,"AAAAAB/a37A=")</f>
        <v>#REF!</v>
      </c>
      <c r="FV94" t="e">
        <f>AND(Bills!U313,"AAAAAB/a37E=")</f>
        <v>#VALUE!</v>
      </c>
      <c r="FW94" t="e">
        <f>AND(Bills!V313,"AAAAAB/a37I=")</f>
        <v>#VALUE!</v>
      </c>
      <c r="FX94" t="e">
        <f>AND(Bills!W313,"AAAAAB/a37M=")</f>
        <v>#VALUE!</v>
      </c>
      <c r="FY94" t="e">
        <f>AND(Bills!#REF!,"AAAAAB/a37Q=")</f>
        <v>#REF!</v>
      </c>
      <c r="FZ94" t="e">
        <f>AND(Bills!#REF!,"AAAAAB/a37U=")</f>
        <v>#REF!</v>
      </c>
      <c r="GA94" t="e">
        <f>AND(Bills!Y313,"AAAAAB/a37Y=")</f>
        <v>#VALUE!</v>
      </c>
      <c r="GB94" t="e">
        <f>AND(Bills!Z313,"AAAAAB/a37c=")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AND(Bills!AA313,"AAAAAB/a38E=")</f>
        <v>#VALUE!</v>
      </c>
      <c r="GM94" t="e">
        <f>AND(Bills!AB313,"AAAAAB/a38I=")</f>
        <v>#VALUE!</v>
      </c>
      <c r="GN94" t="e">
        <f>AND(Bills!#REF!,"AAAAAB/a38M=")</f>
        <v>#REF!</v>
      </c>
      <c r="GO94" t="e">
        <f>AND(Bills!#REF!,"AAAAAB/a38Q=")</f>
        <v>#REF!</v>
      </c>
      <c r="GP94" t="e">
        <f>AND(Bills!#REF!,"AAAAAB/a38U=")</f>
        <v>#REF!</v>
      </c>
      <c r="GQ94" t="e">
        <f>AND(Bills!AC313,"AAAAAB/a38Y=")</f>
        <v>#VALUE!</v>
      </c>
      <c r="GR94" t="e">
        <f>AND(Bills!AD313,"AAAAAB/a38c=")</f>
        <v>#VALUE!</v>
      </c>
      <c r="GS94" t="e">
        <f>AND(Bills!#REF!,"AAAAAB/a38g=")</f>
        <v>#REF!</v>
      </c>
      <c r="GT94">
        <f>IF(Bills!314:314,"AAAAAB/a38k=",0)</f>
        <v>0</v>
      </c>
      <c r="GU94" t="e">
        <f>AND(Bills!B314,"AAAAAB/a38o=")</f>
        <v>#VALUE!</v>
      </c>
      <c r="GV94" t="e">
        <f>AND(Bills!#REF!,"AAAAAB/a38s=")</f>
        <v>#REF!</v>
      </c>
      <c r="GW94" t="e">
        <f>AND(Bills!C314,"AAAAAB/a38w=")</f>
        <v>#VALUE!</v>
      </c>
      <c r="GX94" t="e">
        <f>AND(Bills!D314,"AAAAAB/a380=")</f>
        <v>#VALUE!</v>
      </c>
      <c r="GY94" t="e">
        <f>AND(Bills!E314,"AAAAAB/a384=")</f>
        <v>#VALUE!</v>
      </c>
      <c r="GZ94" t="e">
        <f>AND(Bills!#REF!,"AAAAAB/a388=")</f>
        <v>#REF!</v>
      </c>
      <c r="HA94" t="e">
        <f>AND(Bills!#REF!,"AAAAAB/a39A=")</f>
        <v>#REF!</v>
      </c>
      <c r="HB94" t="e">
        <f>AND(Bills!#REF!,"AAAAAB/a39E=")</f>
        <v>#REF!</v>
      </c>
      <c r="HC94" t="e">
        <f>AND(Bills!F314,"AAAAAB/a39I=")</f>
        <v>#VALUE!</v>
      </c>
      <c r="HD94" t="e">
        <f>AND(Bills!#REF!,"AAAAAB/a39M=")</f>
        <v>#REF!</v>
      </c>
      <c r="HE94" t="e">
        <f>AND(Bills!G314,"AAAAAB/a39Q=")</f>
        <v>#VALUE!</v>
      </c>
      <c r="HF94" t="e">
        <f>AND(Bills!H314,"AAAAAB/a39U=")</f>
        <v>#VALUE!</v>
      </c>
      <c r="HG94" t="e">
        <f>AND(Bills!I314,"AAAAAB/a39Y=")</f>
        <v>#VALUE!</v>
      </c>
      <c r="HH94" t="e">
        <f>AND(Bills!J314,"AAAAAB/a39c=")</f>
        <v>#VALUE!</v>
      </c>
      <c r="HI94" t="e">
        <f>AND(Bills!K314,"AAAAAB/a39g=")</f>
        <v>#VALUE!</v>
      </c>
      <c r="HJ94" t="e">
        <f>AND(Bills!L314,"AAAAAB/a39k=")</f>
        <v>#VALUE!</v>
      </c>
      <c r="HK94" t="e">
        <f>AND(Bills!#REF!,"AAAAAB/a39o=")</f>
        <v>#REF!</v>
      </c>
      <c r="HL94" t="e">
        <f>AND(Bills!M314,"AAAAAB/a39s=")</f>
        <v>#VALUE!</v>
      </c>
      <c r="HM94" t="e">
        <f>AND(Bills!N314,"AAAAAB/a39w=")</f>
        <v>#VALUE!</v>
      </c>
      <c r="HN94" t="e">
        <f>AND(Bills!O314,"AAAAAB/a390=")</f>
        <v>#VALUE!</v>
      </c>
      <c r="HO94" t="e">
        <f>AND(Bills!P314,"AAAAAB/a394=")</f>
        <v>#VALUE!</v>
      </c>
      <c r="HP94" t="e">
        <f>AND(Bills!Q314,"AAAAAB/a398=")</f>
        <v>#VALUE!</v>
      </c>
      <c r="HQ94" t="e">
        <f>AND(Bills!R314,"AAAAAB/a3+A=")</f>
        <v>#VALUE!</v>
      </c>
      <c r="HR94" t="e">
        <f>AND(Bills!S314,"AAAAAB/a3+E=")</f>
        <v>#VALUE!</v>
      </c>
      <c r="HS94" t="e">
        <f>AND(Bills!T314,"AAAAAB/a3+I=")</f>
        <v>#VALUE!</v>
      </c>
      <c r="HT94" t="e">
        <f>AND(Bills!#REF!,"AAAAAB/a3+M=")</f>
        <v>#REF!</v>
      </c>
      <c r="HU94" t="e">
        <f>AND(Bills!U314,"AAAAAB/a3+Q=")</f>
        <v>#VALUE!</v>
      </c>
      <c r="HV94" t="e">
        <f>AND(Bills!V314,"AAAAAB/a3+U=")</f>
        <v>#VALUE!</v>
      </c>
      <c r="HW94" t="e">
        <f>AND(Bills!W314,"AAAAAB/a3+Y=")</f>
        <v>#VALUE!</v>
      </c>
      <c r="HX94" t="e">
        <f>AND(Bills!#REF!,"AAAAAB/a3+c=")</f>
        <v>#REF!</v>
      </c>
      <c r="HY94" t="e">
        <f>AND(Bills!#REF!,"AAAAAB/a3+g=")</f>
        <v>#REF!</v>
      </c>
      <c r="HZ94" t="e">
        <f>AND(Bills!Y314,"AAAAAB/a3+k=")</f>
        <v>#VALUE!</v>
      </c>
      <c r="IA94" t="e">
        <f>AND(Bills!Z314,"AAAAAB/a3+o=")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AND(Bills!AA314,"AAAAAB/a3/Q=")</f>
        <v>#VALUE!</v>
      </c>
      <c r="IL94" t="e">
        <f>AND(Bills!AB314,"AAAAAB/a3/U=")</f>
        <v>#VALUE!</v>
      </c>
      <c r="IM94" t="e">
        <f>AND(Bills!#REF!,"AAAAAB/a3/Y=")</f>
        <v>#REF!</v>
      </c>
      <c r="IN94" t="e">
        <f>AND(Bills!#REF!,"AAAAAB/a3/c=")</f>
        <v>#REF!</v>
      </c>
      <c r="IO94" t="e">
        <f>AND(Bills!#REF!,"AAAAAB/a3/g=")</f>
        <v>#REF!</v>
      </c>
      <c r="IP94" t="e">
        <f>AND(Bills!AC314,"AAAAAB/a3/k=")</f>
        <v>#VALUE!</v>
      </c>
      <c r="IQ94" t="e">
        <f>AND(Bills!AD314,"AAAAAB/a3/o=")</f>
        <v>#VALUE!</v>
      </c>
      <c r="IR94" t="e">
        <f>AND(Bills!#REF!,"AAAAAB/a3/s=")</f>
        <v>#REF!</v>
      </c>
      <c r="IS94">
        <f>IF(Bills!315:315,"AAAAAB/a3/w=",0)</f>
        <v>0</v>
      </c>
      <c r="IT94" t="e">
        <f>AND(Bills!B315,"AAAAAB/a3/0=")</f>
        <v>#VALUE!</v>
      </c>
      <c r="IU94" t="e">
        <f>AND(Bills!#REF!,"AAAAAB/a3/4=")</f>
        <v>#REF!</v>
      </c>
      <c r="IV94" t="e">
        <f>AND(Bills!C315,"AAAAAB/a3/8=")</f>
        <v>#VALUE!</v>
      </c>
    </row>
    <row r="95" spans="1:256">
      <c r="A95" t="e">
        <f>AND(Bills!D315,"AAAAAGZ71wA=")</f>
        <v>#VALUE!</v>
      </c>
      <c r="B95" t="e">
        <f>AND(Bills!E315,"AAAAAGZ71wE=")</f>
        <v>#VALUE!</v>
      </c>
      <c r="C95" t="e">
        <f>AND(Bills!#REF!,"AAAAAGZ71wI=")</f>
        <v>#REF!</v>
      </c>
      <c r="D95" t="e">
        <f>AND(Bills!#REF!,"AAAAAGZ71wM=")</f>
        <v>#REF!</v>
      </c>
      <c r="E95" t="e">
        <f>AND(Bills!#REF!,"AAAAAGZ71wQ=")</f>
        <v>#REF!</v>
      </c>
      <c r="F95" t="e">
        <f>AND(Bills!F315,"AAAAAGZ71wU=")</f>
        <v>#VALUE!</v>
      </c>
      <c r="G95" t="e">
        <f>AND(Bills!#REF!,"AAAAAGZ71wY=")</f>
        <v>#REF!</v>
      </c>
      <c r="H95" t="e">
        <f>AND(Bills!G315,"AAAAAGZ71wc=")</f>
        <v>#VALUE!</v>
      </c>
      <c r="I95" t="e">
        <f>AND(Bills!H315,"AAAAAGZ71wg=")</f>
        <v>#VALUE!</v>
      </c>
      <c r="J95" t="e">
        <f>AND(Bills!I315,"AAAAAGZ71wk=")</f>
        <v>#VALUE!</v>
      </c>
      <c r="K95" t="e">
        <f>AND(Bills!J315,"AAAAAGZ71wo=")</f>
        <v>#VALUE!</v>
      </c>
      <c r="L95" t="e">
        <f>AND(Bills!K315,"AAAAAGZ71ws=")</f>
        <v>#VALUE!</v>
      </c>
      <c r="M95" t="e">
        <f>AND(Bills!L315,"AAAAAGZ71ww=")</f>
        <v>#VALUE!</v>
      </c>
      <c r="N95" t="e">
        <f>AND(Bills!#REF!,"AAAAAGZ71w0=")</f>
        <v>#REF!</v>
      </c>
      <c r="O95" t="e">
        <f>AND(Bills!M315,"AAAAAGZ71w4=")</f>
        <v>#VALUE!</v>
      </c>
      <c r="P95" t="e">
        <f>AND(Bills!N315,"AAAAAGZ71w8=")</f>
        <v>#VALUE!</v>
      </c>
      <c r="Q95" t="e">
        <f>AND(Bills!O315,"AAAAAGZ71xA=")</f>
        <v>#VALUE!</v>
      </c>
      <c r="R95" t="e">
        <f>AND(Bills!P315,"AAAAAGZ71xE=")</f>
        <v>#VALUE!</v>
      </c>
      <c r="S95" t="e">
        <f>AND(Bills!Q315,"AAAAAGZ71xI=")</f>
        <v>#VALUE!</v>
      </c>
      <c r="T95" t="e">
        <f>AND(Bills!R315,"AAAAAGZ71xM=")</f>
        <v>#VALUE!</v>
      </c>
      <c r="U95" t="e">
        <f>AND(Bills!S315,"AAAAAGZ71xQ=")</f>
        <v>#VALUE!</v>
      </c>
      <c r="V95" t="e">
        <f>AND(Bills!T315,"AAAAAGZ71xU=")</f>
        <v>#VALUE!</v>
      </c>
      <c r="W95" t="e">
        <f>AND(Bills!#REF!,"AAAAAGZ71xY=")</f>
        <v>#REF!</v>
      </c>
      <c r="X95" t="e">
        <f>AND(Bills!U315,"AAAAAGZ71xc=")</f>
        <v>#VALUE!</v>
      </c>
      <c r="Y95" t="e">
        <f>AND(Bills!V315,"AAAAAGZ71xg=")</f>
        <v>#VALUE!</v>
      </c>
      <c r="Z95" t="e">
        <f>AND(Bills!W315,"AAAAAGZ71xk=")</f>
        <v>#VALUE!</v>
      </c>
      <c r="AA95" t="e">
        <f>AND(Bills!#REF!,"AAAAAGZ71xo=")</f>
        <v>#REF!</v>
      </c>
      <c r="AB95" t="e">
        <f>AND(Bills!#REF!,"AAAAAGZ71xs=")</f>
        <v>#REF!</v>
      </c>
      <c r="AC95" t="e">
        <f>AND(Bills!Y315,"AAAAAGZ71xw=")</f>
        <v>#VALUE!</v>
      </c>
      <c r="AD95" t="e">
        <f>AND(Bills!Z315,"AAAAAGZ71x0=")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AND(Bills!AA315,"AAAAAGZ71yc=")</f>
        <v>#VALUE!</v>
      </c>
      <c r="AO95" t="e">
        <f>AND(Bills!AB315,"AAAAAGZ71yg=")</f>
        <v>#VALUE!</v>
      </c>
      <c r="AP95" t="e">
        <f>AND(Bills!#REF!,"AAAAAGZ71yk=")</f>
        <v>#REF!</v>
      </c>
      <c r="AQ95" t="e">
        <f>AND(Bills!#REF!,"AAAAAGZ71yo=")</f>
        <v>#REF!</v>
      </c>
      <c r="AR95" t="e">
        <f>AND(Bills!#REF!,"AAAAAGZ71ys=")</f>
        <v>#REF!</v>
      </c>
      <c r="AS95" t="e">
        <f>AND(Bills!AC315,"AAAAAGZ71yw=")</f>
        <v>#VALUE!</v>
      </c>
      <c r="AT95" t="e">
        <f>AND(Bills!AD315,"AAAAAGZ71y0=")</f>
        <v>#VALUE!</v>
      </c>
      <c r="AU95" t="e">
        <f>AND(Bills!#REF!,"AAAAAGZ71y4=")</f>
        <v>#REF!</v>
      </c>
      <c r="AV95">
        <f>IF(Bills!316:316,"AAAAAGZ71y8=",0)</f>
        <v>0</v>
      </c>
      <c r="AW95" t="e">
        <f>AND(Bills!B316,"AAAAAGZ71zA=")</f>
        <v>#VALUE!</v>
      </c>
      <c r="AX95" t="e">
        <f>AND(Bills!#REF!,"AAAAAGZ71zE=")</f>
        <v>#REF!</v>
      </c>
      <c r="AY95" t="e">
        <f>AND(Bills!C316,"AAAAAGZ71zI=")</f>
        <v>#VALUE!</v>
      </c>
      <c r="AZ95" t="e">
        <f>AND(Bills!D316,"AAAAAGZ71zM=")</f>
        <v>#VALUE!</v>
      </c>
      <c r="BA95" t="e">
        <f>AND(Bills!E316,"AAAAAGZ71zQ=")</f>
        <v>#VALUE!</v>
      </c>
      <c r="BB95" t="e">
        <f>AND(Bills!#REF!,"AAAAAGZ71zU=")</f>
        <v>#REF!</v>
      </c>
      <c r="BC95" t="e">
        <f>AND(Bills!#REF!,"AAAAAGZ71zY=")</f>
        <v>#REF!</v>
      </c>
      <c r="BD95" t="e">
        <f>AND(Bills!#REF!,"AAAAAGZ71zc=")</f>
        <v>#REF!</v>
      </c>
      <c r="BE95" t="e">
        <f>AND(Bills!F316,"AAAAAGZ71zg=")</f>
        <v>#VALUE!</v>
      </c>
      <c r="BF95" t="e">
        <f>AND(Bills!#REF!,"AAAAAGZ71zk=")</f>
        <v>#REF!</v>
      </c>
      <c r="BG95" t="e">
        <f>AND(Bills!G316,"AAAAAGZ71zo=")</f>
        <v>#VALUE!</v>
      </c>
      <c r="BH95" t="e">
        <f>AND(Bills!H316,"AAAAAGZ71zs=")</f>
        <v>#VALUE!</v>
      </c>
      <c r="BI95" t="e">
        <f>AND(Bills!I316,"AAAAAGZ71zw=")</f>
        <v>#VALUE!</v>
      </c>
      <c r="BJ95" t="e">
        <f>AND(Bills!J316,"AAAAAGZ71z0=")</f>
        <v>#VALUE!</v>
      </c>
      <c r="BK95" t="e">
        <f>AND(Bills!K316,"AAAAAGZ71z4=")</f>
        <v>#VALUE!</v>
      </c>
      <c r="BL95" t="e">
        <f>AND(Bills!L316,"AAAAAGZ71z8=")</f>
        <v>#VALUE!</v>
      </c>
      <c r="BM95" t="e">
        <f>AND(Bills!#REF!,"AAAAAGZ710A=")</f>
        <v>#REF!</v>
      </c>
      <c r="BN95" t="e">
        <f>AND(Bills!M316,"AAAAAGZ710E=")</f>
        <v>#VALUE!</v>
      </c>
      <c r="BO95" t="e">
        <f>AND(Bills!N316,"AAAAAGZ710I=")</f>
        <v>#VALUE!</v>
      </c>
      <c r="BP95" t="e">
        <f>AND(Bills!O316,"AAAAAGZ710M=")</f>
        <v>#VALUE!</v>
      </c>
      <c r="BQ95" t="e">
        <f>AND(Bills!P316,"AAAAAGZ710Q=")</f>
        <v>#VALUE!</v>
      </c>
      <c r="BR95" t="e">
        <f>AND(Bills!Q316,"AAAAAGZ710U=")</f>
        <v>#VALUE!</v>
      </c>
      <c r="BS95" t="e">
        <f>AND(Bills!R316,"AAAAAGZ710Y=")</f>
        <v>#VALUE!</v>
      </c>
      <c r="BT95" t="e">
        <f>AND(Bills!S316,"AAAAAGZ710c=")</f>
        <v>#VALUE!</v>
      </c>
      <c r="BU95" t="e">
        <f>AND(Bills!T316,"AAAAAGZ710g=")</f>
        <v>#VALUE!</v>
      </c>
      <c r="BV95" t="e">
        <f>AND(Bills!#REF!,"AAAAAGZ710k=")</f>
        <v>#REF!</v>
      </c>
      <c r="BW95" t="e">
        <f>AND(Bills!U316,"AAAAAGZ710o=")</f>
        <v>#VALUE!</v>
      </c>
      <c r="BX95" t="e">
        <f>AND(Bills!V316,"AAAAAGZ710s=")</f>
        <v>#VALUE!</v>
      </c>
      <c r="BY95" t="e">
        <f>AND(Bills!W316,"AAAAAGZ710w=")</f>
        <v>#VALUE!</v>
      </c>
      <c r="BZ95" t="e">
        <f>AND(Bills!#REF!,"AAAAAGZ7100=")</f>
        <v>#REF!</v>
      </c>
      <c r="CA95" t="e">
        <f>AND(Bills!#REF!,"AAAAAGZ7104=")</f>
        <v>#REF!</v>
      </c>
      <c r="CB95" t="e">
        <f>AND(Bills!Y316,"AAAAAGZ7108=")</f>
        <v>#VALUE!</v>
      </c>
      <c r="CC95" t="e">
        <f>AND(Bills!Z316,"AAAAAGZ711A=")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AND(Bills!AA316,"AAAAAGZ711o=")</f>
        <v>#VALUE!</v>
      </c>
      <c r="CN95" t="e">
        <f>AND(Bills!AB316,"AAAAAGZ711s=")</f>
        <v>#VALUE!</v>
      </c>
      <c r="CO95" t="e">
        <f>AND(Bills!#REF!,"AAAAAGZ711w=")</f>
        <v>#REF!</v>
      </c>
      <c r="CP95" t="e">
        <f>AND(Bills!#REF!,"AAAAAGZ7110=")</f>
        <v>#REF!</v>
      </c>
      <c r="CQ95" t="e">
        <f>AND(Bills!#REF!,"AAAAAGZ7114=")</f>
        <v>#REF!</v>
      </c>
      <c r="CR95" t="e">
        <f>AND(Bills!AC316,"AAAAAGZ7118=")</f>
        <v>#VALUE!</v>
      </c>
      <c r="CS95" t="e">
        <f>AND(Bills!AD316,"AAAAAGZ712A=")</f>
        <v>#VALUE!</v>
      </c>
      <c r="CT95" t="e">
        <f>AND(Bills!#REF!,"AAAAAGZ712E=")</f>
        <v>#REF!</v>
      </c>
      <c r="CU95">
        <f>IF(Bills!317:317,"AAAAAGZ712I=",0)</f>
        <v>0</v>
      </c>
      <c r="CV95" t="e">
        <f>AND(Bills!B317,"AAAAAGZ712M=")</f>
        <v>#VALUE!</v>
      </c>
      <c r="CW95" t="e">
        <f>AND(Bills!#REF!,"AAAAAGZ712Q=")</f>
        <v>#REF!</v>
      </c>
      <c r="CX95" t="e">
        <f>AND(Bills!C317,"AAAAAGZ712U=")</f>
        <v>#VALUE!</v>
      </c>
      <c r="CY95" t="e">
        <f>AND(Bills!D317,"AAAAAGZ712Y=")</f>
        <v>#VALUE!</v>
      </c>
      <c r="CZ95" t="e">
        <f>AND(Bills!E317,"AAAAAGZ712c=")</f>
        <v>#VALUE!</v>
      </c>
      <c r="DA95" t="e">
        <f>AND(Bills!#REF!,"AAAAAGZ712g=")</f>
        <v>#REF!</v>
      </c>
      <c r="DB95" t="e">
        <f>AND(Bills!#REF!,"AAAAAGZ712k=")</f>
        <v>#REF!</v>
      </c>
      <c r="DC95" t="e">
        <f>AND(Bills!#REF!,"AAAAAGZ712o=")</f>
        <v>#REF!</v>
      </c>
      <c r="DD95" t="e">
        <f>AND(Bills!F317,"AAAAAGZ712s=")</f>
        <v>#VALUE!</v>
      </c>
      <c r="DE95" t="e">
        <f>AND(Bills!#REF!,"AAAAAGZ712w=")</f>
        <v>#REF!</v>
      </c>
      <c r="DF95" t="e">
        <f>AND(Bills!G317,"AAAAAGZ7120=")</f>
        <v>#VALUE!</v>
      </c>
      <c r="DG95" t="e">
        <f>AND(Bills!H317,"AAAAAGZ7124=")</f>
        <v>#VALUE!</v>
      </c>
      <c r="DH95" t="e">
        <f>AND(Bills!I317,"AAAAAGZ7128=")</f>
        <v>#VALUE!</v>
      </c>
      <c r="DI95" t="e">
        <f>AND(Bills!J317,"AAAAAGZ713A=")</f>
        <v>#VALUE!</v>
      </c>
      <c r="DJ95" t="e">
        <f>AND(Bills!K317,"AAAAAGZ713E=")</f>
        <v>#VALUE!</v>
      </c>
      <c r="DK95" t="e">
        <f>AND(Bills!L317,"AAAAAGZ713I=")</f>
        <v>#VALUE!</v>
      </c>
      <c r="DL95" t="e">
        <f>AND(Bills!#REF!,"AAAAAGZ713M=")</f>
        <v>#REF!</v>
      </c>
      <c r="DM95" t="e">
        <f>AND(Bills!M317,"AAAAAGZ713Q=")</f>
        <v>#VALUE!</v>
      </c>
      <c r="DN95" t="e">
        <f>AND(Bills!N317,"AAAAAGZ713U=")</f>
        <v>#VALUE!</v>
      </c>
      <c r="DO95" t="e">
        <f>AND(Bills!O317,"AAAAAGZ713Y=")</f>
        <v>#VALUE!</v>
      </c>
      <c r="DP95" t="e">
        <f>AND(Bills!P317,"AAAAAGZ713c=")</f>
        <v>#VALUE!</v>
      </c>
      <c r="DQ95" t="e">
        <f>AND(Bills!Q317,"AAAAAGZ713g=")</f>
        <v>#VALUE!</v>
      </c>
      <c r="DR95" t="e">
        <f>AND(Bills!R317,"AAAAAGZ713k=")</f>
        <v>#VALUE!</v>
      </c>
      <c r="DS95" t="e">
        <f>AND(Bills!S317,"AAAAAGZ713o=")</f>
        <v>#VALUE!</v>
      </c>
      <c r="DT95" t="e">
        <f>AND(Bills!T317,"AAAAAGZ713s=")</f>
        <v>#VALUE!</v>
      </c>
      <c r="DU95" t="e">
        <f>AND(Bills!#REF!,"AAAAAGZ713w=")</f>
        <v>#REF!</v>
      </c>
      <c r="DV95" t="e">
        <f>AND(Bills!U317,"AAAAAGZ7130=")</f>
        <v>#VALUE!</v>
      </c>
      <c r="DW95" t="e">
        <f>AND(Bills!V317,"AAAAAGZ7134=")</f>
        <v>#VALUE!</v>
      </c>
      <c r="DX95" t="e">
        <f>AND(Bills!W317,"AAAAAGZ7138=")</f>
        <v>#VALUE!</v>
      </c>
      <c r="DY95" t="e">
        <f>AND(Bills!#REF!,"AAAAAGZ714A=")</f>
        <v>#REF!</v>
      </c>
      <c r="DZ95" t="e">
        <f>AND(Bills!#REF!,"AAAAAGZ714E=")</f>
        <v>#REF!</v>
      </c>
      <c r="EA95" t="e">
        <f>AND(Bills!Y317,"AAAAAGZ714I=")</f>
        <v>#VALUE!</v>
      </c>
      <c r="EB95" t="e">
        <f>AND(Bills!Z317,"AAAAAGZ714M=")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AND(Bills!AA317,"AAAAAGZ7140=")</f>
        <v>#VALUE!</v>
      </c>
      <c r="EM95" t="e">
        <f>AND(Bills!AB317,"AAAAAGZ7144=")</f>
        <v>#VALUE!</v>
      </c>
      <c r="EN95" t="e">
        <f>AND(Bills!#REF!,"AAAAAGZ7148=")</f>
        <v>#REF!</v>
      </c>
      <c r="EO95" t="e">
        <f>AND(Bills!#REF!,"AAAAAGZ715A=")</f>
        <v>#REF!</v>
      </c>
      <c r="EP95" t="e">
        <f>AND(Bills!#REF!,"AAAAAGZ715E=")</f>
        <v>#REF!</v>
      </c>
      <c r="EQ95" t="e">
        <f>AND(Bills!AC317,"AAAAAGZ715I=")</f>
        <v>#VALUE!</v>
      </c>
      <c r="ER95" t="e">
        <f>AND(Bills!AD317,"AAAAAGZ715M=")</f>
        <v>#VALUE!</v>
      </c>
      <c r="ES95" t="e">
        <f>AND(Bills!#REF!,"AAAAAGZ715Q=")</f>
        <v>#REF!</v>
      </c>
      <c r="ET95">
        <f>IF(Bills!318:318,"AAAAAGZ715U=",0)</f>
        <v>0</v>
      </c>
      <c r="EU95" t="e">
        <f>AND(Bills!B318,"AAAAAGZ715Y=")</f>
        <v>#VALUE!</v>
      </c>
      <c r="EV95" t="e">
        <f>AND(Bills!#REF!,"AAAAAGZ715c=")</f>
        <v>#REF!</v>
      </c>
      <c r="EW95" t="e">
        <f>AND(Bills!C318,"AAAAAGZ715g=")</f>
        <v>#VALUE!</v>
      </c>
      <c r="EX95" t="e">
        <f>AND(Bills!D318,"AAAAAGZ715k=")</f>
        <v>#VALUE!</v>
      </c>
      <c r="EY95" t="e">
        <f>AND(Bills!E318,"AAAAAGZ715o=")</f>
        <v>#VALUE!</v>
      </c>
      <c r="EZ95" t="e">
        <f>AND(Bills!#REF!,"AAAAAGZ715s=")</f>
        <v>#REF!</v>
      </c>
      <c r="FA95" t="e">
        <f>AND(Bills!#REF!,"AAAAAGZ715w=")</f>
        <v>#REF!</v>
      </c>
      <c r="FB95" t="e">
        <f>AND(Bills!#REF!,"AAAAAGZ7150=")</f>
        <v>#REF!</v>
      </c>
      <c r="FC95" t="e">
        <f>AND(Bills!F318,"AAAAAGZ7154=")</f>
        <v>#VALUE!</v>
      </c>
      <c r="FD95" t="e">
        <f>AND(Bills!#REF!,"AAAAAGZ7158=")</f>
        <v>#REF!</v>
      </c>
      <c r="FE95" t="e">
        <f>AND(Bills!G318,"AAAAAGZ716A=")</f>
        <v>#VALUE!</v>
      </c>
      <c r="FF95" t="e">
        <f>AND(Bills!H318,"AAAAAGZ716E=")</f>
        <v>#VALUE!</v>
      </c>
      <c r="FG95" t="e">
        <f>AND(Bills!I318,"AAAAAGZ716I=")</f>
        <v>#VALUE!</v>
      </c>
      <c r="FH95" t="e">
        <f>AND(Bills!J318,"AAAAAGZ716M=")</f>
        <v>#VALUE!</v>
      </c>
      <c r="FI95" t="e">
        <f>AND(Bills!K318,"AAAAAGZ716Q=")</f>
        <v>#VALUE!</v>
      </c>
      <c r="FJ95" t="e">
        <f>AND(Bills!L318,"AAAAAGZ716U=")</f>
        <v>#VALUE!</v>
      </c>
      <c r="FK95" t="e">
        <f>AND(Bills!#REF!,"AAAAAGZ716Y=")</f>
        <v>#REF!</v>
      </c>
      <c r="FL95" t="e">
        <f>AND(Bills!M318,"AAAAAGZ716c=")</f>
        <v>#VALUE!</v>
      </c>
      <c r="FM95" t="e">
        <f>AND(Bills!N318,"AAAAAGZ716g=")</f>
        <v>#VALUE!</v>
      </c>
      <c r="FN95" t="e">
        <f>AND(Bills!O318,"AAAAAGZ716k=")</f>
        <v>#VALUE!</v>
      </c>
      <c r="FO95" t="e">
        <f>AND(Bills!P318,"AAAAAGZ716o=")</f>
        <v>#VALUE!</v>
      </c>
      <c r="FP95" t="e">
        <f>AND(Bills!Q318,"AAAAAGZ716s=")</f>
        <v>#VALUE!</v>
      </c>
      <c r="FQ95" t="e">
        <f>AND(Bills!R318,"AAAAAGZ716w=")</f>
        <v>#VALUE!</v>
      </c>
      <c r="FR95" t="e">
        <f>AND(Bills!S318,"AAAAAGZ7160=")</f>
        <v>#VALUE!</v>
      </c>
      <c r="FS95" t="e">
        <f>AND(Bills!T318,"AAAAAGZ7164=")</f>
        <v>#VALUE!</v>
      </c>
      <c r="FT95" t="e">
        <f>AND(Bills!#REF!,"AAAAAGZ7168=")</f>
        <v>#REF!</v>
      </c>
      <c r="FU95" t="e">
        <f>AND(Bills!U318,"AAAAAGZ717A=")</f>
        <v>#VALUE!</v>
      </c>
      <c r="FV95" t="e">
        <f>AND(Bills!V318,"AAAAAGZ717E=")</f>
        <v>#VALUE!</v>
      </c>
      <c r="FW95" t="e">
        <f>AND(Bills!W318,"AAAAAGZ717I=")</f>
        <v>#VALUE!</v>
      </c>
      <c r="FX95" t="e">
        <f>AND(Bills!#REF!,"AAAAAGZ717M=")</f>
        <v>#REF!</v>
      </c>
      <c r="FY95" t="e">
        <f>AND(Bills!#REF!,"AAAAAGZ717Q=")</f>
        <v>#REF!</v>
      </c>
      <c r="FZ95" t="e">
        <f>AND(Bills!Y318,"AAAAAGZ717U=")</f>
        <v>#VALUE!</v>
      </c>
      <c r="GA95" t="e">
        <f>AND(Bills!Z318,"AAAAAGZ717Y=")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AND(Bills!AA318,"AAAAAGZ718A=")</f>
        <v>#VALUE!</v>
      </c>
      <c r="GL95" t="e">
        <f>AND(Bills!AB318,"AAAAAGZ718E=")</f>
        <v>#VALUE!</v>
      </c>
      <c r="GM95" t="e">
        <f>AND(Bills!#REF!,"AAAAAGZ718I=")</f>
        <v>#REF!</v>
      </c>
      <c r="GN95" t="e">
        <f>AND(Bills!#REF!,"AAAAAGZ718M=")</f>
        <v>#REF!</v>
      </c>
      <c r="GO95" t="e">
        <f>AND(Bills!#REF!,"AAAAAGZ718Q=")</f>
        <v>#REF!</v>
      </c>
      <c r="GP95" t="e">
        <f>AND(Bills!AC318,"AAAAAGZ718U=")</f>
        <v>#VALUE!</v>
      </c>
      <c r="GQ95" t="e">
        <f>AND(Bills!AD318,"AAAAAGZ718Y=")</f>
        <v>#VALUE!</v>
      </c>
      <c r="GR95" t="e">
        <f>AND(Bills!#REF!,"AAAAAGZ718c=")</f>
        <v>#REF!</v>
      </c>
      <c r="GS95">
        <f>IF(Bills!319:319,"AAAAAGZ718g=",0)</f>
        <v>0</v>
      </c>
      <c r="GT95" t="e">
        <f>AND(Bills!B319,"AAAAAGZ718k=")</f>
        <v>#VALUE!</v>
      </c>
      <c r="GU95" t="e">
        <f>AND(Bills!#REF!,"AAAAAGZ718o=")</f>
        <v>#REF!</v>
      </c>
      <c r="GV95" t="e">
        <f>AND(Bills!C319,"AAAAAGZ718s=")</f>
        <v>#VALUE!</v>
      </c>
      <c r="GW95" t="e">
        <f>AND(Bills!D319,"AAAAAGZ718w=")</f>
        <v>#VALUE!</v>
      </c>
      <c r="GX95" t="e">
        <f>AND(Bills!E319,"AAAAAGZ7180=")</f>
        <v>#VALUE!</v>
      </c>
      <c r="GY95" t="e">
        <f>AND(Bills!#REF!,"AAAAAGZ7184=")</f>
        <v>#REF!</v>
      </c>
      <c r="GZ95" t="e">
        <f>AND(Bills!#REF!,"AAAAAGZ7188=")</f>
        <v>#REF!</v>
      </c>
      <c r="HA95" t="e">
        <f>AND(Bills!#REF!,"AAAAAGZ719A=")</f>
        <v>#REF!</v>
      </c>
      <c r="HB95" t="e">
        <f>AND(Bills!F319,"AAAAAGZ719E=")</f>
        <v>#VALUE!</v>
      </c>
      <c r="HC95" t="e">
        <f>AND(Bills!#REF!,"AAAAAGZ719I=")</f>
        <v>#REF!</v>
      </c>
      <c r="HD95" t="e">
        <f>AND(Bills!G319,"AAAAAGZ719M=")</f>
        <v>#VALUE!</v>
      </c>
      <c r="HE95" t="e">
        <f>AND(Bills!H319,"AAAAAGZ719Q=")</f>
        <v>#VALUE!</v>
      </c>
      <c r="HF95" t="e">
        <f>AND(Bills!I319,"AAAAAGZ719U=")</f>
        <v>#VALUE!</v>
      </c>
      <c r="HG95" t="e">
        <f>AND(Bills!J319,"AAAAAGZ719Y=")</f>
        <v>#VALUE!</v>
      </c>
      <c r="HH95" t="e">
        <f>AND(Bills!K319,"AAAAAGZ719c=")</f>
        <v>#VALUE!</v>
      </c>
      <c r="HI95" t="e">
        <f>AND(Bills!L319,"AAAAAGZ719g=")</f>
        <v>#VALUE!</v>
      </c>
      <c r="HJ95" t="e">
        <f>AND(Bills!#REF!,"AAAAAGZ719k=")</f>
        <v>#REF!</v>
      </c>
      <c r="HK95" t="e">
        <f>AND(Bills!M319,"AAAAAGZ719o=")</f>
        <v>#VALUE!</v>
      </c>
      <c r="HL95" t="e">
        <f>AND(Bills!N319,"AAAAAGZ719s=")</f>
        <v>#VALUE!</v>
      </c>
      <c r="HM95" t="e">
        <f>AND(Bills!O319,"AAAAAGZ719w=")</f>
        <v>#VALUE!</v>
      </c>
      <c r="HN95" t="e">
        <f>AND(Bills!P319,"AAAAAGZ7190=")</f>
        <v>#VALUE!</v>
      </c>
      <c r="HO95" t="e">
        <f>AND(Bills!Q319,"AAAAAGZ7194=")</f>
        <v>#VALUE!</v>
      </c>
      <c r="HP95" t="e">
        <f>AND(Bills!R319,"AAAAAGZ7198=")</f>
        <v>#VALUE!</v>
      </c>
      <c r="HQ95" t="e">
        <f>AND(Bills!S319,"AAAAAGZ71+A=")</f>
        <v>#VALUE!</v>
      </c>
      <c r="HR95" t="e">
        <f>AND(Bills!T319,"AAAAAGZ71+E=")</f>
        <v>#VALUE!</v>
      </c>
      <c r="HS95" t="e">
        <f>AND(Bills!#REF!,"AAAAAGZ71+I=")</f>
        <v>#REF!</v>
      </c>
      <c r="HT95" t="e">
        <f>AND(Bills!U319,"AAAAAGZ71+M=")</f>
        <v>#VALUE!</v>
      </c>
      <c r="HU95" t="e">
        <f>AND(Bills!V319,"AAAAAGZ71+Q=")</f>
        <v>#VALUE!</v>
      </c>
      <c r="HV95" t="e">
        <f>AND(Bills!W319,"AAAAAGZ71+U=")</f>
        <v>#VALUE!</v>
      </c>
      <c r="HW95" t="e">
        <f>AND(Bills!#REF!,"AAAAAGZ71+Y=")</f>
        <v>#REF!</v>
      </c>
      <c r="HX95" t="e">
        <f>AND(Bills!#REF!,"AAAAAGZ71+c=")</f>
        <v>#REF!</v>
      </c>
      <c r="HY95" t="e">
        <f>AND(Bills!Y319,"AAAAAGZ71+g=")</f>
        <v>#VALUE!</v>
      </c>
      <c r="HZ95" t="e">
        <f>AND(Bills!Z319,"AAAAAGZ71+k=")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AND(Bills!AA319,"AAAAAGZ71/M=")</f>
        <v>#VALUE!</v>
      </c>
      <c r="IK95" t="e">
        <f>AND(Bills!AB319,"AAAAAGZ71/Q=")</f>
        <v>#VALUE!</v>
      </c>
      <c r="IL95" t="e">
        <f>AND(Bills!#REF!,"AAAAAGZ71/U=")</f>
        <v>#REF!</v>
      </c>
      <c r="IM95" t="e">
        <f>AND(Bills!#REF!,"AAAAAGZ71/Y=")</f>
        <v>#REF!</v>
      </c>
      <c r="IN95" t="e">
        <f>AND(Bills!#REF!,"AAAAAGZ71/c=")</f>
        <v>#REF!</v>
      </c>
      <c r="IO95" t="e">
        <f>AND(Bills!AC319,"AAAAAGZ71/g=")</f>
        <v>#VALUE!</v>
      </c>
      <c r="IP95" t="e">
        <f>AND(Bills!AD319,"AAAAAGZ71/k=")</f>
        <v>#VALUE!</v>
      </c>
      <c r="IQ95" t="e">
        <f>AND(Bills!#REF!,"AAAAAGZ71/o=")</f>
        <v>#REF!</v>
      </c>
      <c r="IR95">
        <f>IF(Bills!320:320,"AAAAAGZ71/s=",0)</f>
        <v>0</v>
      </c>
      <c r="IS95" t="e">
        <f>AND(Bills!B320,"AAAAAGZ71/w=")</f>
        <v>#VALUE!</v>
      </c>
      <c r="IT95" t="e">
        <f>AND(Bills!#REF!,"AAAAAGZ71/0=")</f>
        <v>#REF!</v>
      </c>
      <c r="IU95" t="e">
        <f>AND(Bills!C320,"AAAAAGZ71/4=")</f>
        <v>#VALUE!</v>
      </c>
      <c r="IV95" t="e">
        <f>AND(Bills!D320,"AAAAAGZ71/8=")</f>
        <v>#VALUE!</v>
      </c>
    </row>
    <row r="96" spans="1:256">
      <c r="A96" t="e">
        <f>AND(Bills!E320,"AAAAAHe/jwA=")</f>
        <v>#VALUE!</v>
      </c>
      <c r="B96" t="e">
        <f>AND(Bills!#REF!,"AAAAAHe/jwE=")</f>
        <v>#REF!</v>
      </c>
      <c r="C96" t="e">
        <f>AND(Bills!#REF!,"AAAAAHe/jwI=")</f>
        <v>#REF!</v>
      </c>
      <c r="D96" t="e">
        <f>AND(Bills!#REF!,"AAAAAHe/jwM=")</f>
        <v>#REF!</v>
      </c>
      <c r="E96" t="e">
        <f>AND(Bills!F320,"AAAAAHe/jwQ=")</f>
        <v>#VALUE!</v>
      </c>
      <c r="F96" t="e">
        <f>AND(Bills!#REF!,"AAAAAHe/jwU=")</f>
        <v>#REF!</v>
      </c>
      <c r="G96" t="e">
        <f>AND(Bills!G320,"AAAAAHe/jwY=")</f>
        <v>#VALUE!</v>
      </c>
      <c r="H96" t="e">
        <f>AND(Bills!H320,"AAAAAHe/jwc=")</f>
        <v>#VALUE!</v>
      </c>
      <c r="I96" t="e">
        <f>AND(Bills!I320,"AAAAAHe/jwg=")</f>
        <v>#VALUE!</v>
      </c>
      <c r="J96" t="e">
        <f>AND(Bills!J320,"AAAAAHe/jwk=")</f>
        <v>#VALUE!</v>
      </c>
      <c r="K96" t="e">
        <f>AND(Bills!K320,"AAAAAHe/jwo=")</f>
        <v>#VALUE!</v>
      </c>
      <c r="L96" t="e">
        <f>AND(Bills!L320,"AAAAAHe/jws=")</f>
        <v>#VALUE!</v>
      </c>
      <c r="M96" t="e">
        <f>AND(Bills!#REF!,"AAAAAHe/jww=")</f>
        <v>#REF!</v>
      </c>
      <c r="N96" t="e">
        <f>AND(Bills!M320,"AAAAAHe/jw0=")</f>
        <v>#VALUE!</v>
      </c>
      <c r="O96" t="e">
        <f>AND(Bills!N320,"AAAAAHe/jw4=")</f>
        <v>#VALUE!</v>
      </c>
      <c r="P96" t="e">
        <f>AND(Bills!O320,"AAAAAHe/jw8=")</f>
        <v>#VALUE!</v>
      </c>
      <c r="Q96" t="e">
        <f>AND(Bills!P320,"AAAAAHe/jxA=")</f>
        <v>#VALUE!</v>
      </c>
      <c r="R96" t="e">
        <f>AND(Bills!Q320,"AAAAAHe/jxE=")</f>
        <v>#VALUE!</v>
      </c>
      <c r="S96" t="e">
        <f>AND(Bills!R320,"AAAAAHe/jxI=")</f>
        <v>#VALUE!</v>
      </c>
      <c r="T96" t="e">
        <f>AND(Bills!S320,"AAAAAHe/jxM=")</f>
        <v>#VALUE!</v>
      </c>
      <c r="U96" t="e">
        <f>AND(Bills!T320,"AAAAAHe/jxQ=")</f>
        <v>#VALUE!</v>
      </c>
      <c r="V96" t="e">
        <f>AND(Bills!#REF!,"AAAAAHe/jxU=")</f>
        <v>#REF!</v>
      </c>
      <c r="W96" t="e">
        <f>AND(Bills!U320,"AAAAAHe/jxY=")</f>
        <v>#VALUE!</v>
      </c>
      <c r="X96" t="e">
        <f>AND(Bills!V320,"AAAAAHe/jxc=")</f>
        <v>#VALUE!</v>
      </c>
      <c r="Y96" t="e">
        <f>AND(Bills!W320,"AAAAAHe/jxg=")</f>
        <v>#VALUE!</v>
      </c>
      <c r="Z96" t="e">
        <f>AND(Bills!#REF!,"AAAAAHe/jxk=")</f>
        <v>#REF!</v>
      </c>
      <c r="AA96" t="e">
        <f>AND(Bills!#REF!,"AAAAAHe/jxo=")</f>
        <v>#REF!</v>
      </c>
      <c r="AB96" t="e">
        <f>AND(Bills!Y320,"AAAAAHe/jxs=")</f>
        <v>#VALUE!</v>
      </c>
      <c r="AC96" t="e">
        <f>AND(Bills!Z320,"AAAAAHe/jxw=")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AND(Bills!AA320,"AAAAAHe/jyY=")</f>
        <v>#VALUE!</v>
      </c>
      <c r="AN96" t="e">
        <f>AND(Bills!AB320,"AAAAAHe/jyc=")</f>
        <v>#VALUE!</v>
      </c>
      <c r="AO96" t="e">
        <f>AND(Bills!#REF!,"AAAAAHe/jyg=")</f>
        <v>#REF!</v>
      </c>
      <c r="AP96" t="e">
        <f>AND(Bills!#REF!,"AAAAAHe/jyk=")</f>
        <v>#REF!</v>
      </c>
      <c r="AQ96" t="e">
        <f>AND(Bills!#REF!,"AAAAAHe/jyo=")</f>
        <v>#REF!</v>
      </c>
      <c r="AR96" t="e">
        <f>AND(Bills!AC320,"AAAAAHe/jys=")</f>
        <v>#VALUE!</v>
      </c>
      <c r="AS96" t="e">
        <f>AND(Bills!AD320,"AAAAAHe/jyw=")</f>
        <v>#VALUE!</v>
      </c>
      <c r="AT96" t="e">
        <f>AND(Bills!#REF!,"AAAAAHe/jy0=")</f>
        <v>#REF!</v>
      </c>
      <c r="AU96">
        <f>IF(Bills!321:321,"AAAAAHe/jy4=",0)</f>
        <v>0</v>
      </c>
      <c r="AV96" t="e">
        <f>AND(Bills!B321,"AAAAAHe/jy8=")</f>
        <v>#VALUE!</v>
      </c>
      <c r="AW96" t="e">
        <f>AND(Bills!#REF!,"AAAAAHe/jzA=")</f>
        <v>#REF!</v>
      </c>
      <c r="AX96" t="e">
        <f>AND(Bills!C321,"AAAAAHe/jzE=")</f>
        <v>#VALUE!</v>
      </c>
      <c r="AY96" t="e">
        <f>AND(Bills!D321,"AAAAAHe/jzI=")</f>
        <v>#VALUE!</v>
      </c>
      <c r="AZ96" t="e">
        <f>AND(Bills!E321,"AAAAAHe/jzM=")</f>
        <v>#VALUE!</v>
      </c>
      <c r="BA96" t="e">
        <f>AND(Bills!#REF!,"AAAAAHe/jzQ=")</f>
        <v>#REF!</v>
      </c>
      <c r="BB96" t="e">
        <f>AND(Bills!#REF!,"AAAAAHe/jzU=")</f>
        <v>#REF!</v>
      </c>
      <c r="BC96" t="e">
        <f>AND(Bills!#REF!,"AAAAAHe/jzY=")</f>
        <v>#REF!</v>
      </c>
      <c r="BD96" t="e">
        <f>AND(Bills!F321,"AAAAAHe/jzc=")</f>
        <v>#VALUE!</v>
      </c>
      <c r="BE96" t="e">
        <f>AND(Bills!#REF!,"AAAAAHe/jzg=")</f>
        <v>#REF!</v>
      </c>
      <c r="BF96" t="e">
        <f>AND(Bills!G321,"AAAAAHe/jzk=")</f>
        <v>#VALUE!</v>
      </c>
      <c r="BG96" t="e">
        <f>AND(Bills!H321,"AAAAAHe/jzo=")</f>
        <v>#VALUE!</v>
      </c>
      <c r="BH96" t="e">
        <f>AND(Bills!I321,"AAAAAHe/jzs=")</f>
        <v>#VALUE!</v>
      </c>
      <c r="BI96" t="e">
        <f>AND(Bills!J321,"AAAAAHe/jzw=")</f>
        <v>#VALUE!</v>
      </c>
      <c r="BJ96" t="e">
        <f>AND(Bills!K321,"AAAAAHe/jz0=")</f>
        <v>#VALUE!</v>
      </c>
      <c r="BK96" t="e">
        <f>AND(Bills!L321,"AAAAAHe/jz4=")</f>
        <v>#VALUE!</v>
      </c>
      <c r="BL96" t="e">
        <f>AND(Bills!#REF!,"AAAAAHe/jz8=")</f>
        <v>#REF!</v>
      </c>
      <c r="BM96" t="e">
        <f>AND(Bills!M321,"AAAAAHe/j0A=")</f>
        <v>#VALUE!</v>
      </c>
      <c r="BN96" t="e">
        <f>AND(Bills!N321,"AAAAAHe/j0E=")</f>
        <v>#VALUE!</v>
      </c>
      <c r="BO96" t="e">
        <f>AND(Bills!O321,"AAAAAHe/j0I=")</f>
        <v>#VALUE!</v>
      </c>
      <c r="BP96" t="e">
        <f>AND(Bills!P321,"AAAAAHe/j0M=")</f>
        <v>#VALUE!</v>
      </c>
      <c r="BQ96" t="e">
        <f>AND(Bills!Q321,"AAAAAHe/j0Q=")</f>
        <v>#VALUE!</v>
      </c>
      <c r="BR96" t="e">
        <f>AND(Bills!R321,"AAAAAHe/j0U=")</f>
        <v>#VALUE!</v>
      </c>
      <c r="BS96" t="e">
        <f>AND(Bills!S321,"AAAAAHe/j0Y=")</f>
        <v>#VALUE!</v>
      </c>
      <c r="BT96" t="e">
        <f>AND(Bills!T321,"AAAAAHe/j0c=")</f>
        <v>#VALUE!</v>
      </c>
      <c r="BU96" t="e">
        <f>AND(Bills!#REF!,"AAAAAHe/j0g=")</f>
        <v>#REF!</v>
      </c>
      <c r="BV96" t="e">
        <f>AND(Bills!U321,"AAAAAHe/j0k=")</f>
        <v>#VALUE!</v>
      </c>
      <c r="BW96" t="e">
        <f>AND(Bills!V321,"AAAAAHe/j0o=")</f>
        <v>#VALUE!</v>
      </c>
      <c r="BX96" t="e">
        <f>AND(Bills!W321,"AAAAAHe/j0s=")</f>
        <v>#VALUE!</v>
      </c>
      <c r="BY96" t="e">
        <f>AND(Bills!#REF!,"AAAAAHe/j0w=")</f>
        <v>#REF!</v>
      </c>
      <c r="BZ96" t="e">
        <f>AND(Bills!#REF!,"AAAAAHe/j00=")</f>
        <v>#REF!</v>
      </c>
      <c r="CA96" t="e">
        <f>AND(Bills!Y321,"AAAAAHe/j04=")</f>
        <v>#VALUE!</v>
      </c>
      <c r="CB96" t="e">
        <f>AND(Bills!Z321,"AAAAAHe/j08=")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AND(Bills!AA321,"AAAAAHe/j1k=")</f>
        <v>#VALUE!</v>
      </c>
      <c r="CM96" t="e">
        <f>AND(Bills!AB321,"AAAAAHe/j1o=")</f>
        <v>#VALUE!</v>
      </c>
      <c r="CN96" t="e">
        <f>AND(Bills!#REF!,"AAAAAHe/j1s=")</f>
        <v>#REF!</v>
      </c>
      <c r="CO96" t="e">
        <f>AND(Bills!#REF!,"AAAAAHe/j1w=")</f>
        <v>#REF!</v>
      </c>
      <c r="CP96" t="e">
        <f>AND(Bills!#REF!,"AAAAAHe/j10=")</f>
        <v>#REF!</v>
      </c>
      <c r="CQ96" t="e">
        <f>AND(Bills!AC321,"AAAAAHe/j14=")</f>
        <v>#VALUE!</v>
      </c>
      <c r="CR96" t="e">
        <f>AND(Bills!AD321,"AAAAAHe/j18=")</f>
        <v>#VALUE!</v>
      </c>
      <c r="CS96" t="e">
        <f>AND(Bills!#REF!,"AAAAAHe/j2A=")</f>
        <v>#REF!</v>
      </c>
      <c r="CT96">
        <f>IF(Bills!322:322,"AAAAAHe/j2E=",0)</f>
        <v>0</v>
      </c>
      <c r="CU96" t="e">
        <f>AND(Bills!B322,"AAAAAHe/j2I=")</f>
        <v>#VALUE!</v>
      </c>
      <c r="CV96" t="e">
        <f>AND(Bills!#REF!,"AAAAAHe/j2M=")</f>
        <v>#REF!</v>
      </c>
      <c r="CW96" t="e">
        <f>AND(Bills!C322,"AAAAAHe/j2Q=")</f>
        <v>#VALUE!</v>
      </c>
      <c r="CX96" t="e">
        <f>AND(Bills!D322,"AAAAAHe/j2U=")</f>
        <v>#VALUE!</v>
      </c>
      <c r="CY96" t="e">
        <f>AND(Bills!E322,"AAAAAHe/j2Y=")</f>
        <v>#VALUE!</v>
      </c>
      <c r="CZ96" t="e">
        <f>AND(Bills!#REF!,"AAAAAHe/j2c=")</f>
        <v>#REF!</v>
      </c>
      <c r="DA96" t="e">
        <f>AND(Bills!#REF!,"AAAAAHe/j2g=")</f>
        <v>#REF!</v>
      </c>
      <c r="DB96" t="e">
        <f>AND(Bills!#REF!,"AAAAAHe/j2k=")</f>
        <v>#REF!</v>
      </c>
      <c r="DC96" t="e">
        <f>AND(Bills!F322,"AAAAAHe/j2o=")</f>
        <v>#VALUE!</v>
      </c>
      <c r="DD96" t="e">
        <f>AND(Bills!#REF!,"AAAAAHe/j2s=")</f>
        <v>#REF!</v>
      </c>
      <c r="DE96" t="e">
        <f>AND(Bills!G322,"AAAAAHe/j2w=")</f>
        <v>#VALUE!</v>
      </c>
      <c r="DF96" t="e">
        <f>AND(Bills!H322,"AAAAAHe/j20=")</f>
        <v>#VALUE!</v>
      </c>
      <c r="DG96" t="e">
        <f>AND(Bills!I322,"AAAAAHe/j24=")</f>
        <v>#VALUE!</v>
      </c>
      <c r="DH96" t="e">
        <f>AND(Bills!J322,"AAAAAHe/j28=")</f>
        <v>#VALUE!</v>
      </c>
      <c r="DI96" t="e">
        <f>AND(Bills!K322,"AAAAAHe/j3A=")</f>
        <v>#VALUE!</v>
      </c>
      <c r="DJ96" t="e">
        <f>AND(Bills!L322,"AAAAAHe/j3E=")</f>
        <v>#VALUE!</v>
      </c>
      <c r="DK96" t="e">
        <f>AND(Bills!#REF!,"AAAAAHe/j3I=")</f>
        <v>#REF!</v>
      </c>
      <c r="DL96" t="e">
        <f>AND(Bills!M322,"AAAAAHe/j3M=")</f>
        <v>#VALUE!</v>
      </c>
      <c r="DM96" t="e">
        <f>AND(Bills!N322,"AAAAAHe/j3Q=")</f>
        <v>#VALUE!</v>
      </c>
      <c r="DN96" t="e">
        <f>AND(Bills!O322,"AAAAAHe/j3U=")</f>
        <v>#VALUE!</v>
      </c>
      <c r="DO96" t="e">
        <f>AND(Bills!P322,"AAAAAHe/j3Y=")</f>
        <v>#VALUE!</v>
      </c>
      <c r="DP96" t="e">
        <f>AND(Bills!Q322,"AAAAAHe/j3c=")</f>
        <v>#VALUE!</v>
      </c>
      <c r="DQ96" t="e">
        <f>AND(Bills!R322,"AAAAAHe/j3g=")</f>
        <v>#VALUE!</v>
      </c>
      <c r="DR96" t="e">
        <f>AND(Bills!S322,"AAAAAHe/j3k=")</f>
        <v>#VALUE!</v>
      </c>
      <c r="DS96" t="e">
        <f>AND(Bills!T322,"AAAAAHe/j3o=")</f>
        <v>#VALUE!</v>
      </c>
      <c r="DT96" t="e">
        <f>AND(Bills!#REF!,"AAAAAHe/j3s=")</f>
        <v>#REF!</v>
      </c>
      <c r="DU96" t="e">
        <f>AND(Bills!U322,"AAAAAHe/j3w=")</f>
        <v>#VALUE!</v>
      </c>
      <c r="DV96" t="e">
        <f>AND(Bills!V322,"AAAAAHe/j30=")</f>
        <v>#VALUE!</v>
      </c>
      <c r="DW96" t="e">
        <f>AND(Bills!W322,"AAAAAHe/j34=")</f>
        <v>#VALUE!</v>
      </c>
      <c r="DX96" t="e">
        <f>AND(Bills!#REF!,"AAAAAHe/j38=")</f>
        <v>#REF!</v>
      </c>
      <c r="DY96" t="e">
        <f>AND(Bills!#REF!,"AAAAAHe/j4A=")</f>
        <v>#REF!</v>
      </c>
      <c r="DZ96" t="e">
        <f>AND(Bills!Y322,"AAAAAHe/j4E=")</f>
        <v>#VALUE!</v>
      </c>
      <c r="EA96" t="e">
        <f>AND(Bills!Z322,"AAAAAHe/j4I=")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AND(Bills!AA322,"AAAAAHe/j4w=")</f>
        <v>#VALUE!</v>
      </c>
      <c r="EL96" t="e">
        <f>AND(Bills!AB322,"AAAAAHe/j40=")</f>
        <v>#VALUE!</v>
      </c>
      <c r="EM96" t="e">
        <f>AND(Bills!#REF!,"AAAAAHe/j44=")</f>
        <v>#REF!</v>
      </c>
      <c r="EN96" t="e">
        <f>AND(Bills!#REF!,"AAAAAHe/j48=")</f>
        <v>#REF!</v>
      </c>
      <c r="EO96" t="e">
        <f>AND(Bills!#REF!,"AAAAAHe/j5A=")</f>
        <v>#REF!</v>
      </c>
      <c r="EP96" t="e">
        <f>AND(Bills!AC322,"AAAAAHe/j5E=")</f>
        <v>#VALUE!</v>
      </c>
      <c r="EQ96" t="e">
        <f>AND(Bills!AD322,"AAAAAHe/j5I=")</f>
        <v>#VALUE!</v>
      </c>
      <c r="ER96" t="e">
        <f>AND(Bills!#REF!,"AAAAAHe/j5M=")</f>
        <v>#REF!</v>
      </c>
      <c r="ES96">
        <f>IF(Bills!323:323,"AAAAAHe/j5Q=",0)</f>
        <v>0</v>
      </c>
      <c r="ET96" t="e">
        <f>AND(Bills!B323,"AAAAAHe/j5U=")</f>
        <v>#VALUE!</v>
      </c>
      <c r="EU96" t="e">
        <f>AND(Bills!#REF!,"AAAAAHe/j5Y=")</f>
        <v>#REF!</v>
      </c>
      <c r="EV96" t="e">
        <f>AND(Bills!C323,"AAAAAHe/j5c=")</f>
        <v>#VALUE!</v>
      </c>
      <c r="EW96" t="e">
        <f>AND(Bills!D323,"AAAAAHe/j5g=")</f>
        <v>#VALUE!</v>
      </c>
      <c r="EX96" t="e">
        <f>AND(Bills!E323,"AAAAAHe/j5k=")</f>
        <v>#VALUE!</v>
      </c>
      <c r="EY96" t="e">
        <f>AND(Bills!#REF!,"AAAAAHe/j5o=")</f>
        <v>#REF!</v>
      </c>
      <c r="EZ96" t="e">
        <f>AND(Bills!#REF!,"AAAAAHe/j5s=")</f>
        <v>#REF!</v>
      </c>
      <c r="FA96" t="e">
        <f>AND(Bills!#REF!,"AAAAAHe/j5w=")</f>
        <v>#REF!</v>
      </c>
      <c r="FB96" t="e">
        <f>AND(Bills!F323,"AAAAAHe/j50=")</f>
        <v>#VALUE!</v>
      </c>
      <c r="FC96" t="e">
        <f>AND(Bills!#REF!,"AAAAAHe/j54=")</f>
        <v>#REF!</v>
      </c>
      <c r="FD96" t="e">
        <f>AND(Bills!G323,"AAAAAHe/j58=")</f>
        <v>#VALUE!</v>
      </c>
      <c r="FE96" t="e">
        <f>AND(Bills!H323,"AAAAAHe/j6A=")</f>
        <v>#VALUE!</v>
      </c>
      <c r="FF96" t="e">
        <f>AND(Bills!I323,"AAAAAHe/j6E=")</f>
        <v>#VALUE!</v>
      </c>
      <c r="FG96" t="e">
        <f>AND(Bills!J323,"AAAAAHe/j6I=")</f>
        <v>#VALUE!</v>
      </c>
      <c r="FH96" t="e">
        <f>AND(Bills!K323,"AAAAAHe/j6M=")</f>
        <v>#VALUE!</v>
      </c>
      <c r="FI96" t="e">
        <f>AND(Bills!L323,"AAAAAHe/j6Q=")</f>
        <v>#VALUE!</v>
      </c>
      <c r="FJ96" t="e">
        <f>AND(Bills!#REF!,"AAAAAHe/j6U=")</f>
        <v>#REF!</v>
      </c>
      <c r="FK96" t="e">
        <f>AND(Bills!M323,"AAAAAHe/j6Y=")</f>
        <v>#VALUE!</v>
      </c>
      <c r="FL96" t="e">
        <f>AND(Bills!N323,"AAAAAHe/j6c=")</f>
        <v>#VALUE!</v>
      </c>
      <c r="FM96" t="e">
        <f>AND(Bills!O323,"AAAAAHe/j6g=")</f>
        <v>#VALUE!</v>
      </c>
      <c r="FN96" t="e">
        <f>AND(Bills!P323,"AAAAAHe/j6k=")</f>
        <v>#VALUE!</v>
      </c>
      <c r="FO96" t="e">
        <f>AND(Bills!Q323,"AAAAAHe/j6o=")</f>
        <v>#VALUE!</v>
      </c>
      <c r="FP96" t="e">
        <f>AND(Bills!R323,"AAAAAHe/j6s=")</f>
        <v>#VALUE!</v>
      </c>
      <c r="FQ96" t="e">
        <f>AND(Bills!S323,"AAAAAHe/j6w=")</f>
        <v>#VALUE!</v>
      </c>
      <c r="FR96" t="e">
        <f>AND(Bills!T323,"AAAAAHe/j60=")</f>
        <v>#VALUE!</v>
      </c>
      <c r="FS96" t="e">
        <f>AND(Bills!#REF!,"AAAAAHe/j64=")</f>
        <v>#REF!</v>
      </c>
      <c r="FT96" t="e">
        <f>AND(Bills!U323,"AAAAAHe/j68=")</f>
        <v>#VALUE!</v>
      </c>
      <c r="FU96" t="e">
        <f>AND(Bills!V323,"AAAAAHe/j7A=")</f>
        <v>#VALUE!</v>
      </c>
      <c r="FV96" t="e">
        <f>AND(Bills!W323,"AAAAAHe/j7E=")</f>
        <v>#VALUE!</v>
      </c>
      <c r="FW96" t="e">
        <f>AND(Bills!#REF!,"AAAAAHe/j7I=")</f>
        <v>#REF!</v>
      </c>
      <c r="FX96" t="e">
        <f>AND(Bills!#REF!,"AAAAAHe/j7M=")</f>
        <v>#REF!</v>
      </c>
      <c r="FY96" t="e">
        <f>AND(Bills!Y323,"AAAAAHe/j7Q=")</f>
        <v>#VALUE!</v>
      </c>
      <c r="FZ96" t="e">
        <f>AND(Bills!Z323,"AAAAAHe/j7U=")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AND(Bills!AA323,"AAAAAHe/j78=")</f>
        <v>#VALUE!</v>
      </c>
      <c r="GK96" t="e">
        <f>AND(Bills!AB323,"AAAAAHe/j8A=")</f>
        <v>#VALUE!</v>
      </c>
      <c r="GL96" t="e">
        <f>AND(Bills!#REF!,"AAAAAHe/j8E=")</f>
        <v>#REF!</v>
      </c>
      <c r="GM96" t="e">
        <f>AND(Bills!#REF!,"AAAAAHe/j8I=")</f>
        <v>#REF!</v>
      </c>
      <c r="GN96" t="e">
        <f>AND(Bills!#REF!,"AAAAAHe/j8M=")</f>
        <v>#REF!</v>
      </c>
      <c r="GO96" t="e">
        <f>AND(Bills!AC323,"AAAAAHe/j8Q=")</f>
        <v>#VALUE!</v>
      </c>
      <c r="GP96" t="e">
        <f>AND(Bills!AD323,"AAAAAHe/j8U=")</f>
        <v>#VALUE!</v>
      </c>
      <c r="GQ96" t="e">
        <f>AND(Bills!#REF!,"AAAAAHe/j8Y=")</f>
        <v>#REF!</v>
      </c>
      <c r="GR96">
        <f>IF(Bills!324:324,"AAAAAHe/j8c=",0)</f>
        <v>0</v>
      </c>
      <c r="GS96" t="e">
        <f>AND(Bills!B324,"AAAAAHe/j8g=")</f>
        <v>#VALUE!</v>
      </c>
      <c r="GT96" t="e">
        <f>AND(Bills!#REF!,"AAAAAHe/j8k=")</f>
        <v>#REF!</v>
      </c>
      <c r="GU96" t="e">
        <f>AND(Bills!C324,"AAAAAHe/j8o=")</f>
        <v>#VALUE!</v>
      </c>
      <c r="GV96" t="e">
        <f>AND(Bills!D324,"AAAAAHe/j8s=")</f>
        <v>#VALUE!</v>
      </c>
      <c r="GW96" t="e">
        <f>AND(Bills!E324,"AAAAAHe/j8w=")</f>
        <v>#VALUE!</v>
      </c>
      <c r="GX96" t="e">
        <f>AND(Bills!#REF!,"AAAAAHe/j80=")</f>
        <v>#REF!</v>
      </c>
      <c r="GY96" t="e">
        <f>AND(Bills!#REF!,"AAAAAHe/j84=")</f>
        <v>#REF!</v>
      </c>
      <c r="GZ96" t="e">
        <f>AND(Bills!#REF!,"AAAAAHe/j88=")</f>
        <v>#REF!</v>
      </c>
      <c r="HA96" t="e">
        <f>AND(Bills!F324,"AAAAAHe/j9A=")</f>
        <v>#VALUE!</v>
      </c>
      <c r="HB96" t="e">
        <f>AND(Bills!#REF!,"AAAAAHe/j9E=")</f>
        <v>#REF!</v>
      </c>
      <c r="HC96" t="e">
        <f>AND(Bills!G324,"AAAAAHe/j9I=")</f>
        <v>#VALUE!</v>
      </c>
      <c r="HD96" t="e">
        <f>AND(Bills!H324,"AAAAAHe/j9M=")</f>
        <v>#VALUE!</v>
      </c>
      <c r="HE96" t="e">
        <f>AND(Bills!I324,"AAAAAHe/j9Q=")</f>
        <v>#VALUE!</v>
      </c>
      <c r="HF96" t="e">
        <f>AND(Bills!J324,"AAAAAHe/j9U=")</f>
        <v>#VALUE!</v>
      </c>
      <c r="HG96" t="e">
        <f>AND(Bills!K324,"AAAAAHe/j9Y=")</f>
        <v>#VALUE!</v>
      </c>
      <c r="HH96" t="e">
        <f>AND(Bills!L324,"AAAAAHe/j9c=")</f>
        <v>#VALUE!</v>
      </c>
      <c r="HI96" t="e">
        <f>AND(Bills!#REF!,"AAAAAHe/j9g=")</f>
        <v>#REF!</v>
      </c>
      <c r="HJ96" t="e">
        <f>AND(Bills!M324,"AAAAAHe/j9k=")</f>
        <v>#VALUE!</v>
      </c>
      <c r="HK96" t="e">
        <f>AND(Bills!N324,"AAAAAHe/j9o=")</f>
        <v>#VALUE!</v>
      </c>
      <c r="HL96" t="e">
        <f>AND(Bills!O324,"AAAAAHe/j9s=")</f>
        <v>#VALUE!</v>
      </c>
      <c r="HM96" t="e">
        <f>AND(Bills!P324,"AAAAAHe/j9w=")</f>
        <v>#VALUE!</v>
      </c>
      <c r="HN96" t="e">
        <f>AND(Bills!Q324,"AAAAAHe/j90=")</f>
        <v>#VALUE!</v>
      </c>
      <c r="HO96" t="e">
        <f>AND(Bills!R324,"AAAAAHe/j94=")</f>
        <v>#VALUE!</v>
      </c>
      <c r="HP96" t="e">
        <f>AND(Bills!S324,"AAAAAHe/j98=")</f>
        <v>#VALUE!</v>
      </c>
      <c r="HQ96" t="e">
        <f>AND(Bills!T324,"AAAAAHe/j+A=")</f>
        <v>#VALUE!</v>
      </c>
      <c r="HR96" t="e">
        <f>AND(Bills!#REF!,"AAAAAHe/j+E=")</f>
        <v>#REF!</v>
      </c>
      <c r="HS96" t="e">
        <f>AND(Bills!U324,"AAAAAHe/j+I=")</f>
        <v>#VALUE!</v>
      </c>
      <c r="HT96" t="e">
        <f>AND(Bills!V324,"AAAAAHe/j+M=")</f>
        <v>#VALUE!</v>
      </c>
      <c r="HU96" t="e">
        <f>AND(Bills!W324,"AAAAAHe/j+Q=")</f>
        <v>#VALUE!</v>
      </c>
      <c r="HV96" t="e">
        <f>AND(Bills!#REF!,"AAAAAHe/j+U=")</f>
        <v>#REF!</v>
      </c>
      <c r="HW96" t="e">
        <f>AND(Bills!#REF!,"AAAAAHe/j+Y=")</f>
        <v>#REF!</v>
      </c>
      <c r="HX96" t="e">
        <f>AND(Bills!Y324,"AAAAAHe/j+c=")</f>
        <v>#VALUE!</v>
      </c>
      <c r="HY96" t="e">
        <f>AND(Bills!Z324,"AAAAAHe/j+g=")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AND(Bills!AA324,"AAAAAHe/j/I=")</f>
        <v>#VALUE!</v>
      </c>
      <c r="IJ96" t="e">
        <f>AND(Bills!AB324,"AAAAAHe/j/M=")</f>
        <v>#VALUE!</v>
      </c>
      <c r="IK96" t="e">
        <f>AND(Bills!#REF!,"AAAAAHe/j/Q=")</f>
        <v>#REF!</v>
      </c>
      <c r="IL96" t="e">
        <f>AND(Bills!#REF!,"AAAAAHe/j/U=")</f>
        <v>#REF!</v>
      </c>
      <c r="IM96" t="e">
        <f>AND(Bills!#REF!,"AAAAAHe/j/Y=")</f>
        <v>#REF!</v>
      </c>
      <c r="IN96" t="e">
        <f>AND(Bills!AC324,"AAAAAHe/j/c=")</f>
        <v>#VALUE!</v>
      </c>
      <c r="IO96" t="e">
        <f>AND(Bills!AD324,"AAAAAHe/j/g=")</f>
        <v>#VALUE!</v>
      </c>
      <c r="IP96" t="e">
        <f>AND(Bills!#REF!,"AAAAAHe/j/k=")</f>
        <v>#REF!</v>
      </c>
      <c r="IQ96">
        <f>IF(Bills!325:325,"AAAAAHe/j/o=",0)</f>
        <v>0</v>
      </c>
      <c r="IR96" t="e">
        <f>AND(Bills!B325,"AAAAAHe/j/s=")</f>
        <v>#VALUE!</v>
      </c>
      <c r="IS96" t="e">
        <f>AND(Bills!#REF!,"AAAAAHe/j/w=")</f>
        <v>#REF!</v>
      </c>
      <c r="IT96" t="e">
        <f>AND(Bills!C325,"AAAAAHe/j/0=")</f>
        <v>#VALUE!</v>
      </c>
      <c r="IU96" t="e">
        <f>AND(Bills!D325,"AAAAAHe/j/4=")</f>
        <v>#VALUE!</v>
      </c>
      <c r="IV96" t="e">
        <f>AND(Bills!E325,"AAAAAHe/j/8=")</f>
        <v>#VALUE!</v>
      </c>
    </row>
    <row r="97" spans="1:256">
      <c r="A97" t="e">
        <f>AND(Bills!#REF!,"AAAAADs2/wA=")</f>
        <v>#REF!</v>
      </c>
      <c r="B97" t="e">
        <f>AND(Bills!#REF!,"AAAAADs2/wE=")</f>
        <v>#REF!</v>
      </c>
      <c r="C97" t="e">
        <f>AND(Bills!#REF!,"AAAAADs2/wI=")</f>
        <v>#REF!</v>
      </c>
      <c r="D97" t="e">
        <f>AND(Bills!F325,"AAAAADs2/wM=")</f>
        <v>#VALUE!</v>
      </c>
      <c r="E97" t="e">
        <f>AND(Bills!#REF!,"AAAAADs2/wQ=")</f>
        <v>#REF!</v>
      </c>
      <c r="F97" t="e">
        <f>AND(Bills!G325,"AAAAADs2/wU=")</f>
        <v>#VALUE!</v>
      </c>
      <c r="G97" t="e">
        <f>AND(Bills!H325,"AAAAADs2/wY=")</f>
        <v>#VALUE!</v>
      </c>
      <c r="H97" t="e">
        <f>AND(Bills!I325,"AAAAADs2/wc=")</f>
        <v>#VALUE!</v>
      </c>
      <c r="I97" t="e">
        <f>AND(Bills!J325,"AAAAADs2/wg=")</f>
        <v>#VALUE!</v>
      </c>
      <c r="J97" t="e">
        <f>AND(Bills!K325,"AAAAADs2/wk=")</f>
        <v>#VALUE!</v>
      </c>
      <c r="K97" t="e">
        <f>AND(Bills!L325,"AAAAADs2/wo=")</f>
        <v>#VALUE!</v>
      </c>
      <c r="L97" t="e">
        <f>AND(Bills!#REF!,"AAAAADs2/ws=")</f>
        <v>#REF!</v>
      </c>
      <c r="M97" t="e">
        <f>AND(Bills!M325,"AAAAADs2/ww=")</f>
        <v>#VALUE!</v>
      </c>
      <c r="N97" t="e">
        <f>AND(Bills!N325,"AAAAADs2/w0=")</f>
        <v>#VALUE!</v>
      </c>
      <c r="O97" t="e">
        <f>AND(Bills!O325,"AAAAADs2/w4=")</f>
        <v>#VALUE!</v>
      </c>
      <c r="P97" t="e">
        <f>AND(Bills!P325,"AAAAADs2/w8=")</f>
        <v>#VALUE!</v>
      </c>
      <c r="Q97" t="e">
        <f>AND(Bills!Q325,"AAAAADs2/xA=")</f>
        <v>#VALUE!</v>
      </c>
      <c r="R97" t="e">
        <f>AND(Bills!R325,"AAAAADs2/xE=")</f>
        <v>#VALUE!</v>
      </c>
      <c r="S97" t="e">
        <f>AND(Bills!S325,"AAAAADs2/xI=")</f>
        <v>#VALUE!</v>
      </c>
      <c r="T97" t="e">
        <f>AND(Bills!T325,"AAAAADs2/xM=")</f>
        <v>#VALUE!</v>
      </c>
      <c r="U97" t="e">
        <f>AND(Bills!#REF!,"AAAAADs2/xQ=")</f>
        <v>#REF!</v>
      </c>
      <c r="V97" t="e">
        <f>AND(Bills!U325,"AAAAADs2/xU=")</f>
        <v>#VALUE!</v>
      </c>
      <c r="W97" t="e">
        <f>AND(Bills!V325,"AAAAADs2/xY=")</f>
        <v>#VALUE!</v>
      </c>
      <c r="X97" t="e">
        <f>AND(Bills!W325,"AAAAADs2/xc=")</f>
        <v>#VALUE!</v>
      </c>
      <c r="Y97" t="e">
        <f>AND(Bills!#REF!,"AAAAADs2/xg=")</f>
        <v>#REF!</v>
      </c>
      <c r="Z97" t="e">
        <f>AND(Bills!#REF!,"AAAAADs2/xk=")</f>
        <v>#REF!</v>
      </c>
      <c r="AA97" t="e">
        <f>AND(Bills!Y325,"AAAAADs2/xo=")</f>
        <v>#VALUE!</v>
      </c>
      <c r="AB97" t="e">
        <f>AND(Bills!Z325,"AAAAADs2/xs=")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AND(Bills!AA325,"AAAAADs2/yU=")</f>
        <v>#VALUE!</v>
      </c>
      <c r="AM97" t="e">
        <f>AND(Bills!AB325,"AAAAADs2/yY=")</f>
        <v>#VALUE!</v>
      </c>
      <c r="AN97" t="e">
        <f>AND(Bills!#REF!,"AAAAADs2/yc=")</f>
        <v>#REF!</v>
      </c>
      <c r="AO97" t="e">
        <f>AND(Bills!#REF!,"AAAAADs2/yg=")</f>
        <v>#REF!</v>
      </c>
      <c r="AP97" t="e">
        <f>AND(Bills!#REF!,"AAAAADs2/yk=")</f>
        <v>#REF!</v>
      </c>
      <c r="AQ97" t="e">
        <f>AND(Bills!AC325,"AAAAADs2/yo=")</f>
        <v>#VALUE!</v>
      </c>
      <c r="AR97" t="e">
        <f>AND(Bills!AD325,"AAAAADs2/ys=")</f>
        <v>#VALUE!</v>
      </c>
      <c r="AS97" t="e">
        <f>AND(Bills!#REF!,"AAAAADs2/yw=")</f>
        <v>#REF!</v>
      </c>
      <c r="AT97">
        <f>IF(Bills!326:326,"AAAAADs2/y0=",0)</f>
        <v>0</v>
      </c>
      <c r="AU97" t="e">
        <f>AND(Bills!B326,"AAAAADs2/y4=")</f>
        <v>#VALUE!</v>
      </c>
      <c r="AV97" t="e">
        <f>AND(Bills!#REF!,"AAAAADs2/y8=")</f>
        <v>#REF!</v>
      </c>
      <c r="AW97" t="e">
        <f>AND(Bills!C326,"AAAAADs2/zA=")</f>
        <v>#VALUE!</v>
      </c>
      <c r="AX97" t="e">
        <f>AND(Bills!D326,"AAAAADs2/zE=")</f>
        <v>#VALUE!</v>
      </c>
      <c r="AY97" t="e">
        <f>AND(Bills!E326,"AAAAADs2/zI=")</f>
        <v>#VALUE!</v>
      </c>
      <c r="AZ97" t="e">
        <f>AND(Bills!#REF!,"AAAAADs2/zM=")</f>
        <v>#REF!</v>
      </c>
      <c r="BA97" t="e">
        <f>AND(Bills!#REF!,"AAAAADs2/zQ=")</f>
        <v>#REF!</v>
      </c>
      <c r="BB97" t="e">
        <f>AND(Bills!#REF!,"AAAAADs2/zU=")</f>
        <v>#REF!</v>
      </c>
      <c r="BC97" t="e">
        <f>AND(Bills!F326,"AAAAADs2/zY=")</f>
        <v>#VALUE!</v>
      </c>
      <c r="BD97" t="e">
        <f>AND(Bills!#REF!,"AAAAADs2/zc=")</f>
        <v>#REF!</v>
      </c>
      <c r="BE97" t="e">
        <f>AND(Bills!G326,"AAAAADs2/zg=")</f>
        <v>#VALUE!</v>
      </c>
      <c r="BF97" t="e">
        <f>AND(Bills!H326,"AAAAADs2/zk=")</f>
        <v>#VALUE!</v>
      </c>
      <c r="BG97" t="e">
        <f>AND(Bills!I326,"AAAAADs2/zo=")</f>
        <v>#VALUE!</v>
      </c>
      <c r="BH97" t="e">
        <f>AND(Bills!J326,"AAAAADs2/zs=")</f>
        <v>#VALUE!</v>
      </c>
      <c r="BI97" t="e">
        <f>AND(Bills!K326,"AAAAADs2/zw=")</f>
        <v>#VALUE!</v>
      </c>
      <c r="BJ97" t="e">
        <f>AND(Bills!L326,"AAAAADs2/z0=")</f>
        <v>#VALUE!</v>
      </c>
      <c r="BK97" t="e">
        <f>AND(Bills!#REF!,"AAAAADs2/z4=")</f>
        <v>#REF!</v>
      </c>
      <c r="BL97" t="e">
        <f>AND(Bills!M326,"AAAAADs2/z8=")</f>
        <v>#VALUE!</v>
      </c>
      <c r="BM97" t="e">
        <f>AND(Bills!N326,"AAAAADs2/0A=")</f>
        <v>#VALUE!</v>
      </c>
      <c r="BN97" t="e">
        <f>AND(Bills!O326,"AAAAADs2/0E=")</f>
        <v>#VALUE!</v>
      </c>
      <c r="BO97" t="e">
        <f>AND(Bills!P326,"AAAAADs2/0I=")</f>
        <v>#VALUE!</v>
      </c>
      <c r="BP97" t="e">
        <f>AND(Bills!Q326,"AAAAADs2/0M=")</f>
        <v>#VALUE!</v>
      </c>
      <c r="BQ97" t="e">
        <f>AND(Bills!R326,"AAAAADs2/0Q=")</f>
        <v>#VALUE!</v>
      </c>
      <c r="BR97" t="e">
        <f>AND(Bills!S326,"AAAAADs2/0U=")</f>
        <v>#VALUE!</v>
      </c>
      <c r="BS97" t="e">
        <f>AND(Bills!T326,"AAAAADs2/0Y=")</f>
        <v>#VALUE!</v>
      </c>
      <c r="BT97" t="e">
        <f>AND(Bills!#REF!,"AAAAADs2/0c=")</f>
        <v>#REF!</v>
      </c>
      <c r="BU97" t="e">
        <f>AND(Bills!U326,"AAAAADs2/0g=")</f>
        <v>#VALUE!</v>
      </c>
      <c r="BV97" t="e">
        <f>AND(Bills!V326,"AAAAADs2/0k=")</f>
        <v>#VALUE!</v>
      </c>
      <c r="BW97" t="e">
        <f>AND(Bills!W326,"AAAAADs2/0o=")</f>
        <v>#VALUE!</v>
      </c>
      <c r="BX97" t="e">
        <f>AND(Bills!#REF!,"AAAAADs2/0s=")</f>
        <v>#REF!</v>
      </c>
      <c r="BY97" t="e">
        <f>AND(Bills!#REF!,"AAAAADs2/0w=")</f>
        <v>#REF!</v>
      </c>
      <c r="BZ97" t="e">
        <f>AND(Bills!Y326,"AAAAADs2/00=")</f>
        <v>#VALUE!</v>
      </c>
      <c r="CA97" t="e">
        <f>AND(Bills!Z326,"AAAAADs2/04=")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AND(Bills!AA326,"AAAAADs2/1g=")</f>
        <v>#VALUE!</v>
      </c>
      <c r="CL97" t="e">
        <f>AND(Bills!AB326,"AAAAADs2/1k=")</f>
        <v>#VALUE!</v>
      </c>
      <c r="CM97" t="e">
        <f>AND(Bills!#REF!,"AAAAADs2/1o=")</f>
        <v>#REF!</v>
      </c>
      <c r="CN97" t="e">
        <f>AND(Bills!#REF!,"AAAAADs2/1s=")</f>
        <v>#REF!</v>
      </c>
      <c r="CO97" t="e">
        <f>AND(Bills!#REF!,"AAAAADs2/1w=")</f>
        <v>#REF!</v>
      </c>
      <c r="CP97" t="e">
        <f>AND(Bills!AC326,"AAAAADs2/10=")</f>
        <v>#VALUE!</v>
      </c>
      <c r="CQ97" t="e">
        <f>AND(Bills!AD326,"AAAAADs2/14=")</f>
        <v>#VALUE!</v>
      </c>
      <c r="CR97" t="e">
        <f>AND(Bills!#REF!,"AAAAADs2/18=")</f>
        <v>#REF!</v>
      </c>
      <c r="CS97">
        <f>IF(Bills!327:327,"AAAAADs2/2A=",0)</f>
        <v>0</v>
      </c>
      <c r="CT97" t="e">
        <f>AND(Bills!B327,"AAAAADs2/2E=")</f>
        <v>#VALUE!</v>
      </c>
      <c r="CU97" t="e">
        <f>AND(Bills!#REF!,"AAAAADs2/2I=")</f>
        <v>#REF!</v>
      </c>
      <c r="CV97" t="e">
        <f>AND(Bills!C327,"AAAAADs2/2M=")</f>
        <v>#VALUE!</v>
      </c>
      <c r="CW97" t="e">
        <f>AND(Bills!D327,"AAAAADs2/2Q=")</f>
        <v>#VALUE!</v>
      </c>
      <c r="CX97" t="e">
        <f>AND(Bills!E327,"AAAAADs2/2U=")</f>
        <v>#VALUE!</v>
      </c>
      <c r="CY97" t="e">
        <f>AND(Bills!#REF!,"AAAAADs2/2Y=")</f>
        <v>#REF!</v>
      </c>
      <c r="CZ97" t="e">
        <f>AND(Bills!#REF!,"AAAAADs2/2c=")</f>
        <v>#REF!</v>
      </c>
      <c r="DA97" t="e">
        <f>AND(Bills!#REF!,"AAAAADs2/2g=")</f>
        <v>#REF!</v>
      </c>
      <c r="DB97" t="e">
        <f>AND(Bills!F327,"AAAAADs2/2k=")</f>
        <v>#VALUE!</v>
      </c>
      <c r="DC97" t="e">
        <f>AND(Bills!#REF!,"AAAAADs2/2o=")</f>
        <v>#REF!</v>
      </c>
      <c r="DD97" t="e">
        <f>AND(Bills!G327,"AAAAADs2/2s=")</f>
        <v>#VALUE!</v>
      </c>
      <c r="DE97" t="e">
        <f>AND(Bills!H327,"AAAAADs2/2w=")</f>
        <v>#VALUE!</v>
      </c>
      <c r="DF97" t="e">
        <f>AND(Bills!I327,"AAAAADs2/20=")</f>
        <v>#VALUE!</v>
      </c>
      <c r="DG97" t="e">
        <f>AND(Bills!J327,"AAAAADs2/24=")</f>
        <v>#VALUE!</v>
      </c>
      <c r="DH97" t="e">
        <f>AND(Bills!K327,"AAAAADs2/28=")</f>
        <v>#VALUE!</v>
      </c>
      <c r="DI97" t="e">
        <f>AND(Bills!L327,"AAAAADs2/3A=")</f>
        <v>#VALUE!</v>
      </c>
      <c r="DJ97" t="e">
        <f>AND(Bills!#REF!,"AAAAADs2/3E=")</f>
        <v>#REF!</v>
      </c>
      <c r="DK97" t="e">
        <f>AND(Bills!M327,"AAAAADs2/3I=")</f>
        <v>#VALUE!</v>
      </c>
      <c r="DL97" t="e">
        <f>AND(Bills!N327,"AAAAADs2/3M=")</f>
        <v>#VALUE!</v>
      </c>
      <c r="DM97" t="e">
        <f>AND(Bills!O327,"AAAAADs2/3Q=")</f>
        <v>#VALUE!</v>
      </c>
      <c r="DN97" t="e">
        <f>AND(Bills!P327,"AAAAADs2/3U=")</f>
        <v>#VALUE!</v>
      </c>
      <c r="DO97" t="e">
        <f>AND(Bills!Q327,"AAAAADs2/3Y=")</f>
        <v>#VALUE!</v>
      </c>
      <c r="DP97" t="e">
        <f>AND(Bills!R327,"AAAAADs2/3c=")</f>
        <v>#VALUE!</v>
      </c>
      <c r="DQ97" t="e">
        <f>AND(Bills!S327,"AAAAADs2/3g=")</f>
        <v>#VALUE!</v>
      </c>
      <c r="DR97" t="e">
        <f>AND(Bills!T327,"AAAAADs2/3k=")</f>
        <v>#VALUE!</v>
      </c>
      <c r="DS97" t="e">
        <f>AND(Bills!#REF!,"AAAAADs2/3o=")</f>
        <v>#REF!</v>
      </c>
      <c r="DT97" t="e">
        <f>AND(Bills!U327,"AAAAADs2/3s=")</f>
        <v>#VALUE!</v>
      </c>
      <c r="DU97" t="e">
        <f>AND(Bills!V327,"AAAAADs2/3w=")</f>
        <v>#VALUE!</v>
      </c>
      <c r="DV97" t="e">
        <f>AND(Bills!W327,"AAAAADs2/30=")</f>
        <v>#VALUE!</v>
      </c>
      <c r="DW97" t="e">
        <f>AND(Bills!#REF!,"AAAAADs2/34=")</f>
        <v>#REF!</v>
      </c>
      <c r="DX97" t="e">
        <f>AND(Bills!#REF!,"AAAAADs2/38=")</f>
        <v>#REF!</v>
      </c>
      <c r="DY97" t="e">
        <f>AND(Bills!Y327,"AAAAADs2/4A=")</f>
        <v>#VALUE!</v>
      </c>
      <c r="DZ97" t="e">
        <f>AND(Bills!Z327,"AAAAADs2/4E=")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AND(Bills!AA327,"AAAAADs2/4s=")</f>
        <v>#VALUE!</v>
      </c>
      <c r="EK97" t="e">
        <f>AND(Bills!AB327,"AAAAADs2/4w=")</f>
        <v>#VALUE!</v>
      </c>
      <c r="EL97" t="e">
        <f>AND(Bills!#REF!,"AAAAADs2/40=")</f>
        <v>#REF!</v>
      </c>
      <c r="EM97" t="e">
        <f>AND(Bills!#REF!,"AAAAADs2/44=")</f>
        <v>#REF!</v>
      </c>
      <c r="EN97" t="e">
        <f>AND(Bills!#REF!,"AAAAADs2/48=")</f>
        <v>#REF!</v>
      </c>
      <c r="EO97" t="e">
        <f>AND(Bills!AC327,"AAAAADs2/5A=")</f>
        <v>#VALUE!</v>
      </c>
      <c r="EP97" t="e">
        <f>AND(Bills!AD327,"AAAAADs2/5E=")</f>
        <v>#VALUE!</v>
      </c>
      <c r="EQ97" t="e">
        <f>AND(Bills!#REF!,"AAAAADs2/5I=")</f>
        <v>#REF!</v>
      </c>
      <c r="ER97">
        <f>IF(Bills!328:328,"AAAAADs2/5M=",0)</f>
        <v>0</v>
      </c>
      <c r="ES97" t="e">
        <f>AND(Bills!B328,"AAAAADs2/5Q=")</f>
        <v>#VALUE!</v>
      </c>
      <c r="ET97" t="e">
        <f>AND(Bills!#REF!,"AAAAADs2/5U=")</f>
        <v>#REF!</v>
      </c>
      <c r="EU97" t="e">
        <f>AND(Bills!C328,"AAAAADs2/5Y=")</f>
        <v>#VALUE!</v>
      </c>
      <c r="EV97" t="e">
        <f>AND(Bills!D328,"AAAAADs2/5c=")</f>
        <v>#VALUE!</v>
      </c>
      <c r="EW97" t="e">
        <f>AND(Bills!E328,"AAAAADs2/5g=")</f>
        <v>#VALUE!</v>
      </c>
      <c r="EX97" t="e">
        <f>AND(Bills!#REF!,"AAAAADs2/5k=")</f>
        <v>#REF!</v>
      </c>
      <c r="EY97" t="e">
        <f>AND(Bills!#REF!,"AAAAADs2/5o=")</f>
        <v>#REF!</v>
      </c>
      <c r="EZ97" t="e">
        <f>AND(Bills!#REF!,"AAAAADs2/5s=")</f>
        <v>#REF!</v>
      </c>
      <c r="FA97" t="e">
        <f>AND(Bills!F328,"AAAAADs2/5w=")</f>
        <v>#VALUE!</v>
      </c>
      <c r="FB97" t="e">
        <f>AND(Bills!#REF!,"AAAAADs2/50=")</f>
        <v>#REF!</v>
      </c>
      <c r="FC97" t="e">
        <f>AND(Bills!G328,"AAAAADs2/54=")</f>
        <v>#VALUE!</v>
      </c>
      <c r="FD97" t="e">
        <f>AND(Bills!H328,"AAAAADs2/58=")</f>
        <v>#VALUE!</v>
      </c>
      <c r="FE97" t="e">
        <f>AND(Bills!I328,"AAAAADs2/6A=")</f>
        <v>#VALUE!</v>
      </c>
      <c r="FF97" t="e">
        <f>AND(Bills!J328,"AAAAADs2/6E=")</f>
        <v>#VALUE!</v>
      </c>
      <c r="FG97" t="e">
        <f>AND(Bills!K328,"AAAAADs2/6I=")</f>
        <v>#VALUE!</v>
      </c>
      <c r="FH97" t="e">
        <f>AND(Bills!L328,"AAAAADs2/6M=")</f>
        <v>#VALUE!</v>
      </c>
      <c r="FI97" t="e">
        <f>AND(Bills!#REF!,"AAAAADs2/6Q=")</f>
        <v>#REF!</v>
      </c>
      <c r="FJ97" t="e">
        <f>AND(Bills!M328,"AAAAADs2/6U=")</f>
        <v>#VALUE!</v>
      </c>
      <c r="FK97" t="e">
        <f>AND(Bills!N328,"AAAAADs2/6Y=")</f>
        <v>#VALUE!</v>
      </c>
      <c r="FL97" t="e">
        <f>AND(Bills!O328,"AAAAADs2/6c=")</f>
        <v>#VALUE!</v>
      </c>
      <c r="FM97" t="e">
        <f>AND(Bills!P328,"AAAAADs2/6g=")</f>
        <v>#VALUE!</v>
      </c>
      <c r="FN97" t="e">
        <f>AND(Bills!Q328,"AAAAADs2/6k=")</f>
        <v>#VALUE!</v>
      </c>
      <c r="FO97" t="e">
        <f>AND(Bills!R328,"AAAAADs2/6o=")</f>
        <v>#VALUE!</v>
      </c>
      <c r="FP97" t="e">
        <f>AND(Bills!S328,"AAAAADs2/6s=")</f>
        <v>#VALUE!</v>
      </c>
      <c r="FQ97" t="e">
        <f>AND(Bills!T328,"AAAAADs2/6w=")</f>
        <v>#VALUE!</v>
      </c>
      <c r="FR97" t="e">
        <f>AND(Bills!#REF!,"AAAAADs2/60=")</f>
        <v>#REF!</v>
      </c>
      <c r="FS97" t="e">
        <f>AND(Bills!U328,"AAAAADs2/64=")</f>
        <v>#VALUE!</v>
      </c>
      <c r="FT97" t="e">
        <f>AND(Bills!V328,"AAAAADs2/68=")</f>
        <v>#VALUE!</v>
      </c>
      <c r="FU97" t="e">
        <f>AND(Bills!W328,"AAAAADs2/7A=")</f>
        <v>#VALUE!</v>
      </c>
      <c r="FV97" t="e">
        <f>AND(Bills!#REF!,"AAAAADs2/7E=")</f>
        <v>#REF!</v>
      </c>
      <c r="FW97" t="e">
        <f>AND(Bills!#REF!,"AAAAADs2/7I=")</f>
        <v>#REF!</v>
      </c>
      <c r="FX97" t="e">
        <f>AND(Bills!Y328,"AAAAADs2/7M=")</f>
        <v>#VALUE!</v>
      </c>
      <c r="FY97" t="e">
        <f>AND(Bills!Z328,"AAAAADs2/7Q=")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AND(Bills!AA328,"AAAAADs2/74=")</f>
        <v>#VALUE!</v>
      </c>
      <c r="GJ97" t="e">
        <f>AND(Bills!AB328,"AAAAADs2/78=")</f>
        <v>#VALUE!</v>
      </c>
      <c r="GK97" t="e">
        <f>AND(Bills!#REF!,"AAAAADs2/8A=")</f>
        <v>#REF!</v>
      </c>
      <c r="GL97" t="e">
        <f>AND(Bills!#REF!,"AAAAADs2/8E=")</f>
        <v>#REF!</v>
      </c>
      <c r="GM97" t="e">
        <f>AND(Bills!#REF!,"AAAAADs2/8I=")</f>
        <v>#REF!</v>
      </c>
      <c r="GN97" t="e">
        <f>AND(Bills!AC328,"AAAAADs2/8M=")</f>
        <v>#VALUE!</v>
      </c>
      <c r="GO97" t="e">
        <f>AND(Bills!AD328,"AAAAADs2/8Q=")</f>
        <v>#VALUE!</v>
      </c>
      <c r="GP97" t="e">
        <f>AND(Bills!#REF!,"AAAAADs2/8U=")</f>
        <v>#REF!</v>
      </c>
      <c r="GQ97">
        <f>IF(Bills!329:329,"AAAAADs2/8Y=",0)</f>
        <v>0</v>
      </c>
      <c r="GR97" t="e">
        <f>AND(Bills!B329,"AAAAADs2/8c=")</f>
        <v>#VALUE!</v>
      </c>
      <c r="GS97" t="e">
        <f>AND(Bills!#REF!,"AAAAADs2/8g=")</f>
        <v>#REF!</v>
      </c>
      <c r="GT97" t="e">
        <f>AND(Bills!C329,"AAAAADs2/8k=")</f>
        <v>#VALUE!</v>
      </c>
      <c r="GU97" t="e">
        <f>AND(Bills!D329,"AAAAADs2/8o=")</f>
        <v>#VALUE!</v>
      </c>
      <c r="GV97" t="e">
        <f>AND(Bills!E329,"AAAAADs2/8s=")</f>
        <v>#VALUE!</v>
      </c>
      <c r="GW97" t="e">
        <f>AND(Bills!#REF!,"AAAAADs2/8w=")</f>
        <v>#REF!</v>
      </c>
      <c r="GX97" t="e">
        <f>AND(Bills!#REF!,"AAAAADs2/80=")</f>
        <v>#REF!</v>
      </c>
      <c r="GY97" t="e">
        <f>AND(Bills!#REF!,"AAAAADs2/84=")</f>
        <v>#REF!</v>
      </c>
      <c r="GZ97" t="e">
        <f>AND(Bills!F329,"AAAAADs2/88=")</f>
        <v>#VALUE!</v>
      </c>
      <c r="HA97" t="e">
        <f>AND(Bills!#REF!,"AAAAADs2/9A=")</f>
        <v>#REF!</v>
      </c>
      <c r="HB97" t="e">
        <f>AND(Bills!G329,"AAAAADs2/9E=")</f>
        <v>#VALUE!</v>
      </c>
      <c r="HC97" t="e">
        <f>AND(Bills!H329,"AAAAADs2/9I=")</f>
        <v>#VALUE!</v>
      </c>
      <c r="HD97" t="e">
        <f>AND(Bills!I329,"AAAAADs2/9M=")</f>
        <v>#VALUE!</v>
      </c>
      <c r="HE97" t="e">
        <f>AND(Bills!J329,"AAAAADs2/9Q=")</f>
        <v>#VALUE!</v>
      </c>
      <c r="HF97" t="e">
        <f>AND(Bills!K329,"AAAAADs2/9U=")</f>
        <v>#VALUE!</v>
      </c>
      <c r="HG97" t="e">
        <f>AND(Bills!L329,"AAAAADs2/9Y=")</f>
        <v>#VALUE!</v>
      </c>
      <c r="HH97" t="e">
        <f>AND(Bills!#REF!,"AAAAADs2/9c=")</f>
        <v>#REF!</v>
      </c>
      <c r="HI97" t="e">
        <f>AND(Bills!M329,"AAAAADs2/9g=")</f>
        <v>#VALUE!</v>
      </c>
      <c r="HJ97" t="e">
        <f>AND(Bills!N329,"AAAAADs2/9k=")</f>
        <v>#VALUE!</v>
      </c>
      <c r="HK97" t="e">
        <f>AND(Bills!O329,"AAAAADs2/9o=")</f>
        <v>#VALUE!</v>
      </c>
      <c r="HL97" t="e">
        <f>AND(Bills!P329,"AAAAADs2/9s=")</f>
        <v>#VALUE!</v>
      </c>
      <c r="HM97" t="e">
        <f>AND(Bills!Q329,"AAAAADs2/9w=")</f>
        <v>#VALUE!</v>
      </c>
      <c r="HN97" t="e">
        <f>AND(Bills!R329,"AAAAADs2/90=")</f>
        <v>#VALUE!</v>
      </c>
      <c r="HO97" t="e">
        <f>AND(Bills!S329,"AAAAADs2/94=")</f>
        <v>#VALUE!</v>
      </c>
      <c r="HP97" t="e">
        <f>AND(Bills!T329,"AAAAADs2/98=")</f>
        <v>#VALUE!</v>
      </c>
      <c r="HQ97" t="e">
        <f>AND(Bills!#REF!,"AAAAADs2/+A=")</f>
        <v>#REF!</v>
      </c>
      <c r="HR97" t="e">
        <f>AND(Bills!U329,"AAAAADs2/+E=")</f>
        <v>#VALUE!</v>
      </c>
      <c r="HS97" t="e">
        <f>AND(Bills!V329,"AAAAADs2/+I=")</f>
        <v>#VALUE!</v>
      </c>
      <c r="HT97" t="e">
        <f>AND(Bills!W329,"AAAAADs2/+M=")</f>
        <v>#VALUE!</v>
      </c>
      <c r="HU97" t="e">
        <f>AND(Bills!#REF!,"AAAAADs2/+Q=")</f>
        <v>#REF!</v>
      </c>
      <c r="HV97" t="e">
        <f>AND(Bills!#REF!,"AAAAADs2/+U=")</f>
        <v>#REF!</v>
      </c>
      <c r="HW97" t="e">
        <f>AND(Bills!Y329,"AAAAADs2/+Y=")</f>
        <v>#VALUE!</v>
      </c>
      <c r="HX97" t="e">
        <f>AND(Bills!Z329,"AAAAADs2/+c=")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AND(Bills!AA329,"AAAAADs2//E=")</f>
        <v>#VALUE!</v>
      </c>
      <c r="II97" t="e">
        <f>AND(Bills!AB329,"AAAAADs2//I=")</f>
        <v>#VALUE!</v>
      </c>
      <c r="IJ97" t="e">
        <f>AND(Bills!#REF!,"AAAAADs2//M=")</f>
        <v>#REF!</v>
      </c>
      <c r="IK97" t="e">
        <f>AND(Bills!#REF!,"AAAAADs2//Q=")</f>
        <v>#REF!</v>
      </c>
      <c r="IL97" t="e">
        <f>AND(Bills!#REF!,"AAAAADs2//U=")</f>
        <v>#REF!</v>
      </c>
      <c r="IM97" t="e">
        <f>AND(Bills!AC329,"AAAAADs2//Y=")</f>
        <v>#VALUE!</v>
      </c>
      <c r="IN97" t="e">
        <f>AND(Bills!AD329,"AAAAADs2//c=")</f>
        <v>#VALUE!</v>
      </c>
      <c r="IO97" t="e">
        <f>AND(Bills!#REF!,"AAAAADs2//g=")</f>
        <v>#REF!</v>
      </c>
      <c r="IP97">
        <f>IF(Bills!330:330,"AAAAADs2//k=",0)</f>
        <v>0</v>
      </c>
      <c r="IQ97" t="e">
        <f>AND(Bills!B330,"AAAAADs2//o=")</f>
        <v>#VALUE!</v>
      </c>
      <c r="IR97" t="e">
        <f>AND(Bills!#REF!,"AAAAADs2//s=")</f>
        <v>#REF!</v>
      </c>
      <c r="IS97" t="e">
        <f>AND(Bills!C330,"AAAAADs2//w=")</f>
        <v>#VALUE!</v>
      </c>
      <c r="IT97" t="e">
        <f>AND(Bills!D330,"AAAAADs2//0=")</f>
        <v>#VALUE!</v>
      </c>
      <c r="IU97" t="e">
        <f>AND(Bills!E330,"AAAAADs2//4=")</f>
        <v>#VALUE!</v>
      </c>
      <c r="IV97" t="e">
        <f>AND(Bills!#REF!,"AAAAADs2//8=")</f>
        <v>#REF!</v>
      </c>
    </row>
    <row r="98" spans="1:256">
      <c r="A98" t="e">
        <f>AND(Bills!#REF!,"AAAAAC61vgA=")</f>
        <v>#REF!</v>
      </c>
      <c r="B98" t="e">
        <f>AND(Bills!#REF!,"AAAAAC61vgE=")</f>
        <v>#REF!</v>
      </c>
      <c r="C98" t="e">
        <f>AND(Bills!F330,"AAAAAC61vgI=")</f>
        <v>#VALUE!</v>
      </c>
      <c r="D98" t="e">
        <f>AND(Bills!#REF!,"AAAAAC61vgM=")</f>
        <v>#REF!</v>
      </c>
      <c r="E98" t="e">
        <f>AND(Bills!G330,"AAAAAC61vgQ=")</f>
        <v>#VALUE!</v>
      </c>
      <c r="F98" t="e">
        <f>AND(Bills!H330,"AAAAAC61vgU=")</f>
        <v>#VALUE!</v>
      </c>
      <c r="G98" t="e">
        <f>AND(Bills!I330,"AAAAAC61vgY=")</f>
        <v>#VALUE!</v>
      </c>
      <c r="H98" t="e">
        <f>AND(Bills!J330,"AAAAAC61vgc=")</f>
        <v>#VALUE!</v>
      </c>
      <c r="I98" t="e">
        <f>AND(Bills!K330,"AAAAAC61vgg=")</f>
        <v>#VALUE!</v>
      </c>
      <c r="J98" t="e">
        <f>AND(Bills!L330,"AAAAAC61vgk=")</f>
        <v>#VALUE!</v>
      </c>
      <c r="K98" t="e">
        <f>AND(Bills!#REF!,"AAAAAC61vgo=")</f>
        <v>#REF!</v>
      </c>
      <c r="L98" t="e">
        <f>AND(Bills!M330,"AAAAAC61vgs=")</f>
        <v>#VALUE!</v>
      </c>
      <c r="M98" t="e">
        <f>AND(Bills!N330,"AAAAAC61vgw=")</f>
        <v>#VALUE!</v>
      </c>
      <c r="N98" t="e">
        <f>AND(Bills!O330,"AAAAAC61vg0=")</f>
        <v>#VALUE!</v>
      </c>
      <c r="O98" t="e">
        <f>AND(Bills!P330,"AAAAAC61vg4=")</f>
        <v>#VALUE!</v>
      </c>
      <c r="P98" t="e">
        <f>AND(Bills!Q330,"AAAAAC61vg8=")</f>
        <v>#VALUE!</v>
      </c>
      <c r="Q98" t="e">
        <f>AND(Bills!R330,"AAAAAC61vhA=")</f>
        <v>#VALUE!</v>
      </c>
      <c r="R98" t="e">
        <f>AND(Bills!S330,"AAAAAC61vhE=")</f>
        <v>#VALUE!</v>
      </c>
      <c r="S98" t="e">
        <f>AND(Bills!T330,"AAAAAC61vhI=")</f>
        <v>#VALUE!</v>
      </c>
      <c r="T98" t="e">
        <f>AND(Bills!#REF!,"AAAAAC61vhM=")</f>
        <v>#REF!</v>
      </c>
      <c r="U98" t="e">
        <f>AND(Bills!U330,"AAAAAC61vhQ=")</f>
        <v>#VALUE!</v>
      </c>
      <c r="V98" t="e">
        <f>AND(Bills!V330,"AAAAAC61vhU=")</f>
        <v>#VALUE!</v>
      </c>
      <c r="W98" t="e">
        <f>AND(Bills!W330,"AAAAAC61vhY=")</f>
        <v>#VALUE!</v>
      </c>
      <c r="X98" t="e">
        <f>AND(Bills!#REF!,"AAAAAC61vhc=")</f>
        <v>#REF!</v>
      </c>
      <c r="Y98" t="e">
        <f>AND(Bills!#REF!,"AAAAAC61vhg=")</f>
        <v>#REF!</v>
      </c>
      <c r="Z98" t="e">
        <f>AND(Bills!Y330,"AAAAAC61vhk=")</f>
        <v>#VALUE!</v>
      </c>
      <c r="AA98" t="e">
        <f>AND(Bills!Z330,"AAAAAC61vho=")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AND(Bills!AA330,"AAAAAC61viQ=")</f>
        <v>#VALUE!</v>
      </c>
      <c r="AL98" t="e">
        <f>AND(Bills!AB330,"AAAAAC61viU=")</f>
        <v>#VALUE!</v>
      </c>
      <c r="AM98" t="e">
        <f>AND(Bills!#REF!,"AAAAAC61viY=")</f>
        <v>#REF!</v>
      </c>
      <c r="AN98" t="e">
        <f>AND(Bills!#REF!,"AAAAAC61vic=")</f>
        <v>#REF!</v>
      </c>
      <c r="AO98" t="e">
        <f>AND(Bills!#REF!,"AAAAAC61vig=")</f>
        <v>#REF!</v>
      </c>
      <c r="AP98" t="e">
        <f>AND(Bills!AC330,"AAAAAC61vik=")</f>
        <v>#VALUE!</v>
      </c>
      <c r="AQ98" t="e">
        <f>AND(Bills!AD330,"AAAAAC61vio=")</f>
        <v>#VALUE!</v>
      </c>
      <c r="AR98" t="e">
        <f>AND(Bills!#REF!,"AAAAAC61vis=")</f>
        <v>#REF!</v>
      </c>
      <c r="AS98">
        <f>IF(Bills!331:331,"AAAAAC61viw=",0)</f>
        <v>0</v>
      </c>
      <c r="AT98" t="e">
        <f>AND(Bills!B331,"AAAAAC61vi0=")</f>
        <v>#VALUE!</v>
      </c>
      <c r="AU98" t="e">
        <f>AND(Bills!#REF!,"AAAAAC61vi4=")</f>
        <v>#REF!</v>
      </c>
      <c r="AV98" t="e">
        <f>AND(Bills!C331,"AAAAAC61vi8=")</f>
        <v>#VALUE!</v>
      </c>
      <c r="AW98" t="e">
        <f>AND(Bills!D331,"AAAAAC61vjA=")</f>
        <v>#VALUE!</v>
      </c>
      <c r="AX98" t="e">
        <f>AND(Bills!E331,"AAAAAC61vjE=")</f>
        <v>#VALUE!</v>
      </c>
      <c r="AY98" t="e">
        <f>AND(Bills!#REF!,"AAAAAC61vjI=")</f>
        <v>#REF!</v>
      </c>
      <c r="AZ98" t="e">
        <f>AND(Bills!#REF!,"AAAAAC61vjM=")</f>
        <v>#REF!</v>
      </c>
      <c r="BA98" t="e">
        <f>AND(Bills!#REF!,"AAAAAC61vjQ=")</f>
        <v>#REF!</v>
      </c>
      <c r="BB98" t="e">
        <f>AND(Bills!F331,"AAAAAC61vjU=")</f>
        <v>#VALUE!</v>
      </c>
      <c r="BC98" t="e">
        <f>AND(Bills!#REF!,"AAAAAC61vjY=")</f>
        <v>#REF!</v>
      </c>
      <c r="BD98" t="e">
        <f>AND(Bills!G331,"AAAAAC61vjc=")</f>
        <v>#VALUE!</v>
      </c>
      <c r="BE98" t="e">
        <f>AND(Bills!H331,"AAAAAC61vjg=")</f>
        <v>#VALUE!</v>
      </c>
      <c r="BF98" t="e">
        <f>AND(Bills!I331,"AAAAAC61vjk=")</f>
        <v>#VALUE!</v>
      </c>
      <c r="BG98" t="e">
        <f>AND(Bills!J331,"AAAAAC61vjo=")</f>
        <v>#VALUE!</v>
      </c>
      <c r="BH98" t="e">
        <f>AND(Bills!K331,"AAAAAC61vjs=")</f>
        <v>#VALUE!</v>
      </c>
      <c r="BI98" t="e">
        <f>AND(Bills!L331,"AAAAAC61vjw=")</f>
        <v>#VALUE!</v>
      </c>
      <c r="BJ98" t="e">
        <f>AND(Bills!#REF!,"AAAAAC61vj0=")</f>
        <v>#REF!</v>
      </c>
      <c r="BK98" t="e">
        <f>AND(Bills!M331,"AAAAAC61vj4=")</f>
        <v>#VALUE!</v>
      </c>
      <c r="BL98" t="e">
        <f>AND(Bills!N331,"AAAAAC61vj8=")</f>
        <v>#VALUE!</v>
      </c>
      <c r="BM98" t="e">
        <f>AND(Bills!O331,"AAAAAC61vkA=")</f>
        <v>#VALUE!</v>
      </c>
      <c r="BN98" t="e">
        <f>AND(Bills!P331,"AAAAAC61vkE=")</f>
        <v>#VALUE!</v>
      </c>
      <c r="BO98" t="e">
        <f>AND(Bills!Q331,"AAAAAC61vkI=")</f>
        <v>#VALUE!</v>
      </c>
      <c r="BP98" t="e">
        <f>AND(Bills!R331,"AAAAAC61vkM=")</f>
        <v>#VALUE!</v>
      </c>
      <c r="BQ98" t="e">
        <f>AND(Bills!S331,"AAAAAC61vkQ=")</f>
        <v>#VALUE!</v>
      </c>
      <c r="BR98" t="e">
        <f>AND(Bills!T331,"AAAAAC61vkU=")</f>
        <v>#VALUE!</v>
      </c>
      <c r="BS98" t="e">
        <f>AND(Bills!#REF!,"AAAAAC61vkY=")</f>
        <v>#REF!</v>
      </c>
      <c r="BT98" t="e">
        <f>AND(Bills!U331,"AAAAAC61vkc=")</f>
        <v>#VALUE!</v>
      </c>
      <c r="BU98" t="e">
        <f>AND(Bills!V331,"AAAAAC61vkg=")</f>
        <v>#VALUE!</v>
      </c>
      <c r="BV98" t="e">
        <f>AND(Bills!W331,"AAAAAC61vkk=")</f>
        <v>#VALUE!</v>
      </c>
      <c r="BW98" t="e">
        <f>AND(Bills!#REF!,"AAAAAC61vko=")</f>
        <v>#REF!</v>
      </c>
      <c r="BX98" t="e">
        <f>AND(Bills!#REF!,"AAAAAC61vks=")</f>
        <v>#REF!</v>
      </c>
      <c r="BY98" t="e">
        <f>AND(Bills!Y331,"AAAAAC61vkw=")</f>
        <v>#VALUE!</v>
      </c>
      <c r="BZ98" t="e">
        <f>AND(Bills!Z331,"AAAAAC61vk0=")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AND(Bills!AA331,"AAAAAC61vlc=")</f>
        <v>#VALUE!</v>
      </c>
      <c r="CK98" t="e">
        <f>AND(Bills!AB331,"AAAAAC61vlg=")</f>
        <v>#VALUE!</v>
      </c>
      <c r="CL98" t="e">
        <f>AND(Bills!#REF!,"AAAAAC61vlk=")</f>
        <v>#REF!</v>
      </c>
      <c r="CM98" t="e">
        <f>AND(Bills!#REF!,"AAAAAC61vlo=")</f>
        <v>#REF!</v>
      </c>
      <c r="CN98" t="e">
        <f>AND(Bills!#REF!,"AAAAAC61vls=")</f>
        <v>#REF!</v>
      </c>
      <c r="CO98" t="e">
        <f>AND(Bills!AC331,"AAAAAC61vlw=")</f>
        <v>#VALUE!</v>
      </c>
      <c r="CP98" t="e">
        <f>AND(Bills!AD331,"AAAAAC61vl0=")</f>
        <v>#VALUE!</v>
      </c>
      <c r="CQ98" t="e">
        <f>AND(Bills!#REF!,"AAAAAC61vl4=")</f>
        <v>#REF!</v>
      </c>
      <c r="CR98">
        <f>IF(Bills!332:332,"AAAAAC61vl8=",0)</f>
        <v>0</v>
      </c>
      <c r="CS98" t="e">
        <f>AND(Bills!B332,"AAAAAC61vmA=")</f>
        <v>#VALUE!</v>
      </c>
      <c r="CT98" t="e">
        <f>AND(Bills!#REF!,"AAAAAC61vmE=")</f>
        <v>#REF!</v>
      </c>
      <c r="CU98" t="e">
        <f>AND(Bills!C332,"AAAAAC61vmI=")</f>
        <v>#VALUE!</v>
      </c>
      <c r="CV98" t="e">
        <f>AND(Bills!D332,"AAAAAC61vmM=")</f>
        <v>#VALUE!</v>
      </c>
      <c r="CW98" t="e">
        <f>AND(Bills!E332,"AAAAAC61vmQ=")</f>
        <v>#VALUE!</v>
      </c>
      <c r="CX98" t="e">
        <f>AND(Bills!#REF!,"AAAAAC61vmU=")</f>
        <v>#REF!</v>
      </c>
      <c r="CY98" t="e">
        <f>AND(Bills!#REF!,"AAAAAC61vmY=")</f>
        <v>#REF!</v>
      </c>
      <c r="CZ98" t="e">
        <f>AND(Bills!#REF!,"AAAAAC61vmc=")</f>
        <v>#REF!</v>
      </c>
      <c r="DA98" t="e">
        <f>AND(Bills!F332,"AAAAAC61vmg=")</f>
        <v>#VALUE!</v>
      </c>
      <c r="DB98" t="e">
        <f>AND(Bills!#REF!,"AAAAAC61vmk=")</f>
        <v>#REF!</v>
      </c>
      <c r="DC98" t="e">
        <f>AND(Bills!G332,"AAAAAC61vmo=")</f>
        <v>#VALUE!</v>
      </c>
      <c r="DD98" t="e">
        <f>AND(Bills!H332,"AAAAAC61vms=")</f>
        <v>#VALUE!</v>
      </c>
      <c r="DE98" t="e">
        <f>AND(Bills!I332,"AAAAAC61vmw=")</f>
        <v>#VALUE!</v>
      </c>
      <c r="DF98" t="e">
        <f>AND(Bills!J332,"AAAAAC61vm0=")</f>
        <v>#VALUE!</v>
      </c>
      <c r="DG98" t="e">
        <f>AND(Bills!K332,"AAAAAC61vm4=")</f>
        <v>#VALUE!</v>
      </c>
      <c r="DH98" t="e">
        <f>AND(Bills!L332,"AAAAAC61vm8=")</f>
        <v>#VALUE!</v>
      </c>
      <c r="DI98" t="e">
        <f>AND(Bills!#REF!,"AAAAAC61vnA=")</f>
        <v>#REF!</v>
      </c>
      <c r="DJ98" t="e">
        <f>AND(Bills!M332,"AAAAAC61vnE=")</f>
        <v>#VALUE!</v>
      </c>
      <c r="DK98" t="e">
        <f>AND(Bills!N332,"AAAAAC61vnI=")</f>
        <v>#VALUE!</v>
      </c>
      <c r="DL98" t="e">
        <f>AND(Bills!O332,"AAAAAC61vnM=")</f>
        <v>#VALUE!</v>
      </c>
      <c r="DM98" t="e">
        <f>AND(Bills!P332,"AAAAAC61vnQ=")</f>
        <v>#VALUE!</v>
      </c>
      <c r="DN98" t="e">
        <f>AND(Bills!Q332,"AAAAAC61vnU=")</f>
        <v>#VALUE!</v>
      </c>
      <c r="DO98" t="e">
        <f>AND(Bills!R332,"AAAAAC61vnY=")</f>
        <v>#VALUE!</v>
      </c>
      <c r="DP98" t="e">
        <f>AND(Bills!S332,"AAAAAC61vnc=")</f>
        <v>#VALUE!</v>
      </c>
      <c r="DQ98" t="e">
        <f>AND(Bills!T332,"AAAAAC61vng=")</f>
        <v>#VALUE!</v>
      </c>
      <c r="DR98" t="e">
        <f>AND(Bills!#REF!,"AAAAAC61vnk=")</f>
        <v>#REF!</v>
      </c>
      <c r="DS98" t="e">
        <f>AND(Bills!U332,"AAAAAC61vno=")</f>
        <v>#VALUE!</v>
      </c>
      <c r="DT98" t="e">
        <f>AND(Bills!V332,"AAAAAC61vns=")</f>
        <v>#VALUE!</v>
      </c>
      <c r="DU98" t="e">
        <f>AND(Bills!W332,"AAAAAC61vnw=")</f>
        <v>#VALUE!</v>
      </c>
      <c r="DV98" t="e">
        <f>AND(Bills!#REF!,"AAAAAC61vn0=")</f>
        <v>#REF!</v>
      </c>
      <c r="DW98" t="e">
        <f>AND(Bills!#REF!,"AAAAAC61vn4=")</f>
        <v>#REF!</v>
      </c>
      <c r="DX98" t="e">
        <f>AND(Bills!Y332,"AAAAAC61vn8=")</f>
        <v>#VALUE!</v>
      </c>
      <c r="DY98" t="e">
        <f>AND(Bills!Z332,"AAAAAC61voA=")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AND(Bills!AA332,"AAAAAC61voo=")</f>
        <v>#VALUE!</v>
      </c>
      <c r="EJ98" t="e">
        <f>AND(Bills!AB332,"AAAAAC61vos=")</f>
        <v>#VALUE!</v>
      </c>
      <c r="EK98" t="e">
        <f>AND(Bills!#REF!,"AAAAAC61vow=")</f>
        <v>#REF!</v>
      </c>
      <c r="EL98" t="e">
        <f>AND(Bills!#REF!,"AAAAAC61vo0=")</f>
        <v>#REF!</v>
      </c>
      <c r="EM98" t="e">
        <f>AND(Bills!#REF!,"AAAAAC61vo4=")</f>
        <v>#REF!</v>
      </c>
      <c r="EN98" t="e">
        <f>AND(Bills!AC332,"AAAAAC61vo8=")</f>
        <v>#VALUE!</v>
      </c>
      <c r="EO98" t="e">
        <f>AND(Bills!AD332,"AAAAAC61vpA=")</f>
        <v>#VALUE!</v>
      </c>
      <c r="EP98" t="e">
        <f>AND(Bills!#REF!,"AAAAAC61vpE=")</f>
        <v>#REF!</v>
      </c>
      <c r="EQ98">
        <f>IF(Bills!333:333,"AAAAAC61vpI=",0)</f>
        <v>0</v>
      </c>
      <c r="ER98" t="e">
        <f>AND(Bills!B333,"AAAAAC61vpM=")</f>
        <v>#VALUE!</v>
      </c>
      <c r="ES98" t="e">
        <f>AND(Bills!#REF!,"AAAAAC61vpQ=")</f>
        <v>#REF!</v>
      </c>
      <c r="ET98" t="e">
        <f>AND(Bills!C333,"AAAAAC61vpU=")</f>
        <v>#VALUE!</v>
      </c>
      <c r="EU98" t="e">
        <f>AND(Bills!D333,"AAAAAC61vpY=")</f>
        <v>#VALUE!</v>
      </c>
      <c r="EV98" t="e">
        <f>AND(Bills!E333,"AAAAAC61vpc=")</f>
        <v>#VALUE!</v>
      </c>
      <c r="EW98" t="e">
        <f>AND(Bills!#REF!,"AAAAAC61vpg=")</f>
        <v>#REF!</v>
      </c>
      <c r="EX98" t="e">
        <f>AND(Bills!#REF!,"AAAAAC61vpk=")</f>
        <v>#REF!</v>
      </c>
      <c r="EY98" t="e">
        <f>AND(Bills!#REF!,"AAAAAC61vpo=")</f>
        <v>#REF!</v>
      </c>
      <c r="EZ98" t="e">
        <f>AND(Bills!F333,"AAAAAC61vps=")</f>
        <v>#VALUE!</v>
      </c>
      <c r="FA98" t="e">
        <f>AND(Bills!#REF!,"AAAAAC61vpw=")</f>
        <v>#REF!</v>
      </c>
      <c r="FB98" t="e">
        <f>AND(Bills!G333,"AAAAAC61vp0=")</f>
        <v>#VALUE!</v>
      </c>
      <c r="FC98" t="e">
        <f>AND(Bills!H333,"AAAAAC61vp4=")</f>
        <v>#VALUE!</v>
      </c>
      <c r="FD98" t="e">
        <f>AND(Bills!I333,"AAAAAC61vp8=")</f>
        <v>#VALUE!</v>
      </c>
      <c r="FE98" t="e">
        <f>AND(Bills!J333,"AAAAAC61vqA=")</f>
        <v>#VALUE!</v>
      </c>
      <c r="FF98" t="e">
        <f>AND(Bills!K333,"AAAAAC61vqE=")</f>
        <v>#VALUE!</v>
      </c>
      <c r="FG98" t="e">
        <f>AND(Bills!L333,"AAAAAC61vqI=")</f>
        <v>#VALUE!</v>
      </c>
      <c r="FH98" t="e">
        <f>AND(Bills!#REF!,"AAAAAC61vqM=")</f>
        <v>#REF!</v>
      </c>
      <c r="FI98" t="e">
        <f>AND(Bills!M333,"AAAAAC61vqQ=")</f>
        <v>#VALUE!</v>
      </c>
      <c r="FJ98" t="e">
        <f>AND(Bills!N333,"AAAAAC61vqU=")</f>
        <v>#VALUE!</v>
      </c>
      <c r="FK98" t="e">
        <f>AND(Bills!O333,"AAAAAC61vqY=")</f>
        <v>#VALUE!</v>
      </c>
      <c r="FL98" t="e">
        <f>AND(Bills!P333,"AAAAAC61vqc=")</f>
        <v>#VALUE!</v>
      </c>
      <c r="FM98" t="e">
        <f>AND(Bills!Q333,"AAAAAC61vqg=")</f>
        <v>#VALUE!</v>
      </c>
      <c r="FN98" t="e">
        <f>AND(Bills!R333,"AAAAAC61vqk=")</f>
        <v>#VALUE!</v>
      </c>
      <c r="FO98" t="e">
        <f>AND(Bills!S333,"AAAAAC61vqo=")</f>
        <v>#VALUE!</v>
      </c>
      <c r="FP98" t="e">
        <f>AND(Bills!T333,"AAAAAC61vqs=")</f>
        <v>#VALUE!</v>
      </c>
      <c r="FQ98" t="e">
        <f>AND(Bills!#REF!,"AAAAAC61vqw=")</f>
        <v>#REF!</v>
      </c>
      <c r="FR98" t="e">
        <f>AND(Bills!U333,"AAAAAC61vq0=")</f>
        <v>#VALUE!</v>
      </c>
      <c r="FS98" t="e">
        <f>AND(Bills!V333,"AAAAAC61vq4=")</f>
        <v>#VALUE!</v>
      </c>
      <c r="FT98" t="e">
        <f>AND(Bills!W333,"AAAAAC61vq8=")</f>
        <v>#VALUE!</v>
      </c>
      <c r="FU98" t="e">
        <f>AND(Bills!#REF!,"AAAAAC61vrA=")</f>
        <v>#REF!</v>
      </c>
      <c r="FV98" t="e">
        <f>AND(Bills!#REF!,"AAAAAC61vrE=")</f>
        <v>#REF!</v>
      </c>
      <c r="FW98" t="e">
        <f>AND(Bills!Y333,"AAAAAC61vrI=")</f>
        <v>#VALUE!</v>
      </c>
      <c r="FX98" t="e">
        <f>AND(Bills!Z333,"AAAAAC61vrM=")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AND(Bills!AA333,"AAAAAC61vr0=")</f>
        <v>#VALUE!</v>
      </c>
      <c r="GI98" t="e">
        <f>AND(Bills!AB333,"AAAAAC61vr4=")</f>
        <v>#VALUE!</v>
      </c>
      <c r="GJ98" t="e">
        <f>AND(Bills!#REF!,"AAAAAC61vr8=")</f>
        <v>#REF!</v>
      </c>
      <c r="GK98" t="e">
        <f>AND(Bills!#REF!,"AAAAAC61vsA=")</f>
        <v>#REF!</v>
      </c>
      <c r="GL98" t="e">
        <f>AND(Bills!#REF!,"AAAAAC61vsE=")</f>
        <v>#REF!</v>
      </c>
      <c r="GM98" t="e">
        <f>AND(Bills!AC333,"AAAAAC61vsI=")</f>
        <v>#VALUE!</v>
      </c>
      <c r="GN98" t="e">
        <f>AND(Bills!AD333,"AAAAAC61vsM=")</f>
        <v>#VALUE!</v>
      </c>
      <c r="GO98" t="e">
        <f>AND(Bills!#REF!,"AAAAAC61vsQ=")</f>
        <v>#REF!</v>
      </c>
      <c r="GP98">
        <f>IF(Bills!334:334,"AAAAAC61vsU=",0)</f>
        <v>0</v>
      </c>
      <c r="GQ98" t="e">
        <f>AND(Bills!B334,"AAAAAC61vsY=")</f>
        <v>#VALUE!</v>
      </c>
      <c r="GR98" t="e">
        <f>AND(Bills!#REF!,"AAAAAC61vsc=")</f>
        <v>#REF!</v>
      </c>
      <c r="GS98" t="e">
        <f>AND(Bills!C334,"AAAAAC61vsg=")</f>
        <v>#VALUE!</v>
      </c>
      <c r="GT98" t="e">
        <f>AND(Bills!D334,"AAAAAC61vsk=")</f>
        <v>#VALUE!</v>
      </c>
      <c r="GU98" t="e">
        <f>AND(Bills!E334,"AAAAAC61vso=")</f>
        <v>#VALUE!</v>
      </c>
      <c r="GV98" t="e">
        <f>AND(Bills!#REF!,"AAAAAC61vss=")</f>
        <v>#REF!</v>
      </c>
      <c r="GW98" t="e">
        <f>AND(Bills!#REF!,"AAAAAC61vsw=")</f>
        <v>#REF!</v>
      </c>
      <c r="GX98" t="e">
        <f>AND(Bills!#REF!,"AAAAAC61vs0=")</f>
        <v>#REF!</v>
      </c>
      <c r="GY98" t="e">
        <f>AND(Bills!F334,"AAAAAC61vs4=")</f>
        <v>#VALUE!</v>
      </c>
      <c r="GZ98" t="e">
        <f>AND(Bills!#REF!,"AAAAAC61vs8=")</f>
        <v>#REF!</v>
      </c>
      <c r="HA98" t="e">
        <f>AND(Bills!G334,"AAAAAC61vtA=")</f>
        <v>#VALUE!</v>
      </c>
      <c r="HB98" t="e">
        <f>AND(Bills!H334,"AAAAAC61vtE=")</f>
        <v>#VALUE!</v>
      </c>
      <c r="HC98" t="e">
        <f>AND(Bills!I334,"AAAAAC61vtI=")</f>
        <v>#VALUE!</v>
      </c>
      <c r="HD98" t="e">
        <f>AND(Bills!J334,"AAAAAC61vtM=")</f>
        <v>#VALUE!</v>
      </c>
      <c r="HE98" t="e">
        <f>AND(Bills!K334,"AAAAAC61vtQ=")</f>
        <v>#VALUE!</v>
      </c>
      <c r="HF98" t="e">
        <f>AND(Bills!L334,"AAAAAC61vtU=")</f>
        <v>#VALUE!</v>
      </c>
      <c r="HG98" t="e">
        <f>AND(Bills!#REF!,"AAAAAC61vtY=")</f>
        <v>#REF!</v>
      </c>
      <c r="HH98" t="e">
        <f>AND(Bills!M334,"AAAAAC61vtc=")</f>
        <v>#VALUE!</v>
      </c>
      <c r="HI98" t="e">
        <f>AND(Bills!N334,"AAAAAC61vtg=")</f>
        <v>#VALUE!</v>
      </c>
      <c r="HJ98" t="e">
        <f>AND(Bills!O334,"AAAAAC61vtk=")</f>
        <v>#VALUE!</v>
      </c>
      <c r="HK98" t="e">
        <f>AND(Bills!P334,"AAAAAC61vto=")</f>
        <v>#VALUE!</v>
      </c>
      <c r="HL98" t="e">
        <f>AND(Bills!Q334,"AAAAAC61vts=")</f>
        <v>#VALUE!</v>
      </c>
      <c r="HM98" t="e">
        <f>AND(Bills!R334,"AAAAAC61vtw=")</f>
        <v>#VALUE!</v>
      </c>
      <c r="HN98" t="e">
        <f>AND(Bills!S334,"AAAAAC61vt0=")</f>
        <v>#VALUE!</v>
      </c>
      <c r="HO98" t="e">
        <f>AND(Bills!T334,"AAAAAC61vt4=")</f>
        <v>#VALUE!</v>
      </c>
      <c r="HP98" t="e">
        <f>AND(Bills!#REF!,"AAAAAC61vt8=")</f>
        <v>#REF!</v>
      </c>
      <c r="HQ98" t="e">
        <f>AND(Bills!U334,"AAAAAC61vuA=")</f>
        <v>#VALUE!</v>
      </c>
      <c r="HR98" t="e">
        <f>AND(Bills!V334,"AAAAAC61vuE=")</f>
        <v>#VALUE!</v>
      </c>
      <c r="HS98" t="e">
        <f>AND(Bills!W334,"AAAAAC61vuI=")</f>
        <v>#VALUE!</v>
      </c>
      <c r="HT98" t="e">
        <f>AND(Bills!#REF!,"AAAAAC61vuM=")</f>
        <v>#REF!</v>
      </c>
      <c r="HU98" t="e">
        <f>AND(Bills!#REF!,"AAAAAC61vuQ=")</f>
        <v>#REF!</v>
      </c>
      <c r="HV98" t="e">
        <f>AND(Bills!Y334,"AAAAAC61vuU=")</f>
        <v>#VALUE!</v>
      </c>
      <c r="HW98" t="e">
        <f>AND(Bills!Z334,"AAAAAC61vuY=")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AND(Bills!AA334,"AAAAAC61vvA=")</f>
        <v>#VALUE!</v>
      </c>
      <c r="IH98" t="e">
        <f>AND(Bills!AB334,"AAAAAC61vvE=")</f>
        <v>#VALUE!</v>
      </c>
      <c r="II98" t="e">
        <f>AND(Bills!#REF!,"AAAAAC61vvI=")</f>
        <v>#REF!</v>
      </c>
      <c r="IJ98" t="e">
        <f>AND(Bills!#REF!,"AAAAAC61vvM=")</f>
        <v>#REF!</v>
      </c>
      <c r="IK98" t="e">
        <f>AND(Bills!#REF!,"AAAAAC61vvQ=")</f>
        <v>#REF!</v>
      </c>
      <c r="IL98" t="e">
        <f>AND(Bills!AC334,"AAAAAC61vvU=")</f>
        <v>#VALUE!</v>
      </c>
      <c r="IM98" t="e">
        <f>AND(Bills!AD334,"AAAAAC61vvY=")</f>
        <v>#VALUE!</v>
      </c>
      <c r="IN98" t="e">
        <f>AND(Bills!#REF!,"AAAAAC61vvc=")</f>
        <v>#REF!</v>
      </c>
      <c r="IO98">
        <f>IF(Bills!335:335,"AAAAAC61vvg=",0)</f>
        <v>0</v>
      </c>
      <c r="IP98" t="e">
        <f>AND(Bills!B335,"AAAAAC61vvk=")</f>
        <v>#VALUE!</v>
      </c>
      <c r="IQ98" t="e">
        <f>AND(Bills!#REF!,"AAAAAC61vvo=")</f>
        <v>#REF!</v>
      </c>
      <c r="IR98" t="e">
        <f>AND(Bills!C335,"AAAAAC61vvs=")</f>
        <v>#VALUE!</v>
      </c>
      <c r="IS98" t="e">
        <f>AND(Bills!D335,"AAAAAC61vvw=")</f>
        <v>#VALUE!</v>
      </c>
      <c r="IT98" t="e">
        <f>AND(Bills!E335,"AAAAAC61vv0=")</f>
        <v>#VALUE!</v>
      </c>
      <c r="IU98" t="e">
        <f>AND(Bills!#REF!,"AAAAAC61vv4=")</f>
        <v>#REF!</v>
      </c>
      <c r="IV98" t="e">
        <f>AND(Bills!#REF!,"AAAAAC61vv8=")</f>
        <v>#REF!</v>
      </c>
    </row>
    <row r="99" spans="1:256">
      <c r="A99" t="e">
        <f>AND(Bills!#REF!,"AAAAAGK/7AA=")</f>
        <v>#REF!</v>
      </c>
      <c r="B99" t="e">
        <f>AND(Bills!F335,"AAAAAGK/7AE=")</f>
        <v>#VALUE!</v>
      </c>
      <c r="C99" t="e">
        <f>AND(Bills!#REF!,"AAAAAGK/7AI=")</f>
        <v>#REF!</v>
      </c>
      <c r="D99" t="e">
        <f>AND(Bills!G335,"AAAAAGK/7AM=")</f>
        <v>#VALUE!</v>
      </c>
      <c r="E99" t="e">
        <f>AND(Bills!H335,"AAAAAGK/7AQ=")</f>
        <v>#VALUE!</v>
      </c>
      <c r="F99" t="e">
        <f>AND(Bills!I335,"AAAAAGK/7AU=")</f>
        <v>#VALUE!</v>
      </c>
      <c r="G99" t="e">
        <f>AND(Bills!J335,"AAAAAGK/7AY=")</f>
        <v>#VALUE!</v>
      </c>
      <c r="H99" t="e">
        <f>AND(Bills!K335,"AAAAAGK/7Ac=")</f>
        <v>#VALUE!</v>
      </c>
      <c r="I99" t="e">
        <f>AND(Bills!L335,"AAAAAGK/7Ag=")</f>
        <v>#VALUE!</v>
      </c>
      <c r="J99" t="e">
        <f>AND(Bills!#REF!,"AAAAAGK/7Ak=")</f>
        <v>#REF!</v>
      </c>
      <c r="K99" t="e">
        <f>AND(Bills!M335,"AAAAAGK/7Ao=")</f>
        <v>#VALUE!</v>
      </c>
      <c r="L99" t="e">
        <f>AND(Bills!N335,"AAAAAGK/7As=")</f>
        <v>#VALUE!</v>
      </c>
      <c r="M99" t="e">
        <f>AND(Bills!O335,"AAAAAGK/7Aw=")</f>
        <v>#VALUE!</v>
      </c>
      <c r="N99" t="e">
        <f>AND(Bills!P335,"AAAAAGK/7A0=")</f>
        <v>#VALUE!</v>
      </c>
      <c r="O99" t="e">
        <f>AND(Bills!Q335,"AAAAAGK/7A4=")</f>
        <v>#VALUE!</v>
      </c>
      <c r="P99" t="e">
        <f>AND(Bills!R335,"AAAAAGK/7A8=")</f>
        <v>#VALUE!</v>
      </c>
      <c r="Q99" t="e">
        <f>AND(Bills!S335,"AAAAAGK/7BA=")</f>
        <v>#VALUE!</v>
      </c>
      <c r="R99" t="e">
        <f>AND(Bills!T335,"AAAAAGK/7BE=")</f>
        <v>#VALUE!</v>
      </c>
      <c r="S99" t="e">
        <f>AND(Bills!#REF!,"AAAAAGK/7BI=")</f>
        <v>#REF!</v>
      </c>
      <c r="T99" t="e">
        <f>AND(Bills!U335,"AAAAAGK/7BM=")</f>
        <v>#VALUE!</v>
      </c>
      <c r="U99" t="e">
        <f>AND(Bills!V335,"AAAAAGK/7BQ=")</f>
        <v>#VALUE!</v>
      </c>
      <c r="V99" t="e">
        <f>AND(Bills!W335,"AAAAAGK/7BU=")</f>
        <v>#VALUE!</v>
      </c>
      <c r="W99" t="e">
        <f>AND(Bills!#REF!,"AAAAAGK/7BY=")</f>
        <v>#REF!</v>
      </c>
      <c r="X99" t="e">
        <f>AND(Bills!#REF!,"AAAAAGK/7Bc=")</f>
        <v>#REF!</v>
      </c>
      <c r="Y99" t="e">
        <f>AND(Bills!Y335,"AAAAAGK/7Bg=")</f>
        <v>#VALUE!</v>
      </c>
      <c r="Z99" t="e">
        <f>AND(Bills!Z335,"AAAAAGK/7Bk=")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AND(Bills!AA335,"AAAAAGK/7CM=")</f>
        <v>#VALUE!</v>
      </c>
      <c r="AK99" t="e">
        <f>AND(Bills!AB335,"AAAAAGK/7CQ=")</f>
        <v>#VALUE!</v>
      </c>
      <c r="AL99" t="e">
        <f>AND(Bills!#REF!,"AAAAAGK/7CU=")</f>
        <v>#REF!</v>
      </c>
      <c r="AM99" t="e">
        <f>AND(Bills!#REF!,"AAAAAGK/7CY=")</f>
        <v>#REF!</v>
      </c>
      <c r="AN99" t="e">
        <f>AND(Bills!#REF!,"AAAAAGK/7Cc=")</f>
        <v>#REF!</v>
      </c>
      <c r="AO99" t="e">
        <f>AND(Bills!AC335,"AAAAAGK/7Cg=")</f>
        <v>#VALUE!</v>
      </c>
      <c r="AP99" t="e">
        <f>AND(Bills!AD335,"AAAAAGK/7Ck=")</f>
        <v>#VALUE!</v>
      </c>
      <c r="AQ99" t="e">
        <f>AND(Bills!#REF!,"AAAAAGK/7Co=")</f>
        <v>#REF!</v>
      </c>
      <c r="AR99">
        <f>IF(Bills!336:336,"AAAAAGK/7Cs=",0)</f>
        <v>0</v>
      </c>
      <c r="AS99" t="e">
        <f>AND(Bills!B336,"AAAAAGK/7Cw=")</f>
        <v>#VALUE!</v>
      </c>
      <c r="AT99" t="e">
        <f>AND(Bills!#REF!,"AAAAAGK/7C0=")</f>
        <v>#REF!</v>
      </c>
      <c r="AU99" t="e">
        <f>AND(Bills!C336,"AAAAAGK/7C4=")</f>
        <v>#VALUE!</v>
      </c>
      <c r="AV99" t="e">
        <f>AND(Bills!D336,"AAAAAGK/7C8=")</f>
        <v>#VALUE!</v>
      </c>
      <c r="AW99" t="e">
        <f>AND(Bills!E336,"AAAAAGK/7DA=")</f>
        <v>#VALUE!</v>
      </c>
      <c r="AX99" t="e">
        <f>AND(Bills!#REF!,"AAAAAGK/7DE=")</f>
        <v>#REF!</v>
      </c>
      <c r="AY99" t="e">
        <f>AND(Bills!#REF!,"AAAAAGK/7DI=")</f>
        <v>#REF!</v>
      </c>
      <c r="AZ99" t="e">
        <f>AND(Bills!#REF!,"AAAAAGK/7DM=")</f>
        <v>#REF!</v>
      </c>
      <c r="BA99" t="e">
        <f>AND(Bills!F336,"AAAAAGK/7DQ=")</f>
        <v>#VALUE!</v>
      </c>
      <c r="BB99" t="e">
        <f>AND(Bills!#REF!,"AAAAAGK/7DU=")</f>
        <v>#REF!</v>
      </c>
      <c r="BC99" t="e">
        <f>AND(Bills!G336,"AAAAAGK/7DY=")</f>
        <v>#VALUE!</v>
      </c>
      <c r="BD99" t="e">
        <f>AND(Bills!H336,"AAAAAGK/7Dc=")</f>
        <v>#VALUE!</v>
      </c>
      <c r="BE99" t="e">
        <f>AND(Bills!I336,"AAAAAGK/7Dg=")</f>
        <v>#VALUE!</v>
      </c>
      <c r="BF99" t="e">
        <f>AND(Bills!J336,"AAAAAGK/7Dk=")</f>
        <v>#VALUE!</v>
      </c>
      <c r="BG99" t="e">
        <f>AND(Bills!K336,"AAAAAGK/7Do=")</f>
        <v>#VALUE!</v>
      </c>
      <c r="BH99" t="e">
        <f>AND(Bills!L336,"AAAAAGK/7Ds=")</f>
        <v>#VALUE!</v>
      </c>
      <c r="BI99" t="e">
        <f>AND(Bills!#REF!,"AAAAAGK/7Dw=")</f>
        <v>#REF!</v>
      </c>
      <c r="BJ99" t="e">
        <f>AND(Bills!M336,"AAAAAGK/7D0=")</f>
        <v>#VALUE!</v>
      </c>
      <c r="BK99" t="e">
        <f>AND(Bills!N336,"AAAAAGK/7D4=")</f>
        <v>#VALUE!</v>
      </c>
      <c r="BL99" t="e">
        <f>AND(Bills!O336,"AAAAAGK/7D8=")</f>
        <v>#VALUE!</v>
      </c>
      <c r="BM99" t="e">
        <f>AND(Bills!P336,"AAAAAGK/7EA=")</f>
        <v>#VALUE!</v>
      </c>
      <c r="BN99" t="e">
        <f>AND(Bills!Q336,"AAAAAGK/7EE=")</f>
        <v>#VALUE!</v>
      </c>
      <c r="BO99" t="e">
        <f>AND(Bills!R336,"AAAAAGK/7EI=")</f>
        <v>#VALUE!</v>
      </c>
      <c r="BP99" t="e">
        <f>AND(Bills!S336,"AAAAAGK/7EM=")</f>
        <v>#VALUE!</v>
      </c>
      <c r="BQ99" t="e">
        <f>AND(Bills!T336,"AAAAAGK/7EQ=")</f>
        <v>#VALUE!</v>
      </c>
      <c r="BR99" t="e">
        <f>AND(Bills!#REF!,"AAAAAGK/7EU=")</f>
        <v>#REF!</v>
      </c>
      <c r="BS99" t="e">
        <f>AND(Bills!U336,"AAAAAGK/7EY=")</f>
        <v>#VALUE!</v>
      </c>
      <c r="BT99" t="e">
        <f>AND(Bills!V336,"AAAAAGK/7Ec=")</f>
        <v>#VALUE!</v>
      </c>
      <c r="BU99" t="e">
        <f>AND(Bills!W336,"AAAAAGK/7Eg=")</f>
        <v>#VALUE!</v>
      </c>
      <c r="BV99" t="e">
        <f>AND(Bills!#REF!,"AAAAAGK/7Ek=")</f>
        <v>#REF!</v>
      </c>
      <c r="BW99" t="e">
        <f>AND(Bills!#REF!,"AAAAAGK/7Eo=")</f>
        <v>#REF!</v>
      </c>
      <c r="BX99" t="e">
        <f>AND(Bills!Y336,"AAAAAGK/7Es=")</f>
        <v>#VALUE!</v>
      </c>
      <c r="BY99" t="e">
        <f>AND(Bills!Z336,"AAAAAGK/7Ew=")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AND(Bills!AA336,"AAAAAGK/7FY=")</f>
        <v>#VALUE!</v>
      </c>
      <c r="CJ99" t="e">
        <f>AND(Bills!AB336,"AAAAAGK/7Fc=")</f>
        <v>#VALUE!</v>
      </c>
      <c r="CK99" t="e">
        <f>AND(Bills!#REF!,"AAAAAGK/7Fg=")</f>
        <v>#REF!</v>
      </c>
      <c r="CL99" t="e">
        <f>AND(Bills!#REF!,"AAAAAGK/7Fk=")</f>
        <v>#REF!</v>
      </c>
      <c r="CM99" t="e">
        <f>AND(Bills!#REF!,"AAAAAGK/7Fo=")</f>
        <v>#REF!</v>
      </c>
      <c r="CN99" t="e">
        <f>AND(Bills!AC336,"AAAAAGK/7Fs=")</f>
        <v>#VALUE!</v>
      </c>
      <c r="CO99" t="e">
        <f>AND(Bills!AD336,"AAAAAGK/7Fw=")</f>
        <v>#VALUE!</v>
      </c>
      <c r="CP99" t="e">
        <f>AND(Bills!#REF!,"AAAAAGK/7F0=")</f>
        <v>#REF!</v>
      </c>
      <c r="CQ99">
        <f>IF(Bills!337:337,"AAAAAGK/7F4=",0)</f>
        <v>0</v>
      </c>
      <c r="CR99" t="e">
        <f>AND(Bills!B337,"AAAAAGK/7F8=")</f>
        <v>#VALUE!</v>
      </c>
      <c r="CS99" t="e">
        <f>AND(Bills!#REF!,"AAAAAGK/7GA=")</f>
        <v>#REF!</v>
      </c>
      <c r="CT99" t="e">
        <f>AND(Bills!C337,"AAAAAGK/7GE=")</f>
        <v>#VALUE!</v>
      </c>
      <c r="CU99" t="e">
        <f>AND(Bills!D337,"AAAAAGK/7GI=")</f>
        <v>#VALUE!</v>
      </c>
      <c r="CV99" t="e">
        <f>AND(Bills!E337,"AAAAAGK/7GM=")</f>
        <v>#VALUE!</v>
      </c>
      <c r="CW99" t="e">
        <f>AND(Bills!#REF!,"AAAAAGK/7GQ=")</f>
        <v>#REF!</v>
      </c>
      <c r="CX99" t="e">
        <f>AND(Bills!#REF!,"AAAAAGK/7GU=")</f>
        <v>#REF!</v>
      </c>
      <c r="CY99" t="e">
        <f>AND(Bills!#REF!,"AAAAAGK/7GY=")</f>
        <v>#REF!</v>
      </c>
      <c r="CZ99" t="e">
        <f>AND(Bills!F337,"AAAAAGK/7Gc=")</f>
        <v>#VALUE!</v>
      </c>
      <c r="DA99" t="e">
        <f>AND(Bills!#REF!,"AAAAAGK/7Gg=")</f>
        <v>#REF!</v>
      </c>
      <c r="DB99" t="e">
        <f>AND(Bills!G337,"AAAAAGK/7Gk=")</f>
        <v>#VALUE!</v>
      </c>
      <c r="DC99" t="e">
        <f>AND(Bills!H337,"AAAAAGK/7Go=")</f>
        <v>#VALUE!</v>
      </c>
      <c r="DD99" t="e">
        <f>AND(Bills!I337,"AAAAAGK/7Gs=")</f>
        <v>#VALUE!</v>
      </c>
      <c r="DE99" t="e">
        <f>AND(Bills!J337,"AAAAAGK/7Gw=")</f>
        <v>#VALUE!</v>
      </c>
      <c r="DF99" t="e">
        <f>AND(Bills!K337,"AAAAAGK/7G0=")</f>
        <v>#VALUE!</v>
      </c>
      <c r="DG99" t="e">
        <f>AND(Bills!L337,"AAAAAGK/7G4=")</f>
        <v>#VALUE!</v>
      </c>
      <c r="DH99" t="e">
        <f>AND(Bills!#REF!,"AAAAAGK/7G8=")</f>
        <v>#REF!</v>
      </c>
      <c r="DI99" t="e">
        <f>AND(Bills!M337,"AAAAAGK/7HA=")</f>
        <v>#VALUE!</v>
      </c>
      <c r="DJ99" t="e">
        <f>AND(Bills!N337,"AAAAAGK/7HE=")</f>
        <v>#VALUE!</v>
      </c>
      <c r="DK99" t="e">
        <f>AND(Bills!O337,"AAAAAGK/7HI=")</f>
        <v>#VALUE!</v>
      </c>
      <c r="DL99" t="e">
        <f>AND(Bills!P337,"AAAAAGK/7HM=")</f>
        <v>#VALUE!</v>
      </c>
      <c r="DM99" t="e">
        <f>AND(Bills!Q337,"AAAAAGK/7HQ=")</f>
        <v>#VALUE!</v>
      </c>
      <c r="DN99" t="e">
        <f>AND(Bills!R337,"AAAAAGK/7HU=")</f>
        <v>#VALUE!</v>
      </c>
      <c r="DO99" t="e">
        <f>AND(Bills!S337,"AAAAAGK/7HY=")</f>
        <v>#VALUE!</v>
      </c>
      <c r="DP99" t="e">
        <f>AND(Bills!T337,"AAAAAGK/7Hc=")</f>
        <v>#VALUE!</v>
      </c>
      <c r="DQ99" t="e">
        <f>AND(Bills!#REF!,"AAAAAGK/7Hg=")</f>
        <v>#REF!</v>
      </c>
      <c r="DR99" t="e">
        <f>AND(Bills!U337,"AAAAAGK/7Hk=")</f>
        <v>#VALUE!</v>
      </c>
      <c r="DS99" t="e">
        <f>AND(Bills!V337,"AAAAAGK/7Ho=")</f>
        <v>#VALUE!</v>
      </c>
      <c r="DT99" t="e">
        <f>AND(Bills!W337,"AAAAAGK/7Hs=")</f>
        <v>#VALUE!</v>
      </c>
      <c r="DU99" t="e">
        <f>AND(Bills!#REF!,"AAAAAGK/7Hw=")</f>
        <v>#REF!</v>
      </c>
      <c r="DV99" t="e">
        <f>AND(Bills!#REF!,"AAAAAGK/7H0=")</f>
        <v>#REF!</v>
      </c>
      <c r="DW99" t="e">
        <f>AND(Bills!Y337,"AAAAAGK/7H4=")</f>
        <v>#VALUE!</v>
      </c>
      <c r="DX99" t="e">
        <f>AND(Bills!Z337,"AAAAAGK/7H8=")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AND(Bills!AA337,"AAAAAGK/7Ik=")</f>
        <v>#VALUE!</v>
      </c>
      <c r="EI99" t="e">
        <f>AND(Bills!AB337,"AAAAAGK/7Io=")</f>
        <v>#VALUE!</v>
      </c>
      <c r="EJ99" t="e">
        <f>AND(Bills!#REF!,"AAAAAGK/7Is=")</f>
        <v>#REF!</v>
      </c>
      <c r="EK99" t="e">
        <f>AND(Bills!#REF!,"AAAAAGK/7Iw=")</f>
        <v>#REF!</v>
      </c>
      <c r="EL99" t="e">
        <f>AND(Bills!#REF!,"AAAAAGK/7I0=")</f>
        <v>#REF!</v>
      </c>
      <c r="EM99" t="e">
        <f>AND(Bills!AC337,"AAAAAGK/7I4=")</f>
        <v>#VALUE!</v>
      </c>
      <c r="EN99" t="e">
        <f>AND(Bills!AD337,"AAAAAGK/7I8=")</f>
        <v>#VALUE!</v>
      </c>
      <c r="EO99" t="e">
        <f>AND(Bills!#REF!,"AAAAAGK/7JA=")</f>
        <v>#REF!</v>
      </c>
      <c r="EP99">
        <f>IF(Bills!338:338,"AAAAAGK/7JE=",0)</f>
        <v>0</v>
      </c>
      <c r="EQ99" t="e">
        <f>AND(Bills!B338,"AAAAAGK/7JI=")</f>
        <v>#VALUE!</v>
      </c>
      <c r="ER99" t="e">
        <f>AND(Bills!#REF!,"AAAAAGK/7JM=")</f>
        <v>#REF!</v>
      </c>
      <c r="ES99" t="e">
        <f>AND(Bills!C338,"AAAAAGK/7JQ=")</f>
        <v>#VALUE!</v>
      </c>
      <c r="ET99" t="e">
        <f>AND(Bills!D338,"AAAAAGK/7JU=")</f>
        <v>#VALUE!</v>
      </c>
      <c r="EU99" t="e">
        <f>AND(Bills!E338,"AAAAAGK/7JY=")</f>
        <v>#VALUE!</v>
      </c>
      <c r="EV99" t="e">
        <f>AND(Bills!#REF!,"AAAAAGK/7Jc=")</f>
        <v>#REF!</v>
      </c>
      <c r="EW99" t="e">
        <f>AND(Bills!#REF!,"AAAAAGK/7Jg=")</f>
        <v>#REF!</v>
      </c>
      <c r="EX99" t="e">
        <f>AND(Bills!#REF!,"AAAAAGK/7Jk=")</f>
        <v>#REF!</v>
      </c>
      <c r="EY99" t="e">
        <f>AND(Bills!F338,"AAAAAGK/7Jo=")</f>
        <v>#VALUE!</v>
      </c>
      <c r="EZ99" t="e">
        <f>AND(Bills!#REF!,"AAAAAGK/7Js=")</f>
        <v>#REF!</v>
      </c>
      <c r="FA99" t="e">
        <f>AND(Bills!G338,"AAAAAGK/7Jw=")</f>
        <v>#VALUE!</v>
      </c>
      <c r="FB99" t="e">
        <f>AND(Bills!H338,"AAAAAGK/7J0=")</f>
        <v>#VALUE!</v>
      </c>
      <c r="FC99" t="e">
        <f>AND(Bills!I338,"AAAAAGK/7J4=")</f>
        <v>#VALUE!</v>
      </c>
      <c r="FD99" t="e">
        <f>AND(Bills!J338,"AAAAAGK/7J8=")</f>
        <v>#VALUE!</v>
      </c>
      <c r="FE99" t="e">
        <f>AND(Bills!K338,"AAAAAGK/7KA=")</f>
        <v>#VALUE!</v>
      </c>
      <c r="FF99" t="e">
        <f>AND(Bills!L338,"AAAAAGK/7KE=")</f>
        <v>#VALUE!</v>
      </c>
      <c r="FG99" t="e">
        <f>AND(Bills!#REF!,"AAAAAGK/7KI=")</f>
        <v>#REF!</v>
      </c>
      <c r="FH99" t="e">
        <f>AND(Bills!M338,"AAAAAGK/7KM=")</f>
        <v>#VALUE!</v>
      </c>
      <c r="FI99" t="e">
        <f>AND(Bills!N338,"AAAAAGK/7KQ=")</f>
        <v>#VALUE!</v>
      </c>
      <c r="FJ99" t="e">
        <f>AND(Bills!O338,"AAAAAGK/7KU=")</f>
        <v>#VALUE!</v>
      </c>
      <c r="FK99" t="e">
        <f>AND(Bills!P338,"AAAAAGK/7KY=")</f>
        <v>#VALUE!</v>
      </c>
      <c r="FL99" t="e">
        <f>AND(Bills!Q338,"AAAAAGK/7Kc=")</f>
        <v>#VALUE!</v>
      </c>
      <c r="FM99" t="e">
        <f>AND(Bills!R338,"AAAAAGK/7Kg=")</f>
        <v>#VALUE!</v>
      </c>
      <c r="FN99" t="e">
        <f>AND(Bills!S338,"AAAAAGK/7Kk=")</f>
        <v>#VALUE!</v>
      </c>
      <c r="FO99" t="e">
        <f>AND(Bills!T338,"AAAAAGK/7Ko=")</f>
        <v>#VALUE!</v>
      </c>
      <c r="FP99" t="e">
        <f>AND(Bills!#REF!,"AAAAAGK/7Ks=")</f>
        <v>#REF!</v>
      </c>
      <c r="FQ99" t="e">
        <f>AND(Bills!U338,"AAAAAGK/7Kw=")</f>
        <v>#VALUE!</v>
      </c>
      <c r="FR99" t="e">
        <f>AND(Bills!V338,"AAAAAGK/7K0=")</f>
        <v>#VALUE!</v>
      </c>
      <c r="FS99" t="e">
        <f>AND(Bills!W338,"AAAAAGK/7K4=")</f>
        <v>#VALUE!</v>
      </c>
      <c r="FT99" t="e">
        <f>AND(Bills!#REF!,"AAAAAGK/7K8=")</f>
        <v>#REF!</v>
      </c>
      <c r="FU99" t="e">
        <f>AND(Bills!#REF!,"AAAAAGK/7LA=")</f>
        <v>#REF!</v>
      </c>
      <c r="FV99" t="e">
        <f>AND(Bills!Y338,"AAAAAGK/7LE=")</f>
        <v>#VALUE!</v>
      </c>
      <c r="FW99" t="e">
        <f>AND(Bills!Z338,"AAAAAGK/7LI=")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AND(Bills!AA338,"AAAAAGK/7Lw=")</f>
        <v>#VALUE!</v>
      </c>
      <c r="GH99" t="e">
        <f>AND(Bills!AB338,"AAAAAGK/7L0=")</f>
        <v>#VALUE!</v>
      </c>
      <c r="GI99" t="e">
        <f>AND(Bills!#REF!,"AAAAAGK/7L4=")</f>
        <v>#REF!</v>
      </c>
      <c r="GJ99" t="e">
        <f>AND(Bills!#REF!,"AAAAAGK/7L8=")</f>
        <v>#REF!</v>
      </c>
      <c r="GK99" t="e">
        <f>AND(Bills!#REF!,"AAAAAGK/7MA=")</f>
        <v>#REF!</v>
      </c>
      <c r="GL99" t="e">
        <f>AND(Bills!AC338,"AAAAAGK/7ME=")</f>
        <v>#VALUE!</v>
      </c>
      <c r="GM99" t="e">
        <f>AND(Bills!AD338,"AAAAAGK/7MI=")</f>
        <v>#VALUE!</v>
      </c>
      <c r="GN99" t="e">
        <f>AND(Bills!#REF!,"AAAAAGK/7MM=")</f>
        <v>#REF!</v>
      </c>
      <c r="GO99">
        <f>IF(Bills!339:339,"AAAAAGK/7MQ=",0)</f>
        <v>0</v>
      </c>
      <c r="GP99" t="e">
        <f>AND(Bills!B339,"AAAAAGK/7MU=")</f>
        <v>#VALUE!</v>
      </c>
      <c r="GQ99" t="e">
        <f>AND(Bills!#REF!,"AAAAAGK/7MY=")</f>
        <v>#REF!</v>
      </c>
      <c r="GR99" t="e">
        <f>AND(Bills!C339,"AAAAAGK/7Mc=")</f>
        <v>#VALUE!</v>
      </c>
      <c r="GS99" t="e">
        <f>AND(Bills!D339,"AAAAAGK/7Mg=")</f>
        <v>#VALUE!</v>
      </c>
      <c r="GT99" t="e">
        <f>AND(Bills!E339,"AAAAAGK/7Mk=")</f>
        <v>#VALUE!</v>
      </c>
      <c r="GU99" t="e">
        <f>AND(Bills!#REF!,"AAAAAGK/7Mo=")</f>
        <v>#REF!</v>
      </c>
      <c r="GV99" t="e">
        <f>AND(Bills!#REF!,"AAAAAGK/7Ms=")</f>
        <v>#REF!</v>
      </c>
      <c r="GW99" t="e">
        <f>AND(Bills!#REF!,"AAAAAGK/7Mw=")</f>
        <v>#REF!</v>
      </c>
      <c r="GX99" t="e">
        <f>AND(Bills!F339,"AAAAAGK/7M0=")</f>
        <v>#VALUE!</v>
      </c>
      <c r="GY99" t="e">
        <f>AND(Bills!#REF!,"AAAAAGK/7M4=")</f>
        <v>#REF!</v>
      </c>
      <c r="GZ99" t="e">
        <f>AND(Bills!G339,"AAAAAGK/7M8=")</f>
        <v>#VALUE!</v>
      </c>
      <c r="HA99" t="e">
        <f>AND(Bills!H339,"AAAAAGK/7NA=")</f>
        <v>#VALUE!</v>
      </c>
      <c r="HB99" t="e">
        <f>AND(Bills!I339,"AAAAAGK/7NE=")</f>
        <v>#VALUE!</v>
      </c>
      <c r="HC99" t="e">
        <f>AND(Bills!J339,"AAAAAGK/7NI=")</f>
        <v>#VALUE!</v>
      </c>
      <c r="HD99" t="e">
        <f>AND(Bills!K339,"AAAAAGK/7NM=")</f>
        <v>#VALUE!</v>
      </c>
      <c r="HE99" t="e">
        <f>AND(Bills!L339,"AAAAAGK/7NQ=")</f>
        <v>#VALUE!</v>
      </c>
      <c r="HF99" t="e">
        <f>AND(Bills!#REF!,"AAAAAGK/7NU=")</f>
        <v>#REF!</v>
      </c>
      <c r="HG99" t="e">
        <f>AND(Bills!M339,"AAAAAGK/7NY=")</f>
        <v>#VALUE!</v>
      </c>
      <c r="HH99" t="e">
        <f>AND(Bills!N339,"AAAAAGK/7Nc=")</f>
        <v>#VALUE!</v>
      </c>
      <c r="HI99" t="e">
        <f>AND(Bills!O339,"AAAAAGK/7Ng=")</f>
        <v>#VALUE!</v>
      </c>
      <c r="HJ99" t="e">
        <f>AND(Bills!P339,"AAAAAGK/7Nk=")</f>
        <v>#VALUE!</v>
      </c>
      <c r="HK99" t="e">
        <f>AND(Bills!Q339,"AAAAAGK/7No=")</f>
        <v>#VALUE!</v>
      </c>
      <c r="HL99" t="e">
        <f>AND(Bills!R339,"AAAAAGK/7Ns=")</f>
        <v>#VALUE!</v>
      </c>
      <c r="HM99" t="e">
        <f>AND(Bills!S339,"AAAAAGK/7Nw=")</f>
        <v>#VALUE!</v>
      </c>
      <c r="HN99" t="e">
        <f>AND(Bills!T339,"AAAAAGK/7N0=")</f>
        <v>#VALUE!</v>
      </c>
      <c r="HO99" t="e">
        <f>AND(Bills!#REF!,"AAAAAGK/7N4=")</f>
        <v>#REF!</v>
      </c>
      <c r="HP99" t="e">
        <f>AND(Bills!U339,"AAAAAGK/7N8=")</f>
        <v>#VALUE!</v>
      </c>
      <c r="HQ99" t="e">
        <f>AND(Bills!V339,"AAAAAGK/7OA=")</f>
        <v>#VALUE!</v>
      </c>
      <c r="HR99" t="e">
        <f>AND(Bills!W339,"AAAAAGK/7OE=")</f>
        <v>#VALUE!</v>
      </c>
      <c r="HS99" t="e">
        <f>AND(Bills!#REF!,"AAAAAGK/7OI=")</f>
        <v>#REF!</v>
      </c>
      <c r="HT99" t="e">
        <f>AND(Bills!#REF!,"AAAAAGK/7OM=")</f>
        <v>#REF!</v>
      </c>
      <c r="HU99" t="e">
        <f>AND(Bills!Y339,"AAAAAGK/7OQ=")</f>
        <v>#VALUE!</v>
      </c>
      <c r="HV99" t="e">
        <f>AND(Bills!Z339,"AAAAAGK/7OU=")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AND(Bills!AA339,"AAAAAGK/7O8=")</f>
        <v>#VALUE!</v>
      </c>
      <c r="IG99" t="e">
        <f>AND(Bills!AB339,"AAAAAGK/7PA=")</f>
        <v>#VALUE!</v>
      </c>
      <c r="IH99" t="e">
        <f>AND(Bills!#REF!,"AAAAAGK/7PE=")</f>
        <v>#REF!</v>
      </c>
      <c r="II99" t="e">
        <f>AND(Bills!#REF!,"AAAAAGK/7PI=")</f>
        <v>#REF!</v>
      </c>
      <c r="IJ99" t="e">
        <f>AND(Bills!#REF!,"AAAAAGK/7PM=")</f>
        <v>#REF!</v>
      </c>
      <c r="IK99" t="e">
        <f>AND(Bills!AC339,"AAAAAGK/7PQ=")</f>
        <v>#VALUE!</v>
      </c>
      <c r="IL99" t="e">
        <f>AND(Bills!AD339,"AAAAAGK/7PU=")</f>
        <v>#VALUE!</v>
      </c>
      <c r="IM99" t="e">
        <f>AND(Bills!#REF!,"AAAAAGK/7PY=")</f>
        <v>#REF!</v>
      </c>
      <c r="IN99">
        <f>IF(Bills!340:340,"AAAAAGK/7Pc=",0)</f>
        <v>0</v>
      </c>
      <c r="IO99" t="e">
        <f>AND(Bills!B340,"AAAAAGK/7Pg=")</f>
        <v>#VALUE!</v>
      </c>
      <c r="IP99" t="e">
        <f>AND(Bills!#REF!,"AAAAAGK/7Pk=")</f>
        <v>#REF!</v>
      </c>
      <c r="IQ99" t="e">
        <f>AND(Bills!C340,"AAAAAGK/7Po=")</f>
        <v>#VALUE!</v>
      </c>
      <c r="IR99" t="e">
        <f>AND(Bills!D340,"AAAAAGK/7Ps=")</f>
        <v>#VALUE!</v>
      </c>
      <c r="IS99" t="e">
        <f>AND(Bills!E340,"AAAAAGK/7Pw=")</f>
        <v>#VALUE!</v>
      </c>
      <c r="IT99" t="e">
        <f>AND(Bills!#REF!,"AAAAAGK/7P0=")</f>
        <v>#REF!</v>
      </c>
      <c r="IU99" t="e">
        <f>AND(Bills!#REF!,"AAAAAGK/7P4=")</f>
        <v>#REF!</v>
      </c>
      <c r="IV99" t="e">
        <f>AND(Bills!#REF!,"AAAAAGK/7P8=")</f>
        <v>#REF!</v>
      </c>
    </row>
    <row r="100" spans="1:256">
      <c r="A100" t="e">
        <f>AND(Bills!F340,"AAAAAD/06wA=")</f>
        <v>#VALUE!</v>
      </c>
      <c r="B100" t="e">
        <f>AND(Bills!#REF!,"AAAAAD/06wE=")</f>
        <v>#REF!</v>
      </c>
      <c r="C100" t="e">
        <f>AND(Bills!G340,"AAAAAD/06wI=")</f>
        <v>#VALUE!</v>
      </c>
      <c r="D100" t="e">
        <f>AND(Bills!H340,"AAAAAD/06wM=")</f>
        <v>#VALUE!</v>
      </c>
      <c r="E100" t="e">
        <f>AND(Bills!I340,"AAAAAD/06wQ=")</f>
        <v>#VALUE!</v>
      </c>
      <c r="F100" t="e">
        <f>AND(Bills!J340,"AAAAAD/06wU=")</f>
        <v>#VALUE!</v>
      </c>
      <c r="G100" t="e">
        <f>AND(Bills!K340,"AAAAAD/06wY=")</f>
        <v>#VALUE!</v>
      </c>
      <c r="H100" t="e">
        <f>AND(Bills!L340,"AAAAAD/06wc=")</f>
        <v>#VALUE!</v>
      </c>
      <c r="I100" t="e">
        <f>AND(Bills!#REF!,"AAAAAD/06wg=")</f>
        <v>#REF!</v>
      </c>
      <c r="J100" t="e">
        <f>AND(Bills!M340,"AAAAAD/06wk=")</f>
        <v>#VALUE!</v>
      </c>
      <c r="K100" t="e">
        <f>AND(Bills!N340,"AAAAAD/06wo=")</f>
        <v>#VALUE!</v>
      </c>
      <c r="L100" t="e">
        <f>AND(Bills!O340,"AAAAAD/06ws=")</f>
        <v>#VALUE!</v>
      </c>
      <c r="M100" t="e">
        <f>AND(Bills!P340,"AAAAAD/06ww=")</f>
        <v>#VALUE!</v>
      </c>
      <c r="N100" t="e">
        <f>AND(Bills!Q340,"AAAAAD/06w0=")</f>
        <v>#VALUE!</v>
      </c>
      <c r="O100" t="e">
        <f>AND(Bills!R340,"AAAAAD/06w4=")</f>
        <v>#VALUE!</v>
      </c>
      <c r="P100" t="e">
        <f>AND(Bills!S340,"AAAAAD/06w8=")</f>
        <v>#VALUE!</v>
      </c>
      <c r="Q100" t="e">
        <f>AND(Bills!T340,"AAAAAD/06xA=")</f>
        <v>#VALUE!</v>
      </c>
      <c r="R100" t="e">
        <f>AND(Bills!#REF!,"AAAAAD/06xE=")</f>
        <v>#REF!</v>
      </c>
      <c r="S100" t="e">
        <f>AND(Bills!U340,"AAAAAD/06xI=")</f>
        <v>#VALUE!</v>
      </c>
      <c r="T100" t="e">
        <f>AND(Bills!V340,"AAAAAD/06xM=")</f>
        <v>#VALUE!</v>
      </c>
      <c r="U100" t="e">
        <f>AND(Bills!W340,"AAAAAD/06xQ=")</f>
        <v>#VALUE!</v>
      </c>
      <c r="V100" t="e">
        <f>AND(Bills!#REF!,"AAAAAD/06xU=")</f>
        <v>#REF!</v>
      </c>
      <c r="W100" t="e">
        <f>AND(Bills!#REF!,"AAAAAD/06xY=")</f>
        <v>#REF!</v>
      </c>
      <c r="X100" t="e">
        <f>AND(Bills!Y340,"AAAAAD/06xc=")</f>
        <v>#VALUE!</v>
      </c>
      <c r="Y100" t="e">
        <f>AND(Bills!Z340,"AAAAAD/06xg=")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AND(Bills!AA340,"AAAAAD/06yI=")</f>
        <v>#VALUE!</v>
      </c>
      <c r="AJ100" t="e">
        <f>AND(Bills!AB340,"AAAAAD/06yM=")</f>
        <v>#VALUE!</v>
      </c>
      <c r="AK100" t="e">
        <f>AND(Bills!#REF!,"AAAAAD/06yQ=")</f>
        <v>#REF!</v>
      </c>
      <c r="AL100" t="e">
        <f>AND(Bills!#REF!,"AAAAAD/06yU=")</f>
        <v>#REF!</v>
      </c>
      <c r="AM100" t="e">
        <f>AND(Bills!#REF!,"AAAAAD/06yY=")</f>
        <v>#REF!</v>
      </c>
      <c r="AN100" t="e">
        <f>AND(Bills!AC340,"AAAAAD/06yc=")</f>
        <v>#VALUE!</v>
      </c>
      <c r="AO100" t="e">
        <f>AND(Bills!AD340,"AAAAAD/06yg=")</f>
        <v>#VALUE!</v>
      </c>
      <c r="AP100" t="e">
        <f>AND(Bills!#REF!,"AAAAAD/06yk=")</f>
        <v>#REF!</v>
      </c>
      <c r="AQ100">
        <f>IF(Bills!341:341,"AAAAAD/06yo=",0)</f>
        <v>0</v>
      </c>
      <c r="AR100" t="e">
        <f>AND(Bills!B341,"AAAAAD/06ys=")</f>
        <v>#VALUE!</v>
      </c>
      <c r="AS100" t="e">
        <f>AND(Bills!#REF!,"AAAAAD/06yw=")</f>
        <v>#REF!</v>
      </c>
      <c r="AT100" t="e">
        <f>AND(Bills!C341,"AAAAAD/06y0=")</f>
        <v>#VALUE!</v>
      </c>
      <c r="AU100" t="e">
        <f>AND(Bills!D341,"AAAAAD/06y4=")</f>
        <v>#VALUE!</v>
      </c>
      <c r="AV100" t="e">
        <f>AND(Bills!E341,"AAAAAD/06y8=")</f>
        <v>#VALUE!</v>
      </c>
      <c r="AW100" t="e">
        <f>AND(Bills!#REF!,"AAAAAD/06zA=")</f>
        <v>#REF!</v>
      </c>
      <c r="AX100" t="e">
        <f>AND(Bills!#REF!,"AAAAAD/06zE=")</f>
        <v>#REF!</v>
      </c>
      <c r="AY100" t="e">
        <f>AND(Bills!#REF!,"AAAAAD/06zI=")</f>
        <v>#REF!</v>
      </c>
      <c r="AZ100" t="e">
        <f>AND(Bills!F341,"AAAAAD/06zM=")</f>
        <v>#VALUE!</v>
      </c>
      <c r="BA100" t="e">
        <f>AND(Bills!#REF!,"AAAAAD/06zQ=")</f>
        <v>#REF!</v>
      </c>
      <c r="BB100" t="e">
        <f>AND(Bills!G341,"AAAAAD/06zU=")</f>
        <v>#VALUE!</v>
      </c>
      <c r="BC100" t="e">
        <f>AND(Bills!H341,"AAAAAD/06zY=")</f>
        <v>#VALUE!</v>
      </c>
      <c r="BD100" t="e">
        <f>AND(Bills!I341,"AAAAAD/06zc=")</f>
        <v>#VALUE!</v>
      </c>
      <c r="BE100" t="e">
        <f>AND(Bills!J341,"AAAAAD/06zg=")</f>
        <v>#VALUE!</v>
      </c>
      <c r="BF100" t="e">
        <f>AND(Bills!K341,"AAAAAD/06zk=")</f>
        <v>#VALUE!</v>
      </c>
      <c r="BG100" t="e">
        <f>AND(Bills!L341,"AAAAAD/06zo=")</f>
        <v>#VALUE!</v>
      </c>
      <c r="BH100" t="e">
        <f>AND(Bills!#REF!,"AAAAAD/06zs=")</f>
        <v>#REF!</v>
      </c>
      <c r="BI100" t="e">
        <f>AND(Bills!M341,"AAAAAD/06zw=")</f>
        <v>#VALUE!</v>
      </c>
      <c r="BJ100" t="e">
        <f>AND(Bills!N341,"AAAAAD/06z0=")</f>
        <v>#VALUE!</v>
      </c>
      <c r="BK100" t="e">
        <f>AND(Bills!O341,"AAAAAD/06z4=")</f>
        <v>#VALUE!</v>
      </c>
      <c r="BL100" t="e">
        <f>AND(Bills!P341,"AAAAAD/06z8=")</f>
        <v>#VALUE!</v>
      </c>
      <c r="BM100" t="e">
        <f>AND(Bills!Q341,"AAAAAD/060A=")</f>
        <v>#VALUE!</v>
      </c>
      <c r="BN100" t="e">
        <f>AND(Bills!R341,"AAAAAD/060E=")</f>
        <v>#VALUE!</v>
      </c>
      <c r="BO100" t="e">
        <f>AND(Bills!S341,"AAAAAD/060I=")</f>
        <v>#VALUE!</v>
      </c>
      <c r="BP100" t="e">
        <f>AND(Bills!T341,"AAAAAD/060M=")</f>
        <v>#VALUE!</v>
      </c>
      <c r="BQ100" t="e">
        <f>AND(Bills!#REF!,"AAAAAD/060Q=")</f>
        <v>#REF!</v>
      </c>
      <c r="BR100" t="e">
        <f>AND(Bills!U341,"AAAAAD/060U=")</f>
        <v>#VALUE!</v>
      </c>
      <c r="BS100" t="e">
        <f>AND(Bills!V341,"AAAAAD/060Y=")</f>
        <v>#VALUE!</v>
      </c>
      <c r="BT100" t="e">
        <f>AND(Bills!W341,"AAAAAD/060c=")</f>
        <v>#VALUE!</v>
      </c>
      <c r="BU100" t="e">
        <f>AND(Bills!#REF!,"AAAAAD/060g=")</f>
        <v>#REF!</v>
      </c>
      <c r="BV100" t="e">
        <f>AND(Bills!#REF!,"AAAAAD/060k=")</f>
        <v>#REF!</v>
      </c>
      <c r="BW100" t="e">
        <f>AND(Bills!Y341,"AAAAAD/060o=")</f>
        <v>#VALUE!</v>
      </c>
      <c r="BX100" t="e">
        <f>AND(Bills!Z341,"AAAAAD/060s=")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AND(Bills!AA341,"AAAAAD/061U=")</f>
        <v>#VALUE!</v>
      </c>
      <c r="CI100" t="e">
        <f>AND(Bills!AB341,"AAAAAD/061Y=")</f>
        <v>#VALUE!</v>
      </c>
      <c r="CJ100" t="e">
        <f>AND(Bills!#REF!,"AAAAAD/061c=")</f>
        <v>#REF!</v>
      </c>
      <c r="CK100" t="e">
        <f>AND(Bills!#REF!,"AAAAAD/061g=")</f>
        <v>#REF!</v>
      </c>
      <c r="CL100" t="e">
        <f>AND(Bills!#REF!,"AAAAAD/061k=")</f>
        <v>#REF!</v>
      </c>
      <c r="CM100" t="e">
        <f>AND(Bills!AC341,"AAAAAD/061o=")</f>
        <v>#VALUE!</v>
      </c>
      <c r="CN100" t="e">
        <f>AND(Bills!AD341,"AAAAAD/061s=")</f>
        <v>#VALUE!</v>
      </c>
      <c r="CO100" t="e">
        <f>AND(Bills!#REF!,"AAAAAD/061w=")</f>
        <v>#REF!</v>
      </c>
      <c r="CP100">
        <f>IF(Bills!342:342,"AAAAAD/0610=",0)</f>
        <v>0</v>
      </c>
      <c r="CQ100" t="e">
        <f>AND(Bills!B342,"AAAAAD/0614=")</f>
        <v>#VALUE!</v>
      </c>
      <c r="CR100" t="e">
        <f>AND(Bills!#REF!,"AAAAAD/0618=")</f>
        <v>#REF!</v>
      </c>
      <c r="CS100" t="e">
        <f>AND(Bills!C342,"AAAAAD/062A=")</f>
        <v>#VALUE!</v>
      </c>
      <c r="CT100" t="e">
        <f>AND(Bills!D342,"AAAAAD/062E=")</f>
        <v>#VALUE!</v>
      </c>
      <c r="CU100" t="e">
        <f>AND(Bills!E342,"AAAAAD/062I=")</f>
        <v>#VALUE!</v>
      </c>
      <c r="CV100" t="e">
        <f>AND(Bills!#REF!,"AAAAAD/062M=")</f>
        <v>#REF!</v>
      </c>
      <c r="CW100" t="e">
        <f>AND(Bills!#REF!,"AAAAAD/062Q=")</f>
        <v>#REF!</v>
      </c>
      <c r="CX100" t="e">
        <f>AND(Bills!#REF!,"AAAAAD/062U=")</f>
        <v>#REF!</v>
      </c>
      <c r="CY100" t="e">
        <f>AND(Bills!F342,"AAAAAD/062Y=")</f>
        <v>#VALUE!</v>
      </c>
      <c r="CZ100" t="e">
        <f>AND(Bills!#REF!,"AAAAAD/062c=")</f>
        <v>#REF!</v>
      </c>
      <c r="DA100" t="e">
        <f>AND(Bills!G342,"AAAAAD/062g=")</f>
        <v>#VALUE!</v>
      </c>
      <c r="DB100" t="e">
        <f>AND(Bills!H342,"AAAAAD/062k=")</f>
        <v>#VALUE!</v>
      </c>
      <c r="DC100" t="e">
        <f>AND(Bills!I342,"AAAAAD/062o=")</f>
        <v>#VALUE!</v>
      </c>
      <c r="DD100" t="e">
        <f>AND(Bills!J342,"AAAAAD/062s=")</f>
        <v>#VALUE!</v>
      </c>
      <c r="DE100" t="e">
        <f>AND(Bills!K342,"AAAAAD/062w=")</f>
        <v>#VALUE!</v>
      </c>
      <c r="DF100" t="e">
        <f>AND(Bills!L342,"AAAAAD/0620=")</f>
        <v>#VALUE!</v>
      </c>
      <c r="DG100" t="e">
        <f>AND(Bills!#REF!,"AAAAAD/0624=")</f>
        <v>#REF!</v>
      </c>
      <c r="DH100" t="e">
        <f>AND(Bills!M342,"AAAAAD/0628=")</f>
        <v>#VALUE!</v>
      </c>
      <c r="DI100" t="e">
        <f>AND(Bills!N342,"AAAAAD/063A=")</f>
        <v>#VALUE!</v>
      </c>
      <c r="DJ100" t="e">
        <f>AND(Bills!O342,"AAAAAD/063E=")</f>
        <v>#VALUE!</v>
      </c>
      <c r="DK100" t="e">
        <f>AND(Bills!P342,"AAAAAD/063I=")</f>
        <v>#VALUE!</v>
      </c>
      <c r="DL100" t="e">
        <f>AND(Bills!Q342,"AAAAAD/063M=")</f>
        <v>#VALUE!</v>
      </c>
      <c r="DM100" t="e">
        <f>AND(Bills!R342,"AAAAAD/063Q=")</f>
        <v>#VALUE!</v>
      </c>
      <c r="DN100" t="e">
        <f>AND(Bills!S342,"AAAAAD/063U=")</f>
        <v>#VALUE!</v>
      </c>
      <c r="DO100" t="e">
        <f>AND(Bills!T342,"AAAAAD/063Y=")</f>
        <v>#VALUE!</v>
      </c>
      <c r="DP100" t="e">
        <f>AND(Bills!#REF!,"AAAAAD/063c=")</f>
        <v>#REF!</v>
      </c>
      <c r="DQ100" t="e">
        <f>AND(Bills!U342,"AAAAAD/063g=")</f>
        <v>#VALUE!</v>
      </c>
      <c r="DR100" t="e">
        <f>AND(Bills!V342,"AAAAAD/063k=")</f>
        <v>#VALUE!</v>
      </c>
      <c r="DS100" t="e">
        <f>AND(Bills!W342,"AAAAAD/063o=")</f>
        <v>#VALUE!</v>
      </c>
      <c r="DT100" t="e">
        <f>AND(Bills!#REF!,"AAAAAD/063s=")</f>
        <v>#REF!</v>
      </c>
      <c r="DU100" t="e">
        <f>AND(Bills!#REF!,"AAAAAD/063w=")</f>
        <v>#REF!</v>
      </c>
      <c r="DV100" t="e">
        <f>AND(Bills!Y342,"AAAAAD/0630=")</f>
        <v>#VALUE!</v>
      </c>
      <c r="DW100" t="e">
        <f>AND(Bills!Z342,"AAAAAD/0634=")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AND(Bills!AA342,"AAAAAD/064g=")</f>
        <v>#VALUE!</v>
      </c>
      <c r="EH100" t="e">
        <f>AND(Bills!AB342,"AAAAAD/064k=")</f>
        <v>#VALUE!</v>
      </c>
      <c r="EI100" t="e">
        <f>AND(Bills!#REF!,"AAAAAD/064o=")</f>
        <v>#REF!</v>
      </c>
      <c r="EJ100" t="e">
        <f>AND(Bills!#REF!,"AAAAAD/064s=")</f>
        <v>#REF!</v>
      </c>
      <c r="EK100" t="e">
        <f>AND(Bills!#REF!,"AAAAAD/064w=")</f>
        <v>#REF!</v>
      </c>
      <c r="EL100" t="e">
        <f>AND(Bills!AC342,"AAAAAD/0640=")</f>
        <v>#VALUE!</v>
      </c>
      <c r="EM100" t="e">
        <f>AND(Bills!AD342,"AAAAAD/0644=")</f>
        <v>#VALUE!</v>
      </c>
      <c r="EN100" t="e">
        <f>AND(Bills!#REF!,"AAAAAD/0648=")</f>
        <v>#REF!</v>
      </c>
      <c r="EO100">
        <f>IF(Bills!343:343,"AAAAAD/065A=",0)</f>
        <v>0</v>
      </c>
      <c r="EP100" t="e">
        <f>AND(Bills!B343,"AAAAAD/065E=")</f>
        <v>#VALUE!</v>
      </c>
      <c r="EQ100" t="e">
        <f>AND(Bills!#REF!,"AAAAAD/065I=")</f>
        <v>#REF!</v>
      </c>
      <c r="ER100" t="e">
        <f>AND(Bills!C343,"AAAAAD/065M=")</f>
        <v>#VALUE!</v>
      </c>
      <c r="ES100" t="e">
        <f>AND(Bills!D343,"AAAAAD/065Q=")</f>
        <v>#VALUE!</v>
      </c>
      <c r="ET100" t="e">
        <f>AND(Bills!E343,"AAAAAD/065U=")</f>
        <v>#VALUE!</v>
      </c>
      <c r="EU100" t="e">
        <f>AND(Bills!#REF!,"AAAAAD/065Y=")</f>
        <v>#REF!</v>
      </c>
      <c r="EV100" t="e">
        <f>AND(Bills!#REF!,"AAAAAD/065c=")</f>
        <v>#REF!</v>
      </c>
      <c r="EW100" t="e">
        <f>AND(Bills!#REF!,"AAAAAD/065g=")</f>
        <v>#REF!</v>
      </c>
      <c r="EX100" t="e">
        <f>AND(Bills!F343,"AAAAAD/065k=")</f>
        <v>#VALUE!</v>
      </c>
      <c r="EY100" t="e">
        <f>AND(Bills!#REF!,"AAAAAD/065o=")</f>
        <v>#REF!</v>
      </c>
      <c r="EZ100" t="e">
        <f>AND(Bills!G343,"AAAAAD/065s=")</f>
        <v>#VALUE!</v>
      </c>
      <c r="FA100" t="e">
        <f>AND(Bills!H343,"AAAAAD/065w=")</f>
        <v>#VALUE!</v>
      </c>
      <c r="FB100" t="e">
        <f>AND(Bills!I343,"AAAAAD/0650=")</f>
        <v>#VALUE!</v>
      </c>
      <c r="FC100" t="e">
        <f>AND(Bills!J343,"AAAAAD/0654=")</f>
        <v>#VALUE!</v>
      </c>
      <c r="FD100" t="e">
        <f>AND(Bills!K343,"AAAAAD/0658=")</f>
        <v>#VALUE!</v>
      </c>
      <c r="FE100" t="e">
        <f>AND(Bills!L343,"AAAAAD/066A=")</f>
        <v>#VALUE!</v>
      </c>
      <c r="FF100" t="e">
        <f>AND(Bills!#REF!,"AAAAAD/066E=")</f>
        <v>#REF!</v>
      </c>
      <c r="FG100" t="e">
        <f>AND(Bills!M343,"AAAAAD/066I=")</f>
        <v>#VALUE!</v>
      </c>
      <c r="FH100" t="e">
        <f>AND(Bills!N343,"AAAAAD/066M=")</f>
        <v>#VALUE!</v>
      </c>
      <c r="FI100" t="e">
        <f>AND(Bills!O343,"AAAAAD/066Q=")</f>
        <v>#VALUE!</v>
      </c>
      <c r="FJ100" t="e">
        <f>AND(Bills!P343,"AAAAAD/066U=")</f>
        <v>#VALUE!</v>
      </c>
      <c r="FK100" t="e">
        <f>AND(Bills!Q343,"AAAAAD/066Y=")</f>
        <v>#VALUE!</v>
      </c>
      <c r="FL100" t="e">
        <f>AND(Bills!R343,"AAAAAD/066c=")</f>
        <v>#VALUE!</v>
      </c>
      <c r="FM100" t="e">
        <f>AND(Bills!S343,"AAAAAD/066g=")</f>
        <v>#VALUE!</v>
      </c>
      <c r="FN100" t="e">
        <f>AND(Bills!T343,"AAAAAD/066k=")</f>
        <v>#VALUE!</v>
      </c>
      <c r="FO100" t="e">
        <f>AND(Bills!#REF!,"AAAAAD/066o=")</f>
        <v>#REF!</v>
      </c>
      <c r="FP100" t="e">
        <f>AND(Bills!U343,"AAAAAD/066s=")</f>
        <v>#VALUE!</v>
      </c>
      <c r="FQ100" t="e">
        <f>AND(Bills!V343,"AAAAAD/066w=")</f>
        <v>#VALUE!</v>
      </c>
      <c r="FR100" t="e">
        <f>AND(Bills!W343,"AAAAAD/0660=")</f>
        <v>#VALUE!</v>
      </c>
      <c r="FS100" t="e">
        <f>AND(Bills!#REF!,"AAAAAD/0664=")</f>
        <v>#REF!</v>
      </c>
      <c r="FT100" t="e">
        <f>AND(Bills!#REF!,"AAAAAD/0668=")</f>
        <v>#REF!</v>
      </c>
      <c r="FU100" t="e">
        <f>AND(Bills!Y343,"AAAAAD/067A=")</f>
        <v>#VALUE!</v>
      </c>
      <c r="FV100" t="e">
        <f>AND(Bills!Z343,"AAAAAD/067E=")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AND(Bills!AA343,"AAAAAD/067s=")</f>
        <v>#VALUE!</v>
      </c>
      <c r="GG100" t="e">
        <f>AND(Bills!AB343,"AAAAAD/067w=")</f>
        <v>#VALUE!</v>
      </c>
      <c r="GH100" t="e">
        <f>AND(Bills!#REF!,"AAAAAD/0670=")</f>
        <v>#REF!</v>
      </c>
      <c r="GI100" t="e">
        <f>AND(Bills!#REF!,"AAAAAD/0674=")</f>
        <v>#REF!</v>
      </c>
      <c r="GJ100" t="e">
        <f>AND(Bills!#REF!,"AAAAAD/0678=")</f>
        <v>#REF!</v>
      </c>
      <c r="GK100" t="e">
        <f>AND(Bills!AC343,"AAAAAD/068A=")</f>
        <v>#VALUE!</v>
      </c>
      <c r="GL100" t="e">
        <f>AND(Bills!AD343,"AAAAAD/068E=")</f>
        <v>#VALUE!</v>
      </c>
      <c r="GM100" t="e">
        <f>AND(Bills!#REF!,"AAAAAD/068I=")</f>
        <v>#REF!</v>
      </c>
      <c r="GN100">
        <f>IF(Bills!344:344,"AAAAAD/068M=",0)</f>
        <v>0</v>
      </c>
      <c r="GO100" t="e">
        <f>AND(Bills!B344,"AAAAAD/068Q=")</f>
        <v>#VALUE!</v>
      </c>
      <c r="GP100" t="e">
        <f>AND(Bills!#REF!,"AAAAAD/068U=")</f>
        <v>#REF!</v>
      </c>
      <c r="GQ100" t="e">
        <f>AND(Bills!C344,"AAAAAD/068Y=")</f>
        <v>#VALUE!</v>
      </c>
      <c r="GR100" t="e">
        <f>AND(Bills!D344,"AAAAAD/068c=")</f>
        <v>#VALUE!</v>
      </c>
      <c r="GS100" t="e">
        <f>AND(Bills!E344,"AAAAAD/068g=")</f>
        <v>#VALUE!</v>
      </c>
      <c r="GT100" t="e">
        <f>AND(Bills!#REF!,"AAAAAD/068k=")</f>
        <v>#REF!</v>
      </c>
      <c r="GU100" t="e">
        <f>AND(Bills!#REF!,"AAAAAD/068o=")</f>
        <v>#REF!</v>
      </c>
      <c r="GV100" t="e">
        <f>AND(Bills!#REF!,"AAAAAD/068s=")</f>
        <v>#REF!</v>
      </c>
      <c r="GW100" t="e">
        <f>AND(Bills!F344,"AAAAAD/068w=")</f>
        <v>#VALUE!</v>
      </c>
      <c r="GX100" t="e">
        <f>AND(Bills!#REF!,"AAAAAD/0680=")</f>
        <v>#REF!</v>
      </c>
      <c r="GY100" t="e">
        <f>AND(Bills!G344,"AAAAAD/0684=")</f>
        <v>#VALUE!</v>
      </c>
      <c r="GZ100" t="e">
        <f>AND(Bills!H344,"AAAAAD/0688=")</f>
        <v>#VALUE!</v>
      </c>
      <c r="HA100" t="e">
        <f>AND(Bills!I344,"AAAAAD/069A=")</f>
        <v>#VALUE!</v>
      </c>
      <c r="HB100" t="e">
        <f>AND(Bills!J344,"AAAAAD/069E=")</f>
        <v>#VALUE!</v>
      </c>
      <c r="HC100" t="e">
        <f>AND(Bills!K344,"AAAAAD/069I=")</f>
        <v>#VALUE!</v>
      </c>
      <c r="HD100" t="e">
        <f>AND(Bills!L344,"AAAAAD/069M=")</f>
        <v>#VALUE!</v>
      </c>
      <c r="HE100" t="e">
        <f>AND(Bills!#REF!,"AAAAAD/069Q=")</f>
        <v>#REF!</v>
      </c>
      <c r="HF100" t="e">
        <f>AND(Bills!M344,"AAAAAD/069U=")</f>
        <v>#VALUE!</v>
      </c>
      <c r="HG100" t="e">
        <f>AND(Bills!N344,"AAAAAD/069Y=")</f>
        <v>#VALUE!</v>
      </c>
      <c r="HH100" t="e">
        <f>AND(Bills!O344,"AAAAAD/069c=")</f>
        <v>#VALUE!</v>
      </c>
      <c r="HI100" t="e">
        <f>AND(Bills!P344,"AAAAAD/069g=")</f>
        <v>#VALUE!</v>
      </c>
      <c r="HJ100" t="e">
        <f>AND(Bills!Q344,"AAAAAD/069k=")</f>
        <v>#VALUE!</v>
      </c>
      <c r="HK100" t="e">
        <f>AND(Bills!R344,"AAAAAD/069o=")</f>
        <v>#VALUE!</v>
      </c>
      <c r="HL100" t="e">
        <f>AND(Bills!S344,"AAAAAD/069s=")</f>
        <v>#VALUE!</v>
      </c>
      <c r="HM100" t="e">
        <f>AND(Bills!T344,"AAAAAD/069w=")</f>
        <v>#VALUE!</v>
      </c>
      <c r="HN100" t="e">
        <f>AND(Bills!#REF!,"AAAAAD/0690=")</f>
        <v>#REF!</v>
      </c>
      <c r="HO100" t="e">
        <f>AND(Bills!U344,"AAAAAD/0694=")</f>
        <v>#VALUE!</v>
      </c>
      <c r="HP100" t="e">
        <f>AND(Bills!V344,"AAAAAD/0698=")</f>
        <v>#VALUE!</v>
      </c>
      <c r="HQ100" t="e">
        <f>AND(Bills!W344,"AAAAAD/06+A=")</f>
        <v>#VALUE!</v>
      </c>
      <c r="HR100" t="e">
        <f>AND(Bills!#REF!,"AAAAAD/06+E=")</f>
        <v>#REF!</v>
      </c>
      <c r="HS100" t="e">
        <f>AND(Bills!#REF!,"AAAAAD/06+I=")</f>
        <v>#REF!</v>
      </c>
      <c r="HT100" t="e">
        <f>AND(Bills!Y344,"AAAAAD/06+M=")</f>
        <v>#VALUE!</v>
      </c>
      <c r="HU100" t="e">
        <f>AND(Bills!Z344,"AAAAAD/06+Q=")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AND(Bills!AA344,"AAAAAD/06+4=")</f>
        <v>#VALUE!</v>
      </c>
      <c r="IF100" t="e">
        <f>AND(Bills!AB344,"AAAAAD/06+8=")</f>
        <v>#VALUE!</v>
      </c>
      <c r="IG100" t="e">
        <f>AND(Bills!#REF!,"AAAAAD/06/A=")</f>
        <v>#REF!</v>
      </c>
      <c r="IH100" t="e">
        <f>AND(Bills!#REF!,"AAAAAD/06/E=")</f>
        <v>#REF!</v>
      </c>
      <c r="II100" t="e">
        <f>AND(Bills!#REF!,"AAAAAD/06/I=")</f>
        <v>#REF!</v>
      </c>
      <c r="IJ100" t="e">
        <f>AND(Bills!AC344,"AAAAAD/06/M=")</f>
        <v>#VALUE!</v>
      </c>
      <c r="IK100" t="e">
        <f>AND(Bills!AD344,"AAAAAD/06/Q=")</f>
        <v>#VALUE!</v>
      </c>
      <c r="IL100" t="e">
        <f>AND(Bills!#REF!,"AAAAAD/06/U=")</f>
        <v>#REF!</v>
      </c>
      <c r="IM100">
        <f>IF(Bills!345:345,"AAAAAD/06/Y=",0)</f>
        <v>0</v>
      </c>
      <c r="IN100" t="e">
        <f>AND(Bills!B345,"AAAAAD/06/c=")</f>
        <v>#VALUE!</v>
      </c>
      <c r="IO100" t="e">
        <f>AND(Bills!#REF!,"AAAAAD/06/g=")</f>
        <v>#REF!</v>
      </c>
      <c r="IP100" t="e">
        <f>AND(Bills!C345,"AAAAAD/06/k=")</f>
        <v>#VALUE!</v>
      </c>
      <c r="IQ100" t="e">
        <f>AND(Bills!D345,"AAAAAD/06/o=")</f>
        <v>#VALUE!</v>
      </c>
      <c r="IR100" t="e">
        <f>AND(Bills!E345,"AAAAAD/06/s=")</f>
        <v>#VALUE!</v>
      </c>
      <c r="IS100" t="e">
        <f>AND(Bills!#REF!,"AAAAAD/06/w=")</f>
        <v>#REF!</v>
      </c>
      <c r="IT100" t="e">
        <f>AND(Bills!#REF!,"AAAAAD/06/0=")</f>
        <v>#REF!</v>
      </c>
      <c r="IU100" t="e">
        <f>AND(Bills!#REF!,"AAAAAD/06/4=")</f>
        <v>#REF!</v>
      </c>
      <c r="IV100" t="e">
        <f>AND(Bills!F345,"AAAAAD/06/8=")</f>
        <v>#VALUE!</v>
      </c>
    </row>
    <row r="101" spans="1:256">
      <c r="A101" t="e">
        <f>AND(Bills!#REF!,"AAAAAHbv/AA=")</f>
        <v>#REF!</v>
      </c>
      <c r="B101" t="e">
        <f>AND(Bills!G345,"AAAAAHbv/AE=")</f>
        <v>#VALUE!</v>
      </c>
      <c r="C101" t="e">
        <f>AND(Bills!H345,"AAAAAHbv/AI=")</f>
        <v>#VALUE!</v>
      </c>
      <c r="D101" t="e">
        <f>AND(Bills!I345,"AAAAAHbv/AM=")</f>
        <v>#VALUE!</v>
      </c>
      <c r="E101" t="e">
        <f>AND(Bills!J345,"AAAAAHbv/AQ=")</f>
        <v>#VALUE!</v>
      </c>
      <c r="F101" t="e">
        <f>AND(Bills!K345,"AAAAAHbv/AU=")</f>
        <v>#VALUE!</v>
      </c>
      <c r="G101" t="e">
        <f>AND(Bills!L345,"AAAAAHbv/AY=")</f>
        <v>#VALUE!</v>
      </c>
      <c r="H101" t="e">
        <f>AND(Bills!#REF!,"AAAAAHbv/Ac=")</f>
        <v>#REF!</v>
      </c>
      <c r="I101" t="e">
        <f>AND(Bills!M345,"AAAAAHbv/Ag=")</f>
        <v>#VALUE!</v>
      </c>
      <c r="J101" t="e">
        <f>AND(Bills!N345,"AAAAAHbv/Ak=")</f>
        <v>#VALUE!</v>
      </c>
      <c r="K101" t="e">
        <f>AND(Bills!O345,"AAAAAHbv/Ao=")</f>
        <v>#VALUE!</v>
      </c>
      <c r="L101" t="e">
        <f>AND(Bills!P345,"AAAAAHbv/As=")</f>
        <v>#VALUE!</v>
      </c>
      <c r="M101" t="e">
        <f>AND(Bills!Q345,"AAAAAHbv/Aw=")</f>
        <v>#VALUE!</v>
      </c>
      <c r="N101" t="e">
        <f>AND(Bills!R345,"AAAAAHbv/A0=")</f>
        <v>#VALUE!</v>
      </c>
      <c r="O101" t="e">
        <f>AND(Bills!S345,"AAAAAHbv/A4=")</f>
        <v>#VALUE!</v>
      </c>
      <c r="P101" t="e">
        <f>AND(Bills!T345,"AAAAAHbv/A8=")</f>
        <v>#VALUE!</v>
      </c>
      <c r="Q101" t="e">
        <f>AND(Bills!#REF!,"AAAAAHbv/BA=")</f>
        <v>#REF!</v>
      </c>
      <c r="R101" t="e">
        <f>AND(Bills!U345,"AAAAAHbv/BE=")</f>
        <v>#VALUE!</v>
      </c>
      <c r="S101" t="e">
        <f>AND(Bills!V345,"AAAAAHbv/BI=")</f>
        <v>#VALUE!</v>
      </c>
      <c r="T101" t="e">
        <f>AND(Bills!W345,"AAAAAHbv/BM=")</f>
        <v>#VALUE!</v>
      </c>
      <c r="U101" t="e">
        <f>AND(Bills!#REF!,"AAAAAHbv/BQ=")</f>
        <v>#REF!</v>
      </c>
      <c r="V101" t="e">
        <f>AND(Bills!#REF!,"AAAAAHbv/BU=")</f>
        <v>#REF!</v>
      </c>
      <c r="W101" t="e">
        <f>AND(Bills!Y345,"AAAAAHbv/BY=")</f>
        <v>#VALUE!</v>
      </c>
      <c r="X101" t="e">
        <f>AND(Bills!Z345,"AAAAAHbv/Bc=")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AND(Bills!AA345,"AAAAAHbv/CE=")</f>
        <v>#VALUE!</v>
      </c>
      <c r="AI101" t="e">
        <f>AND(Bills!AB345,"AAAAAHbv/CI=")</f>
        <v>#VALUE!</v>
      </c>
      <c r="AJ101" t="e">
        <f>AND(Bills!#REF!,"AAAAAHbv/CM=")</f>
        <v>#REF!</v>
      </c>
      <c r="AK101" t="e">
        <f>AND(Bills!#REF!,"AAAAAHbv/CQ=")</f>
        <v>#REF!</v>
      </c>
      <c r="AL101" t="e">
        <f>AND(Bills!#REF!,"AAAAAHbv/CU=")</f>
        <v>#REF!</v>
      </c>
      <c r="AM101" t="e">
        <f>AND(Bills!AC345,"AAAAAHbv/CY=")</f>
        <v>#VALUE!</v>
      </c>
      <c r="AN101" t="e">
        <f>AND(Bills!AD345,"AAAAAHbv/Cc=")</f>
        <v>#VALUE!</v>
      </c>
      <c r="AO101" t="e">
        <f>AND(Bills!#REF!,"AAAAAHbv/Cg=")</f>
        <v>#REF!</v>
      </c>
      <c r="AP101">
        <f>IF(Bills!346:346,"AAAAAHbv/Ck=",0)</f>
        <v>0</v>
      </c>
      <c r="AQ101" t="e">
        <f>AND(Bills!B346,"AAAAAHbv/Co=")</f>
        <v>#VALUE!</v>
      </c>
      <c r="AR101" t="e">
        <f>AND(Bills!#REF!,"AAAAAHbv/Cs=")</f>
        <v>#REF!</v>
      </c>
      <c r="AS101" t="e">
        <f>AND(Bills!C346,"AAAAAHbv/Cw=")</f>
        <v>#VALUE!</v>
      </c>
      <c r="AT101" t="e">
        <f>AND(Bills!D346,"AAAAAHbv/C0=")</f>
        <v>#VALUE!</v>
      </c>
      <c r="AU101" t="e">
        <f>AND(Bills!E346,"AAAAAHbv/C4=")</f>
        <v>#VALUE!</v>
      </c>
      <c r="AV101" t="e">
        <f>AND(Bills!#REF!,"AAAAAHbv/C8=")</f>
        <v>#REF!</v>
      </c>
      <c r="AW101" t="e">
        <f>AND(Bills!#REF!,"AAAAAHbv/DA=")</f>
        <v>#REF!</v>
      </c>
      <c r="AX101" t="e">
        <f>AND(Bills!#REF!,"AAAAAHbv/DE=")</f>
        <v>#REF!</v>
      </c>
      <c r="AY101" t="e">
        <f>AND(Bills!F346,"AAAAAHbv/DI=")</f>
        <v>#VALUE!</v>
      </c>
      <c r="AZ101" t="e">
        <f>AND(Bills!#REF!,"AAAAAHbv/DM=")</f>
        <v>#REF!</v>
      </c>
      <c r="BA101" t="e">
        <f>AND(Bills!G346,"AAAAAHbv/DQ=")</f>
        <v>#VALUE!</v>
      </c>
      <c r="BB101" t="e">
        <f>AND(Bills!H346,"AAAAAHbv/DU=")</f>
        <v>#VALUE!</v>
      </c>
      <c r="BC101" t="e">
        <f>AND(Bills!I346,"AAAAAHbv/DY=")</f>
        <v>#VALUE!</v>
      </c>
      <c r="BD101" t="e">
        <f>AND(Bills!J346,"AAAAAHbv/Dc=")</f>
        <v>#VALUE!</v>
      </c>
      <c r="BE101" t="e">
        <f>AND(Bills!K346,"AAAAAHbv/Dg=")</f>
        <v>#VALUE!</v>
      </c>
      <c r="BF101" t="e">
        <f>AND(Bills!L346,"AAAAAHbv/Dk=")</f>
        <v>#VALUE!</v>
      </c>
      <c r="BG101" t="e">
        <f>AND(Bills!#REF!,"AAAAAHbv/Do=")</f>
        <v>#REF!</v>
      </c>
      <c r="BH101" t="e">
        <f>AND(Bills!M346,"AAAAAHbv/Ds=")</f>
        <v>#VALUE!</v>
      </c>
      <c r="BI101" t="e">
        <f>AND(Bills!N346,"AAAAAHbv/Dw=")</f>
        <v>#VALUE!</v>
      </c>
      <c r="BJ101" t="e">
        <f>AND(Bills!O346,"AAAAAHbv/D0=")</f>
        <v>#VALUE!</v>
      </c>
      <c r="BK101" t="e">
        <f>AND(Bills!P346,"AAAAAHbv/D4=")</f>
        <v>#VALUE!</v>
      </c>
      <c r="BL101" t="e">
        <f>AND(Bills!Q346,"AAAAAHbv/D8=")</f>
        <v>#VALUE!</v>
      </c>
      <c r="BM101" t="e">
        <f>AND(Bills!R346,"AAAAAHbv/EA=")</f>
        <v>#VALUE!</v>
      </c>
      <c r="BN101" t="e">
        <f>AND(Bills!S346,"AAAAAHbv/EE=")</f>
        <v>#VALUE!</v>
      </c>
      <c r="BO101" t="e">
        <f>AND(Bills!T346,"AAAAAHbv/EI=")</f>
        <v>#VALUE!</v>
      </c>
      <c r="BP101" t="e">
        <f>AND(Bills!#REF!,"AAAAAHbv/EM=")</f>
        <v>#REF!</v>
      </c>
      <c r="BQ101" t="e">
        <f>AND(Bills!U346,"AAAAAHbv/EQ=")</f>
        <v>#VALUE!</v>
      </c>
      <c r="BR101" t="e">
        <f>AND(Bills!V346,"AAAAAHbv/EU=")</f>
        <v>#VALUE!</v>
      </c>
      <c r="BS101" t="e">
        <f>AND(Bills!W346,"AAAAAHbv/EY=")</f>
        <v>#VALUE!</v>
      </c>
      <c r="BT101" t="e">
        <f>AND(Bills!#REF!,"AAAAAHbv/Ec=")</f>
        <v>#REF!</v>
      </c>
      <c r="BU101" t="e">
        <f>AND(Bills!#REF!,"AAAAAHbv/Eg=")</f>
        <v>#REF!</v>
      </c>
      <c r="BV101" t="e">
        <f>AND(Bills!Y346,"AAAAAHbv/Ek=")</f>
        <v>#VALUE!</v>
      </c>
      <c r="BW101" t="e">
        <f>AND(Bills!Z346,"AAAAAHbv/Eo=")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AND(Bills!AA346,"AAAAAHbv/FQ=")</f>
        <v>#VALUE!</v>
      </c>
      <c r="CH101" t="e">
        <f>AND(Bills!AB346,"AAAAAHbv/FU=")</f>
        <v>#VALUE!</v>
      </c>
      <c r="CI101" t="e">
        <f>AND(Bills!#REF!,"AAAAAHbv/FY=")</f>
        <v>#REF!</v>
      </c>
      <c r="CJ101" t="e">
        <f>AND(Bills!#REF!,"AAAAAHbv/Fc=")</f>
        <v>#REF!</v>
      </c>
      <c r="CK101" t="e">
        <f>AND(Bills!#REF!,"AAAAAHbv/Fg=")</f>
        <v>#REF!</v>
      </c>
      <c r="CL101" t="e">
        <f>AND(Bills!AC346,"AAAAAHbv/Fk=")</f>
        <v>#VALUE!</v>
      </c>
      <c r="CM101" t="e">
        <f>AND(Bills!AD346,"AAAAAHbv/Fo=")</f>
        <v>#VALUE!</v>
      </c>
      <c r="CN101" t="e">
        <f>AND(Bills!#REF!,"AAAAAHbv/Fs=")</f>
        <v>#REF!</v>
      </c>
      <c r="CO101">
        <f>IF(Bills!347:347,"AAAAAHbv/Fw=",0)</f>
        <v>0</v>
      </c>
      <c r="CP101" t="e">
        <f>AND(Bills!B347,"AAAAAHbv/F0=")</f>
        <v>#VALUE!</v>
      </c>
      <c r="CQ101" t="e">
        <f>AND(Bills!#REF!,"AAAAAHbv/F4=")</f>
        <v>#REF!</v>
      </c>
      <c r="CR101" t="e">
        <f>AND(Bills!C347,"AAAAAHbv/F8=")</f>
        <v>#VALUE!</v>
      </c>
      <c r="CS101" t="e">
        <f>AND(Bills!D347,"AAAAAHbv/GA=")</f>
        <v>#VALUE!</v>
      </c>
      <c r="CT101" t="e">
        <f>AND(Bills!E347,"AAAAAHbv/GE=")</f>
        <v>#VALUE!</v>
      </c>
      <c r="CU101" t="e">
        <f>AND(Bills!#REF!,"AAAAAHbv/GI=")</f>
        <v>#REF!</v>
      </c>
      <c r="CV101" t="e">
        <f>AND(Bills!#REF!,"AAAAAHbv/GM=")</f>
        <v>#REF!</v>
      </c>
      <c r="CW101" t="e">
        <f>AND(Bills!#REF!,"AAAAAHbv/GQ=")</f>
        <v>#REF!</v>
      </c>
      <c r="CX101" t="e">
        <f>AND(Bills!F347,"AAAAAHbv/GU=")</f>
        <v>#VALUE!</v>
      </c>
      <c r="CY101" t="e">
        <f>AND(Bills!#REF!,"AAAAAHbv/GY=")</f>
        <v>#REF!</v>
      </c>
      <c r="CZ101" t="e">
        <f>AND(Bills!G347,"AAAAAHbv/Gc=")</f>
        <v>#VALUE!</v>
      </c>
      <c r="DA101" t="e">
        <f>AND(Bills!H347,"AAAAAHbv/Gg=")</f>
        <v>#VALUE!</v>
      </c>
      <c r="DB101" t="e">
        <f>AND(Bills!I347,"AAAAAHbv/Gk=")</f>
        <v>#VALUE!</v>
      </c>
      <c r="DC101" t="e">
        <f>AND(Bills!J347,"AAAAAHbv/Go=")</f>
        <v>#VALUE!</v>
      </c>
      <c r="DD101" t="e">
        <f>AND(Bills!K347,"AAAAAHbv/Gs=")</f>
        <v>#VALUE!</v>
      </c>
      <c r="DE101" t="e">
        <f>AND(Bills!L347,"AAAAAHbv/Gw=")</f>
        <v>#VALUE!</v>
      </c>
      <c r="DF101" t="e">
        <f>AND(Bills!#REF!,"AAAAAHbv/G0=")</f>
        <v>#REF!</v>
      </c>
      <c r="DG101" t="e">
        <f>AND(Bills!M347,"AAAAAHbv/G4=")</f>
        <v>#VALUE!</v>
      </c>
      <c r="DH101" t="e">
        <f>AND(Bills!N347,"AAAAAHbv/G8=")</f>
        <v>#VALUE!</v>
      </c>
      <c r="DI101" t="e">
        <f>AND(Bills!O347,"AAAAAHbv/HA=")</f>
        <v>#VALUE!</v>
      </c>
      <c r="DJ101" t="e">
        <f>AND(Bills!P347,"AAAAAHbv/HE=")</f>
        <v>#VALUE!</v>
      </c>
      <c r="DK101" t="e">
        <f>AND(Bills!Q347,"AAAAAHbv/HI=")</f>
        <v>#VALUE!</v>
      </c>
      <c r="DL101" t="e">
        <f>AND(Bills!R347,"AAAAAHbv/HM=")</f>
        <v>#VALUE!</v>
      </c>
      <c r="DM101" t="e">
        <f>AND(Bills!S347,"AAAAAHbv/HQ=")</f>
        <v>#VALUE!</v>
      </c>
      <c r="DN101" t="e">
        <f>AND(Bills!T347,"AAAAAHbv/HU=")</f>
        <v>#VALUE!</v>
      </c>
      <c r="DO101" t="e">
        <f>AND(Bills!#REF!,"AAAAAHbv/HY=")</f>
        <v>#REF!</v>
      </c>
      <c r="DP101" t="e">
        <f>AND(Bills!U347,"AAAAAHbv/Hc=")</f>
        <v>#VALUE!</v>
      </c>
      <c r="DQ101" t="e">
        <f>AND(Bills!V347,"AAAAAHbv/Hg=")</f>
        <v>#VALUE!</v>
      </c>
      <c r="DR101" t="e">
        <f>AND(Bills!W347,"AAAAAHbv/Hk=")</f>
        <v>#VALUE!</v>
      </c>
      <c r="DS101" t="e">
        <f>AND(Bills!#REF!,"AAAAAHbv/Ho=")</f>
        <v>#REF!</v>
      </c>
      <c r="DT101" t="e">
        <f>AND(Bills!#REF!,"AAAAAHbv/Hs=")</f>
        <v>#REF!</v>
      </c>
      <c r="DU101" t="e">
        <f>AND(Bills!Y347,"AAAAAHbv/Hw=")</f>
        <v>#VALUE!</v>
      </c>
      <c r="DV101" t="e">
        <f>AND(Bills!Z347,"AAAAAHbv/H0=")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AND(Bills!AA347,"AAAAAHbv/Ic=")</f>
        <v>#VALUE!</v>
      </c>
      <c r="EG101" t="e">
        <f>AND(Bills!AB347,"AAAAAHbv/Ig=")</f>
        <v>#VALUE!</v>
      </c>
      <c r="EH101" t="e">
        <f>AND(Bills!#REF!,"AAAAAHbv/Ik=")</f>
        <v>#REF!</v>
      </c>
      <c r="EI101" t="e">
        <f>AND(Bills!#REF!,"AAAAAHbv/Io=")</f>
        <v>#REF!</v>
      </c>
      <c r="EJ101" t="e">
        <f>AND(Bills!#REF!,"AAAAAHbv/Is=")</f>
        <v>#REF!</v>
      </c>
      <c r="EK101" t="e">
        <f>AND(Bills!AC347,"AAAAAHbv/Iw=")</f>
        <v>#VALUE!</v>
      </c>
      <c r="EL101" t="e">
        <f>AND(Bills!AD347,"AAAAAHbv/I0=")</f>
        <v>#VALUE!</v>
      </c>
      <c r="EM101" t="e">
        <f>AND(Bills!#REF!,"AAAAAHbv/I4=")</f>
        <v>#REF!</v>
      </c>
      <c r="EN101">
        <f>IF(Bills!348:348,"AAAAAHbv/I8=",0)</f>
        <v>0</v>
      </c>
      <c r="EO101" t="e">
        <f>AND(Bills!B348,"AAAAAHbv/JA=")</f>
        <v>#VALUE!</v>
      </c>
      <c r="EP101" t="e">
        <f>AND(Bills!#REF!,"AAAAAHbv/JE=")</f>
        <v>#REF!</v>
      </c>
      <c r="EQ101" t="e">
        <f>AND(Bills!C348,"AAAAAHbv/JI=")</f>
        <v>#VALUE!</v>
      </c>
      <c r="ER101" t="e">
        <f>AND(Bills!D348,"AAAAAHbv/JM=")</f>
        <v>#VALUE!</v>
      </c>
      <c r="ES101" t="e">
        <f>AND(Bills!E348,"AAAAAHbv/JQ=")</f>
        <v>#VALUE!</v>
      </c>
      <c r="ET101" t="e">
        <f>AND(Bills!#REF!,"AAAAAHbv/JU=")</f>
        <v>#REF!</v>
      </c>
      <c r="EU101" t="e">
        <f>AND(Bills!#REF!,"AAAAAHbv/JY=")</f>
        <v>#REF!</v>
      </c>
      <c r="EV101" t="e">
        <f>AND(Bills!#REF!,"AAAAAHbv/Jc=")</f>
        <v>#REF!</v>
      </c>
      <c r="EW101" t="e">
        <f>AND(Bills!F348,"AAAAAHbv/Jg=")</f>
        <v>#VALUE!</v>
      </c>
      <c r="EX101" t="e">
        <f>AND(Bills!#REF!,"AAAAAHbv/Jk=")</f>
        <v>#REF!</v>
      </c>
      <c r="EY101" t="e">
        <f>AND(Bills!G348,"AAAAAHbv/Jo=")</f>
        <v>#VALUE!</v>
      </c>
      <c r="EZ101" t="e">
        <f>AND(Bills!H348,"AAAAAHbv/Js=")</f>
        <v>#VALUE!</v>
      </c>
      <c r="FA101" t="e">
        <f>AND(Bills!I348,"AAAAAHbv/Jw=")</f>
        <v>#VALUE!</v>
      </c>
      <c r="FB101" t="e">
        <f>AND(Bills!J348,"AAAAAHbv/J0=")</f>
        <v>#VALUE!</v>
      </c>
      <c r="FC101" t="e">
        <f>AND(Bills!K348,"AAAAAHbv/J4=")</f>
        <v>#VALUE!</v>
      </c>
      <c r="FD101" t="e">
        <f>AND(Bills!L348,"AAAAAHbv/J8=")</f>
        <v>#VALUE!</v>
      </c>
      <c r="FE101" t="e">
        <f>AND(Bills!#REF!,"AAAAAHbv/KA=")</f>
        <v>#REF!</v>
      </c>
      <c r="FF101" t="e">
        <f>AND(Bills!M348,"AAAAAHbv/KE=")</f>
        <v>#VALUE!</v>
      </c>
      <c r="FG101" t="e">
        <f>AND(Bills!N348,"AAAAAHbv/KI=")</f>
        <v>#VALUE!</v>
      </c>
      <c r="FH101" t="e">
        <f>AND(Bills!O348,"AAAAAHbv/KM=")</f>
        <v>#VALUE!</v>
      </c>
      <c r="FI101" t="e">
        <f>AND(Bills!P348,"AAAAAHbv/KQ=")</f>
        <v>#VALUE!</v>
      </c>
      <c r="FJ101" t="e">
        <f>AND(Bills!Q348,"AAAAAHbv/KU=")</f>
        <v>#VALUE!</v>
      </c>
      <c r="FK101" t="e">
        <f>AND(Bills!R348,"AAAAAHbv/KY=")</f>
        <v>#VALUE!</v>
      </c>
      <c r="FL101" t="e">
        <f>AND(Bills!S348,"AAAAAHbv/Kc=")</f>
        <v>#VALUE!</v>
      </c>
      <c r="FM101" t="e">
        <f>AND(Bills!T348,"AAAAAHbv/Kg=")</f>
        <v>#VALUE!</v>
      </c>
      <c r="FN101" t="e">
        <f>AND(Bills!#REF!,"AAAAAHbv/Kk=")</f>
        <v>#REF!</v>
      </c>
      <c r="FO101" t="e">
        <f>AND(Bills!U348,"AAAAAHbv/Ko=")</f>
        <v>#VALUE!</v>
      </c>
      <c r="FP101" t="e">
        <f>AND(Bills!V348,"AAAAAHbv/Ks=")</f>
        <v>#VALUE!</v>
      </c>
      <c r="FQ101" t="e">
        <f>AND(Bills!W348,"AAAAAHbv/Kw=")</f>
        <v>#VALUE!</v>
      </c>
      <c r="FR101" t="e">
        <f>AND(Bills!#REF!,"AAAAAHbv/K0=")</f>
        <v>#REF!</v>
      </c>
      <c r="FS101" t="e">
        <f>AND(Bills!#REF!,"AAAAAHbv/K4=")</f>
        <v>#REF!</v>
      </c>
      <c r="FT101" t="e">
        <f>AND(Bills!Y348,"AAAAAHbv/K8=")</f>
        <v>#VALUE!</v>
      </c>
      <c r="FU101" t="e">
        <f>AND(Bills!Z348,"AAAAAHbv/LA=")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AND(Bills!AA348,"AAAAAHbv/Lo=")</f>
        <v>#VALUE!</v>
      </c>
      <c r="GF101" t="e">
        <f>AND(Bills!AB348,"AAAAAHbv/Ls=")</f>
        <v>#VALUE!</v>
      </c>
      <c r="GG101" t="e">
        <f>AND(Bills!#REF!,"AAAAAHbv/Lw=")</f>
        <v>#REF!</v>
      </c>
      <c r="GH101" t="e">
        <f>AND(Bills!#REF!,"AAAAAHbv/L0=")</f>
        <v>#REF!</v>
      </c>
      <c r="GI101" t="e">
        <f>AND(Bills!#REF!,"AAAAAHbv/L4=")</f>
        <v>#REF!</v>
      </c>
      <c r="GJ101" t="e">
        <f>AND(Bills!AC348,"AAAAAHbv/L8=")</f>
        <v>#VALUE!</v>
      </c>
      <c r="GK101" t="e">
        <f>AND(Bills!AD348,"AAAAAHbv/MA=")</f>
        <v>#VALUE!</v>
      </c>
      <c r="GL101" t="e">
        <f>AND(Bills!#REF!,"AAAAAHbv/ME=")</f>
        <v>#REF!</v>
      </c>
      <c r="GM101">
        <f>IF(Bills!349:349,"AAAAAHbv/MI=",0)</f>
        <v>0</v>
      </c>
      <c r="GN101" t="e">
        <f>AND(Bills!B349,"AAAAAHbv/MM=")</f>
        <v>#VALUE!</v>
      </c>
      <c r="GO101" t="e">
        <f>AND(Bills!#REF!,"AAAAAHbv/MQ=")</f>
        <v>#REF!</v>
      </c>
      <c r="GP101" t="e">
        <f>AND(Bills!C349,"AAAAAHbv/MU=")</f>
        <v>#VALUE!</v>
      </c>
      <c r="GQ101" t="e">
        <f>AND(Bills!D349,"AAAAAHbv/MY=")</f>
        <v>#VALUE!</v>
      </c>
      <c r="GR101" t="e">
        <f>AND(Bills!E349,"AAAAAHbv/Mc=")</f>
        <v>#VALUE!</v>
      </c>
      <c r="GS101" t="e">
        <f>AND(Bills!#REF!,"AAAAAHbv/Mg=")</f>
        <v>#REF!</v>
      </c>
      <c r="GT101" t="e">
        <f>AND(Bills!#REF!,"AAAAAHbv/Mk=")</f>
        <v>#REF!</v>
      </c>
      <c r="GU101" t="e">
        <f>AND(Bills!#REF!,"AAAAAHbv/Mo=")</f>
        <v>#REF!</v>
      </c>
      <c r="GV101" t="e">
        <f>AND(Bills!F349,"AAAAAHbv/Ms=")</f>
        <v>#VALUE!</v>
      </c>
      <c r="GW101" t="e">
        <f>AND(Bills!#REF!,"AAAAAHbv/Mw=")</f>
        <v>#REF!</v>
      </c>
      <c r="GX101" t="e">
        <f>AND(Bills!G349,"AAAAAHbv/M0=")</f>
        <v>#VALUE!</v>
      </c>
      <c r="GY101" t="e">
        <f>AND(Bills!H349,"AAAAAHbv/M4=")</f>
        <v>#VALUE!</v>
      </c>
      <c r="GZ101" t="e">
        <f>AND(Bills!I349,"AAAAAHbv/M8=")</f>
        <v>#VALUE!</v>
      </c>
      <c r="HA101" t="e">
        <f>AND(Bills!J349,"AAAAAHbv/NA=")</f>
        <v>#VALUE!</v>
      </c>
      <c r="HB101" t="e">
        <f>AND(Bills!K349,"AAAAAHbv/NE=")</f>
        <v>#VALUE!</v>
      </c>
      <c r="HC101" t="e">
        <f>AND(Bills!L349,"AAAAAHbv/NI=")</f>
        <v>#VALUE!</v>
      </c>
      <c r="HD101" t="e">
        <f>AND(Bills!#REF!,"AAAAAHbv/NM=")</f>
        <v>#REF!</v>
      </c>
      <c r="HE101" t="e">
        <f>AND(Bills!M349,"AAAAAHbv/NQ=")</f>
        <v>#VALUE!</v>
      </c>
      <c r="HF101" t="e">
        <f>AND(Bills!N349,"AAAAAHbv/NU=")</f>
        <v>#VALUE!</v>
      </c>
      <c r="HG101" t="e">
        <f>AND(Bills!O349,"AAAAAHbv/NY=")</f>
        <v>#VALUE!</v>
      </c>
      <c r="HH101" t="e">
        <f>AND(Bills!P349,"AAAAAHbv/Nc=")</f>
        <v>#VALUE!</v>
      </c>
      <c r="HI101" t="e">
        <f>AND(Bills!Q349,"AAAAAHbv/Ng=")</f>
        <v>#VALUE!</v>
      </c>
      <c r="HJ101" t="e">
        <f>AND(Bills!R349,"AAAAAHbv/Nk=")</f>
        <v>#VALUE!</v>
      </c>
      <c r="HK101" t="e">
        <f>AND(Bills!S349,"AAAAAHbv/No=")</f>
        <v>#VALUE!</v>
      </c>
      <c r="HL101" t="e">
        <f>AND(Bills!T349,"AAAAAHbv/Ns=")</f>
        <v>#VALUE!</v>
      </c>
      <c r="HM101" t="e">
        <f>AND(Bills!#REF!,"AAAAAHbv/Nw=")</f>
        <v>#REF!</v>
      </c>
      <c r="HN101" t="e">
        <f>AND(Bills!U349,"AAAAAHbv/N0=")</f>
        <v>#VALUE!</v>
      </c>
      <c r="HO101" t="e">
        <f>AND(Bills!V349,"AAAAAHbv/N4=")</f>
        <v>#VALUE!</v>
      </c>
      <c r="HP101" t="e">
        <f>AND(Bills!W349,"AAAAAHbv/N8=")</f>
        <v>#VALUE!</v>
      </c>
      <c r="HQ101" t="e">
        <f>AND(Bills!#REF!,"AAAAAHbv/OA=")</f>
        <v>#REF!</v>
      </c>
      <c r="HR101" t="e">
        <f>AND(Bills!#REF!,"AAAAAHbv/OE=")</f>
        <v>#REF!</v>
      </c>
      <c r="HS101" t="e">
        <f>AND(Bills!Y349,"AAAAAHbv/OI=")</f>
        <v>#VALUE!</v>
      </c>
      <c r="HT101" t="e">
        <f>AND(Bills!Z349,"AAAAAHbv/OM=")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AND(Bills!AA349,"AAAAAHbv/O0=")</f>
        <v>#VALUE!</v>
      </c>
      <c r="IE101" t="e">
        <f>AND(Bills!AB349,"AAAAAHbv/O4=")</f>
        <v>#VALUE!</v>
      </c>
      <c r="IF101" t="e">
        <f>AND(Bills!#REF!,"AAAAAHbv/O8=")</f>
        <v>#REF!</v>
      </c>
      <c r="IG101" t="e">
        <f>AND(Bills!#REF!,"AAAAAHbv/PA=")</f>
        <v>#REF!</v>
      </c>
      <c r="IH101" t="e">
        <f>AND(Bills!#REF!,"AAAAAHbv/PE=")</f>
        <v>#REF!</v>
      </c>
      <c r="II101" t="e">
        <f>AND(Bills!AC349,"AAAAAHbv/PI=")</f>
        <v>#VALUE!</v>
      </c>
      <c r="IJ101" t="e">
        <f>AND(Bills!AD349,"AAAAAHbv/PM=")</f>
        <v>#VALUE!</v>
      </c>
      <c r="IK101" t="e">
        <f>AND(Bills!#REF!,"AAAAAHbv/PQ=")</f>
        <v>#REF!</v>
      </c>
      <c r="IL101">
        <f>IF(Bills!350:350,"AAAAAHbv/PU=",0)</f>
        <v>0</v>
      </c>
      <c r="IM101" t="e">
        <f>AND(Bills!B350,"AAAAAHbv/PY=")</f>
        <v>#VALUE!</v>
      </c>
      <c r="IN101" t="e">
        <f>AND(Bills!#REF!,"AAAAAHbv/Pc=")</f>
        <v>#REF!</v>
      </c>
      <c r="IO101" t="e">
        <f>AND(Bills!C350,"AAAAAHbv/Pg=")</f>
        <v>#VALUE!</v>
      </c>
      <c r="IP101" t="e">
        <f>AND(Bills!D350,"AAAAAHbv/Pk=")</f>
        <v>#VALUE!</v>
      </c>
      <c r="IQ101" t="e">
        <f>AND(Bills!E350,"AAAAAHbv/Po=")</f>
        <v>#VALUE!</v>
      </c>
      <c r="IR101" t="e">
        <f>AND(Bills!#REF!,"AAAAAHbv/Ps=")</f>
        <v>#REF!</v>
      </c>
      <c r="IS101" t="e">
        <f>AND(Bills!#REF!,"AAAAAHbv/Pw=")</f>
        <v>#REF!</v>
      </c>
      <c r="IT101" t="e">
        <f>AND(Bills!#REF!,"AAAAAHbv/P0=")</f>
        <v>#REF!</v>
      </c>
      <c r="IU101" t="e">
        <f>AND(Bills!F350,"AAAAAHbv/P4=")</f>
        <v>#VALUE!</v>
      </c>
      <c r="IV101" t="e">
        <f>AND(Bills!#REF!,"AAAAAHbv/P8=")</f>
        <v>#REF!</v>
      </c>
    </row>
    <row r="102" spans="1:256">
      <c r="A102" t="e">
        <f>AND(Bills!G350,"AAAAAH9vjQA=")</f>
        <v>#VALUE!</v>
      </c>
      <c r="B102" t="e">
        <f>AND(Bills!H350,"AAAAAH9vjQE=")</f>
        <v>#VALUE!</v>
      </c>
      <c r="C102" t="e">
        <f>AND(Bills!I350,"AAAAAH9vjQI=")</f>
        <v>#VALUE!</v>
      </c>
      <c r="D102" t="e">
        <f>AND(Bills!J350,"AAAAAH9vjQM=")</f>
        <v>#VALUE!</v>
      </c>
      <c r="E102" t="e">
        <f>AND(Bills!K350,"AAAAAH9vjQQ=")</f>
        <v>#VALUE!</v>
      </c>
      <c r="F102" t="e">
        <f>AND(Bills!L350,"AAAAAH9vjQU=")</f>
        <v>#VALUE!</v>
      </c>
      <c r="G102" t="e">
        <f>AND(Bills!#REF!,"AAAAAH9vjQY=")</f>
        <v>#REF!</v>
      </c>
      <c r="H102" t="e">
        <f>AND(Bills!M350,"AAAAAH9vjQc=")</f>
        <v>#VALUE!</v>
      </c>
      <c r="I102" t="e">
        <f>AND(Bills!N350,"AAAAAH9vjQg=")</f>
        <v>#VALUE!</v>
      </c>
      <c r="J102" t="e">
        <f>AND(Bills!O350,"AAAAAH9vjQk=")</f>
        <v>#VALUE!</v>
      </c>
      <c r="K102" t="e">
        <f>AND(Bills!P350,"AAAAAH9vjQo=")</f>
        <v>#VALUE!</v>
      </c>
      <c r="L102" t="e">
        <f>AND(Bills!Q350,"AAAAAH9vjQs=")</f>
        <v>#VALUE!</v>
      </c>
      <c r="M102" t="e">
        <f>AND(Bills!R350,"AAAAAH9vjQw=")</f>
        <v>#VALUE!</v>
      </c>
      <c r="N102" t="e">
        <f>AND(Bills!S350,"AAAAAH9vjQ0=")</f>
        <v>#VALUE!</v>
      </c>
      <c r="O102" t="e">
        <f>AND(Bills!T350,"AAAAAH9vjQ4=")</f>
        <v>#VALUE!</v>
      </c>
      <c r="P102" t="e">
        <f>AND(Bills!#REF!,"AAAAAH9vjQ8=")</f>
        <v>#REF!</v>
      </c>
      <c r="Q102" t="e">
        <f>AND(Bills!U350,"AAAAAH9vjRA=")</f>
        <v>#VALUE!</v>
      </c>
      <c r="R102" t="e">
        <f>AND(Bills!V350,"AAAAAH9vjRE=")</f>
        <v>#VALUE!</v>
      </c>
      <c r="S102" t="e">
        <f>AND(Bills!W350,"AAAAAH9vjRI=")</f>
        <v>#VALUE!</v>
      </c>
      <c r="T102" t="e">
        <f>AND(Bills!#REF!,"AAAAAH9vjRM=")</f>
        <v>#REF!</v>
      </c>
      <c r="U102" t="e">
        <f>AND(Bills!#REF!,"AAAAAH9vjRQ=")</f>
        <v>#REF!</v>
      </c>
      <c r="V102" t="e">
        <f>AND(Bills!Y350,"AAAAAH9vjRU=")</f>
        <v>#VALUE!</v>
      </c>
      <c r="W102" t="e">
        <f>AND(Bills!Z350,"AAAAAH9vjRY=")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AND(Bills!AA350,"AAAAAH9vjSA=")</f>
        <v>#VALUE!</v>
      </c>
      <c r="AH102" t="e">
        <f>AND(Bills!AB350,"AAAAAH9vjSE=")</f>
        <v>#VALUE!</v>
      </c>
      <c r="AI102" t="e">
        <f>AND(Bills!#REF!,"AAAAAH9vjSI=")</f>
        <v>#REF!</v>
      </c>
      <c r="AJ102" t="e">
        <f>AND(Bills!#REF!,"AAAAAH9vjSM=")</f>
        <v>#REF!</v>
      </c>
      <c r="AK102" t="e">
        <f>AND(Bills!#REF!,"AAAAAH9vjSQ=")</f>
        <v>#REF!</v>
      </c>
      <c r="AL102" t="e">
        <f>AND(Bills!AC350,"AAAAAH9vjSU=")</f>
        <v>#VALUE!</v>
      </c>
      <c r="AM102" t="e">
        <f>AND(Bills!AD350,"AAAAAH9vjSY=")</f>
        <v>#VALUE!</v>
      </c>
      <c r="AN102" t="e">
        <f>AND(Bills!#REF!,"AAAAAH9vjSc=")</f>
        <v>#REF!</v>
      </c>
      <c r="AO102">
        <f>IF(Bills!351:351,"AAAAAH9vjSg=",0)</f>
        <v>0</v>
      </c>
      <c r="AP102" t="e">
        <f>AND(Bills!B351,"AAAAAH9vjSk=")</f>
        <v>#VALUE!</v>
      </c>
      <c r="AQ102" t="e">
        <f>AND(Bills!#REF!,"AAAAAH9vjSo=")</f>
        <v>#REF!</v>
      </c>
      <c r="AR102" t="e">
        <f>AND(Bills!C351,"AAAAAH9vjSs=")</f>
        <v>#VALUE!</v>
      </c>
      <c r="AS102" t="e">
        <f>AND(Bills!D351,"AAAAAH9vjSw=")</f>
        <v>#VALUE!</v>
      </c>
      <c r="AT102" t="e">
        <f>AND(Bills!E351,"AAAAAH9vjS0=")</f>
        <v>#VALUE!</v>
      </c>
      <c r="AU102" t="e">
        <f>AND(Bills!#REF!,"AAAAAH9vjS4=")</f>
        <v>#REF!</v>
      </c>
      <c r="AV102" t="e">
        <f>AND(Bills!#REF!,"AAAAAH9vjS8=")</f>
        <v>#REF!</v>
      </c>
      <c r="AW102" t="e">
        <f>AND(Bills!#REF!,"AAAAAH9vjTA=")</f>
        <v>#REF!</v>
      </c>
      <c r="AX102" t="e">
        <f>AND(Bills!F351,"AAAAAH9vjTE=")</f>
        <v>#VALUE!</v>
      </c>
      <c r="AY102" t="e">
        <f>AND(Bills!#REF!,"AAAAAH9vjTI=")</f>
        <v>#REF!</v>
      </c>
      <c r="AZ102" t="e">
        <f>AND(Bills!G351,"AAAAAH9vjTM=")</f>
        <v>#VALUE!</v>
      </c>
      <c r="BA102" t="e">
        <f>AND(Bills!H351,"AAAAAH9vjTQ=")</f>
        <v>#VALUE!</v>
      </c>
      <c r="BB102" t="e">
        <f>AND(Bills!I351,"AAAAAH9vjTU=")</f>
        <v>#VALUE!</v>
      </c>
      <c r="BC102" t="e">
        <f>AND(Bills!J351,"AAAAAH9vjTY=")</f>
        <v>#VALUE!</v>
      </c>
      <c r="BD102" t="e">
        <f>AND(Bills!K351,"AAAAAH9vjTc=")</f>
        <v>#VALUE!</v>
      </c>
      <c r="BE102" t="e">
        <f>AND(Bills!L351,"AAAAAH9vjTg=")</f>
        <v>#VALUE!</v>
      </c>
      <c r="BF102" t="e">
        <f>AND(Bills!#REF!,"AAAAAH9vjTk=")</f>
        <v>#REF!</v>
      </c>
      <c r="BG102" t="e">
        <f>AND(Bills!M351,"AAAAAH9vjTo=")</f>
        <v>#VALUE!</v>
      </c>
      <c r="BH102" t="e">
        <f>AND(Bills!N351,"AAAAAH9vjTs=")</f>
        <v>#VALUE!</v>
      </c>
      <c r="BI102" t="e">
        <f>AND(Bills!O351,"AAAAAH9vjTw=")</f>
        <v>#VALUE!</v>
      </c>
      <c r="BJ102" t="e">
        <f>AND(Bills!P351,"AAAAAH9vjT0=")</f>
        <v>#VALUE!</v>
      </c>
      <c r="BK102" t="e">
        <f>AND(Bills!Q351,"AAAAAH9vjT4=")</f>
        <v>#VALUE!</v>
      </c>
      <c r="BL102" t="e">
        <f>AND(Bills!R351,"AAAAAH9vjT8=")</f>
        <v>#VALUE!</v>
      </c>
      <c r="BM102" t="e">
        <f>AND(Bills!S351,"AAAAAH9vjUA=")</f>
        <v>#VALUE!</v>
      </c>
      <c r="BN102" t="e">
        <f>AND(Bills!T351,"AAAAAH9vjUE=")</f>
        <v>#VALUE!</v>
      </c>
      <c r="BO102" t="e">
        <f>AND(Bills!#REF!,"AAAAAH9vjUI=")</f>
        <v>#REF!</v>
      </c>
      <c r="BP102" t="e">
        <f>AND(Bills!U351,"AAAAAH9vjUM=")</f>
        <v>#VALUE!</v>
      </c>
      <c r="BQ102" t="e">
        <f>AND(Bills!V351,"AAAAAH9vjUQ=")</f>
        <v>#VALUE!</v>
      </c>
      <c r="BR102" t="e">
        <f>AND(Bills!W351,"AAAAAH9vjUU=")</f>
        <v>#VALUE!</v>
      </c>
      <c r="BS102" t="e">
        <f>AND(Bills!#REF!,"AAAAAH9vjUY=")</f>
        <v>#REF!</v>
      </c>
      <c r="BT102" t="e">
        <f>AND(Bills!#REF!,"AAAAAH9vjUc=")</f>
        <v>#REF!</v>
      </c>
      <c r="BU102" t="e">
        <f>AND(Bills!Y351,"AAAAAH9vjUg=")</f>
        <v>#VALUE!</v>
      </c>
      <c r="BV102" t="e">
        <f>AND(Bills!Z351,"AAAAAH9vjUk=")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AND(Bills!AA351,"AAAAAH9vjVM=")</f>
        <v>#VALUE!</v>
      </c>
      <c r="CG102" t="e">
        <f>AND(Bills!AB351,"AAAAAH9vjVQ=")</f>
        <v>#VALUE!</v>
      </c>
      <c r="CH102" t="e">
        <f>AND(Bills!#REF!,"AAAAAH9vjVU=")</f>
        <v>#REF!</v>
      </c>
      <c r="CI102" t="e">
        <f>AND(Bills!#REF!,"AAAAAH9vjVY=")</f>
        <v>#REF!</v>
      </c>
      <c r="CJ102" t="e">
        <f>AND(Bills!#REF!,"AAAAAH9vjVc=")</f>
        <v>#REF!</v>
      </c>
      <c r="CK102" t="e">
        <f>AND(Bills!AC351,"AAAAAH9vjVg=")</f>
        <v>#VALUE!</v>
      </c>
      <c r="CL102" t="e">
        <f>AND(Bills!AD351,"AAAAAH9vjVk=")</f>
        <v>#VALUE!</v>
      </c>
      <c r="CM102" t="e">
        <f>AND(Bills!#REF!,"AAAAAH9vjVo=")</f>
        <v>#REF!</v>
      </c>
      <c r="CN102">
        <f>IF(Bills!352:352,"AAAAAH9vjVs=",0)</f>
        <v>0</v>
      </c>
      <c r="CO102" t="e">
        <f>AND(Bills!B352,"AAAAAH9vjVw=")</f>
        <v>#VALUE!</v>
      </c>
      <c r="CP102" t="e">
        <f>AND(Bills!#REF!,"AAAAAH9vjV0=")</f>
        <v>#REF!</v>
      </c>
      <c r="CQ102" t="e">
        <f>AND(Bills!C352,"AAAAAH9vjV4=")</f>
        <v>#VALUE!</v>
      </c>
      <c r="CR102" t="e">
        <f>AND(Bills!D352,"AAAAAH9vjV8=")</f>
        <v>#VALUE!</v>
      </c>
      <c r="CS102" t="e">
        <f>AND(Bills!E352,"AAAAAH9vjWA=")</f>
        <v>#VALUE!</v>
      </c>
      <c r="CT102" t="e">
        <f>AND(Bills!#REF!,"AAAAAH9vjWE=")</f>
        <v>#REF!</v>
      </c>
      <c r="CU102" t="e">
        <f>AND(Bills!#REF!,"AAAAAH9vjWI=")</f>
        <v>#REF!</v>
      </c>
      <c r="CV102" t="e">
        <f>AND(Bills!#REF!,"AAAAAH9vjWM=")</f>
        <v>#REF!</v>
      </c>
      <c r="CW102" t="e">
        <f>AND(Bills!F352,"AAAAAH9vjWQ=")</f>
        <v>#VALUE!</v>
      </c>
      <c r="CX102" t="e">
        <f>AND(Bills!#REF!,"AAAAAH9vjWU=")</f>
        <v>#REF!</v>
      </c>
      <c r="CY102" t="e">
        <f>AND(Bills!G352,"AAAAAH9vjWY=")</f>
        <v>#VALUE!</v>
      </c>
      <c r="CZ102" t="e">
        <f>AND(Bills!H352,"AAAAAH9vjWc=")</f>
        <v>#VALUE!</v>
      </c>
      <c r="DA102" t="e">
        <f>AND(Bills!I352,"AAAAAH9vjWg=")</f>
        <v>#VALUE!</v>
      </c>
      <c r="DB102" t="e">
        <f>AND(Bills!J352,"AAAAAH9vjWk=")</f>
        <v>#VALUE!</v>
      </c>
      <c r="DC102" t="e">
        <f>AND(Bills!K352,"AAAAAH9vjWo=")</f>
        <v>#VALUE!</v>
      </c>
      <c r="DD102" t="e">
        <f>AND(Bills!L352,"AAAAAH9vjWs=")</f>
        <v>#VALUE!</v>
      </c>
      <c r="DE102" t="e">
        <f>AND(Bills!#REF!,"AAAAAH9vjWw=")</f>
        <v>#REF!</v>
      </c>
      <c r="DF102" t="e">
        <f>AND(Bills!M352,"AAAAAH9vjW0=")</f>
        <v>#VALUE!</v>
      </c>
      <c r="DG102" t="e">
        <f>AND(Bills!N352,"AAAAAH9vjW4=")</f>
        <v>#VALUE!</v>
      </c>
      <c r="DH102" t="e">
        <f>AND(Bills!O352,"AAAAAH9vjW8=")</f>
        <v>#VALUE!</v>
      </c>
      <c r="DI102" t="e">
        <f>AND(Bills!P352,"AAAAAH9vjXA=")</f>
        <v>#VALUE!</v>
      </c>
      <c r="DJ102" t="e">
        <f>AND(Bills!Q352,"AAAAAH9vjXE=")</f>
        <v>#VALUE!</v>
      </c>
      <c r="DK102" t="e">
        <f>AND(Bills!R352,"AAAAAH9vjXI=")</f>
        <v>#VALUE!</v>
      </c>
      <c r="DL102" t="e">
        <f>AND(Bills!S352,"AAAAAH9vjXM=")</f>
        <v>#VALUE!</v>
      </c>
      <c r="DM102" t="e">
        <f>AND(Bills!T352,"AAAAAH9vjXQ=")</f>
        <v>#VALUE!</v>
      </c>
      <c r="DN102" t="e">
        <f>AND(Bills!#REF!,"AAAAAH9vjXU=")</f>
        <v>#REF!</v>
      </c>
      <c r="DO102" t="e">
        <f>AND(Bills!U352,"AAAAAH9vjXY=")</f>
        <v>#VALUE!</v>
      </c>
      <c r="DP102" t="e">
        <f>AND(Bills!V352,"AAAAAH9vjXc=")</f>
        <v>#VALUE!</v>
      </c>
      <c r="DQ102" t="e">
        <f>AND(Bills!W352,"AAAAAH9vjXg=")</f>
        <v>#VALUE!</v>
      </c>
      <c r="DR102" t="e">
        <f>AND(Bills!#REF!,"AAAAAH9vjXk=")</f>
        <v>#REF!</v>
      </c>
      <c r="DS102" t="e">
        <f>AND(Bills!#REF!,"AAAAAH9vjXo=")</f>
        <v>#REF!</v>
      </c>
      <c r="DT102" t="e">
        <f>AND(Bills!Y352,"AAAAAH9vjXs=")</f>
        <v>#VALUE!</v>
      </c>
      <c r="DU102" t="e">
        <f>AND(Bills!Z352,"AAAAAH9vjXw=")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AND(Bills!AA352,"AAAAAH9vjYY=")</f>
        <v>#VALUE!</v>
      </c>
      <c r="EF102" t="e">
        <f>AND(Bills!AB352,"AAAAAH9vjYc=")</f>
        <v>#VALUE!</v>
      </c>
      <c r="EG102" t="e">
        <f>AND(Bills!#REF!,"AAAAAH9vjYg=")</f>
        <v>#REF!</v>
      </c>
      <c r="EH102" t="e">
        <f>AND(Bills!#REF!,"AAAAAH9vjYk=")</f>
        <v>#REF!</v>
      </c>
      <c r="EI102" t="e">
        <f>AND(Bills!#REF!,"AAAAAH9vjYo=")</f>
        <v>#REF!</v>
      </c>
      <c r="EJ102" t="e">
        <f>AND(Bills!AC352,"AAAAAH9vjYs=")</f>
        <v>#VALUE!</v>
      </c>
      <c r="EK102" t="e">
        <f>AND(Bills!AD352,"AAAAAH9vjYw=")</f>
        <v>#VALUE!</v>
      </c>
      <c r="EL102" t="e">
        <f>AND(Bills!#REF!,"AAAAAH9vjY0=")</f>
        <v>#REF!</v>
      </c>
      <c r="EM102">
        <f>IF(Bills!353:353,"AAAAAH9vjY4=",0)</f>
        <v>0</v>
      </c>
      <c r="EN102" t="e">
        <f>AND(Bills!B353,"AAAAAH9vjY8=")</f>
        <v>#VALUE!</v>
      </c>
      <c r="EO102" t="e">
        <f>AND(Bills!#REF!,"AAAAAH9vjZA=")</f>
        <v>#REF!</v>
      </c>
      <c r="EP102" t="e">
        <f>AND(Bills!C353,"AAAAAH9vjZE=")</f>
        <v>#VALUE!</v>
      </c>
      <c r="EQ102" t="e">
        <f>AND(Bills!D353,"AAAAAH9vjZI=")</f>
        <v>#VALUE!</v>
      </c>
      <c r="ER102" t="e">
        <f>AND(Bills!E353,"AAAAAH9vjZM=")</f>
        <v>#VALUE!</v>
      </c>
      <c r="ES102" t="e">
        <f>AND(Bills!#REF!,"AAAAAH9vjZQ=")</f>
        <v>#REF!</v>
      </c>
      <c r="ET102" t="e">
        <f>AND(Bills!#REF!,"AAAAAH9vjZU=")</f>
        <v>#REF!</v>
      </c>
      <c r="EU102" t="e">
        <f>AND(Bills!#REF!,"AAAAAH9vjZY=")</f>
        <v>#REF!</v>
      </c>
      <c r="EV102" t="e">
        <f>AND(Bills!F353,"AAAAAH9vjZc=")</f>
        <v>#VALUE!</v>
      </c>
      <c r="EW102" t="e">
        <f>AND(Bills!#REF!,"AAAAAH9vjZg=")</f>
        <v>#REF!</v>
      </c>
      <c r="EX102" t="e">
        <f>AND(Bills!G353,"AAAAAH9vjZk=")</f>
        <v>#VALUE!</v>
      </c>
      <c r="EY102" t="e">
        <f>AND(Bills!H353,"AAAAAH9vjZo=")</f>
        <v>#VALUE!</v>
      </c>
      <c r="EZ102" t="e">
        <f>AND(Bills!I353,"AAAAAH9vjZs=")</f>
        <v>#VALUE!</v>
      </c>
      <c r="FA102" t="e">
        <f>AND(Bills!J353,"AAAAAH9vjZw=")</f>
        <v>#VALUE!</v>
      </c>
      <c r="FB102" t="e">
        <f>AND(Bills!K353,"AAAAAH9vjZ0=")</f>
        <v>#VALUE!</v>
      </c>
      <c r="FC102" t="e">
        <f>AND(Bills!L353,"AAAAAH9vjZ4=")</f>
        <v>#VALUE!</v>
      </c>
      <c r="FD102" t="e">
        <f>AND(Bills!#REF!,"AAAAAH9vjZ8=")</f>
        <v>#REF!</v>
      </c>
      <c r="FE102" t="e">
        <f>AND(Bills!M353,"AAAAAH9vjaA=")</f>
        <v>#VALUE!</v>
      </c>
      <c r="FF102" t="e">
        <f>AND(Bills!N353,"AAAAAH9vjaE=")</f>
        <v>#VALUE!</v>
      </c>
      <c r="FG102" t="e">
        <f>AND(Bills!O353,"AAAAAH9vjaI=")</f>
        <v>#VALUE!</v>
      </c>
      <c r="FH102" t="e">
        <f>AND(Bills!P353,"AAAAAH9vjaM=")</f>
        <v>#VALUE!</v>
      </c>
      <c r="FI102" t="e">
        <f>AND(Bills!Q353,"AAAAAH9vjaQ=")</f>
        <v>#VALUE!</v>
      </c>
      <c r="FJ102" t="e">
        <f>AND(Bills!R353,"AAAAAH9vjaU=")</f>
        <v>#VALUE!</v>
      </c>
      <c r="FK102" t="e">
        <f>AND(Bills!S353,"AAAAAH9vjaY=")</f>
        <v>#VALUE!</v>
      </c>
      <c r="FL102" t="e">
        <f>AND(Bills!T353,"AAAAAH9vjac=")</f>
        <v>#VALUE!</v>
      </c>
      <c r="FM102" t="e">
        <f>AND(Bills!#REF!,"AAAAAH9vjag=")</f>
        <v>#REF!</v>
      </c>
      <c r="FN102" t="e">
        <f>AND(Bills!U353,"AAAAAH9vjak=")</f>
        <v>#VALUE!</v>
      </c>
      <c r="FO102" t="e">
        <f>AND(Bills!V353,"AAAAAH9vjao=")</f>
        <v>#VALUE!</v>
      </c>
      <c r="FP102" t="e">
        <f>AND(Bills!W353,"AAAAAH9vjas=")</f>
        <v>#VALUE!</v>
      </c>
      <c r="FQ102" t="e">
        <f>AND(Bills!#REF!,"AAAAAH9vjaw=")</f>
        <v>#REF!</v>
      </c>
      <c r="FR102" t="e">
        <f>AND(Bills!#REF!,"AAAAAH9vja0=")</f>
        <v>#REF!</v>
      </c>
      <c r="FS102" t="e">
        <f>AND(Bills!Y353,"AAAAAH9vja4=")</f>
        <v>#VALUE!</v>
      </c>
      <c r="FT102" t="e">
        <f>AND(Bills!Z353,"AAAAAH9vja8=")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AND(Bills!AA353,"AAAAAH9vjbk=")</f>
        <v>#VALUE!</v>
      </c>
      <c r="GE102" t="e">
        <f>AND(Bills!AB353,"AAAAAH9vjbo=")</f>
        <v>#VALUE!</v>
      </c>
      <c r="GF102" t="e">
        <f>AND(Bills!#REF!,"AAAAAH9vjbs=")</f>
        <v>#REF!</v>
      </c>
      <c r="GG102" t="e">
        <f>AND(Bills!#REF!,"AAAAAH9vjbw=")</f>
        <v>#REF!</v>
      </c>
      <c r="GH102" t="e">
        <f>AND(Bills!#REF!,"AAAAAH9vjb0=")</f>
        <v>#REF!</v>
      </c>
      <c r="GI102" t="e">
        <f>AND(Bills!AC353,"AAAAAH9vjb4=")</f>
        <v>#VALUE!</v>
      </c>
      <c r="GJ102" t="e">
        <f>AND(Bills!AD353,"AAAAAH9vjb8=")</f>
        <v>#VALUE!</v>
      </c>
      <c r="GK102" t="e">
        <f>AND(Bills!#REF!,"AAAAAH9vjcA=")</f>
        <v>#REF!</v>
      </c>
      <c r="GL102">
        <f>IF(Bills!354:354,"AAAAAH9vjcE=",0)</f>
        <v>0</v>
      </c>
      <c r="GM102" t="e">
        <f>AND(Bills!B354,"AAAAAH9vjcI=")</f>
        <v>#VALUE!</v>
      </c>
      <c r="GN102" t="e">
        <f>AND(Bills!#REF!,"AAAAAH9vjcM=")</f>
        <v>#REF!</v>
      </c>
      <c r="GO102" t="e">
        <f>AND(Bills!C354,"AAAAAH9vjcQ=")</f>
        <v>#VALUE!</v>
      </c>
      <c r="GP102" t="e">
        <f>AND(Bills!D354,"AAAAAH9vjcU=")</f>
        <v>#VALUE!</v>
      </c>
      <c r="GQ102" t="e">
        <f>AND(Bills!E354,"AAAAAH9vjcY=")</f>
        <v>#VALUE!</v>
      </c>
      <c r="GR102" t="e">
        <f>AND(Bills!#REF!,"AAAAAH9vjcc=")</f>
        <v>#REF!</v>
      </c>
      <c r="GS102" t="e">
        <f>AND(Bills!#REF!,"AAAAAH9vjcg=")</f>
        <v>#REF!</v>
      </c>
      <c r="GT102" t="e">
        <f>AND(Bills!#REF!,"AAAAAH9vjck=")</f>
        <v>#REF!</v>
      </c>
      <c r="GU102" t="e">
        <f>AND(Bills!F354,"AAAAAH9vjco=")</f>
        <v>#VALUE!</v>
      </c>
      <c r="GV102" t="e">
        <f>AND(Bills!#REF!,"AAAAAH9vjcs=")</f>
        <v>#REF!</v>
      </c>
      <c r="GW102" t="e">
        <f>AND(Bills!G354,"AAAAAH9vjcw=")</f>
        <v>#VALUE!</v>
      </c>
      <c r="GX102" t="e">
        <f>AND(Bills!H354,"AAAAAH9vjc0=")</f>
        <v>#VALUE!</v>
      </c>
      <c r="GY102" t="e">
        <f>AND(Bills!I354,"AAAAAH9vjc4=")</f>
        <v>#VALUE!</v>
      </c>
      <c r="GZ102" t="e">
        <f>AND(Bills!J354,"AAAAAH9vjc8=")</f>
        <v>#VALUE!</v>
      </c>
      <c r="HA102" t="e">
        <f>AND(Bills!K354,"AAAAAH9vjdA=")</f>
        <v>#VALUE!</v>
      </c>
      <c r="HB102" t="e">
        <f>AND(Bills!L354,"AAAAAH9vjdE=")</f>
        <v>#VALUE!</v>
      </c>
      <c r="HC102" t="e">
        <f>AND(Bills!#REF!,"AAAAAH9vjdI=")</f>
        <v>#REF!</v>
      </c>
      <c r="HD102" t="e">
        <f>AND(Bills!M354,"AAAAAH9vjdM=")</f>
        <v>#VALUE!</v>
      </c>
      <c r="HE102" t="e">
        <f>AND(Bills!N354,"AAAAAH9vjdQ=")</f>
        <v>#VALUE!</v>
      </c>
      <c r="HF102" t="e">
        <f>AND(Bills!O354,"AAAAAH9vjdU=")</f>
        <v>#VALUE!</v>
      </c>
      <c r="HG102" t="e">
        <f>AND(Bills!P354,"AAAAAH9vjdY=")</f>
        <v>#VALUE!</v>
      </c>
      <c r="HH102" t="e">
        <f>AND(Bills!Q354,"AAAAAH9vjdc=")</f>
        <v>#VALUE!</v>
      </c>
      <c r="HI102" t="e">
        <f>AND(Bills!R354,"AAAAAH9vjdg=")</f>
        <v>#VALUE!</v>
      </c>
      <c r="HJ102" t="e">
        <f>AND(Bills!S354,"AAAAAH9vjdk=")</f>
        <v>#VALUE!</v>
      </c>
      <c r="HK102" t="e">
        <f>AND(Bills!T354,"AAAAAH9vjdo=")</f>
        <v>#VALUE!</v>
      </c>
      <c r="HL102" t="e">
        <f>AND(Bills!#REF!,"AAAAAH9vjds=")</f>
        <v>#REF!</v>
      </c>
      <c r="HM102" t="e">
        <f>AND(Bills!U354,"AAAAAH9vjdw=")</f>
        <v>#VALUE!</v>
      </c>
      <c r="HN102" t="e">
        <f>AND(Bills!V354,"AAAAAH9vjd0=")</f>
        <v>#VALUE!</v>
      </c>
      <c r="HO102" t="e">
        <f>AND(Bills!W354,"AAAAAH9vjd4=")</f>
        <v>#VALUE!</v>
      </c>
      <c r="HP102" t="e">
        <f>AND(Bills!#REF!,"AAAAAH9vjd8=")</f>
        <v>#REF!</v>
      </c>
      <c r="HQ102" t="e">
        <f>AND(Bills!#REF!,"AAAAAH9vjeA=")</f>
        <v>#REF!</v>
      </c>
      <c r="HR102" t="e">
        <f>AND(Bills!Y354,"AAAAAH9vjeE=")</f>
        <v>#VALUE!</v>
      </c>
      <c r="HS102" t="e">
        <f>AND(Bills!Z354,"AAAAAH9vjeI=")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AND(Bills!AA354,"AAAAAH9vjew=")</f>
        <v>#VALUE!</v>
      </c>
      <c r="ID102" t="e">
        <f>AND(Bills!AB354,"AAAAAH9vje0=")</f>
        <v>#VALUE!</v>
      </c>
      <c r="IE102" t="e">
        <f>AND(Bills!#REF!,"AAAAAH9vje4=")</f>
        <v>#REF!</v>
      </c>
      <c r="IF102" t="e">
        <f>AND(Bills!#REF!,"AAAAAH9vje8=")</f>
        <v>#REF!</v>
      </c>
      <c r="IG102" t="e">
        <f>AND(Bills!#REF!,"AAAAAH9vjfA=")</f>
        <v>#REF!</v>
      </c>
      <c r="IH102" t="e">
        <f>AND(Bills!AC354,"AAAAAH9vjfE=")</f>
        <v>#VALUE!</v>
      </c>
      <c r="II102" t="e">
        <f>AND(Bills!AD354,"AAAAAH9vjfI=")</f>
        <v>#VALUE!</v>
      </c>
      <c r="IJ102" t="e">
        <f>AND(Bills!#REF!,"AAAAAH9vjfM=")</f>
        <v>#REF!</v>
      </c>
      <c r="IK102">
        <f>IF(Bills!355:355,"AAAAAH9vjfQ=",0)</f>
        <v>0</v>
      </c>
      <c r="IL102" t="e">
        <f>AND(Bills!B355,"AAAAAH9vjfU=")</f>
        <v>#VALUE!</v>
      </c>
      <c r="IM102" t="e">
        <f>AND(Bills!#REF!,"AAAAAH9vjfY=")</f>
        <v>#REF!</v>
      </c>
      <c r="IN102" t="e">
        <f>AND(Bills!C355,"AAAAAH9vjfc=")</f>
        <v>#VALUE!</v>
      </c>
      <c r="IO102" t="e">
        <f>AND(Bills!D355,"AAAAAH9vjfg=")</f>
        <v>#VALUE!</v>
      </c>
      <c r="IP102" t="e">
        <f>AND(Bills!E355,"AAAAAH9vjfk=")</f>
        <v>#VALUE!</v>
      </c>
      <c r="IQ102" t="e">
        <f>AND(Bills!#REF!,"AAAAAH9vjfo=")</f>
        <v>#REF!</v>
      </c>
      <c r="IR102" t="e">
        <f>AND(Bills!#REF!,"AAAAAH9vjfs=")</f>
        <v>#REF!</v>
      </c>
      <c r="IS102" t="e">
        <f>AND(Bills!#REF!,"AAAAAH9vjfw=")</f>
        <v>#REF!</v>
      </c>
      <c r="IT102" t="e">
        <f>AND(Bills!F355,"AAAAAH9vjf0=")</f>
        <v>#VALUE!</v>
      </c>
      <c r="IU102" t="e">
        <f>AND(Bills!#REF!,"AAAAAH9vjf4=")</f>
        <v>#REF!</v>
      </c>
      <c r="IV102" t="e">
        <f>AND(Bills!G355,"AAAAAH9vjf8=")</f>
        <v>#VALUE!</v>
      </c>
    </row>
    <row r="103" spans="1:256">
      <c r="A103" t="e">
        <f>AND(Bills!H355,"AAAAAD/+7wA=")</f>
        <v>#VALUE!</v>
      </c>
      <c r="B103" t="e">
        <f>AND(Bills!I355,"AAAAAD/+7wE=")</f>
        <v>#VALUE!</v>
      </c>
      <c r="C103" t="e">
        <f>AND(Bills!J355,"AAAAAD/+7wI=")</f>
        <v>#VALUE!</v>
      </c>
      <c r="D103" t="e">
        <f>AND(Bills!K355,"AAAAAD/+7wM=")</f>
        <v>#VALUE!</v>
      </c>
      <c r="E103" t="e">
        <f>AND(Bills!L355,"AAAAAD/+7wQ=")</f>
        <v>#VALUE!</v>
      </c>
      <c r="F103" t="e">
        <f>AND(Bills!#REF!,"AAAAAD/+7wU=")</f>
        <v>#REF!</v>
      </c>
      <c r="G103" t="e">
        <f>AND(Bills!M355,"AAAAAD/+7wY=")</f>
        <v>#VALUE!</v>
      </c>
      <c r="H103" t="e">
        <f>AND(Bills!N355,"AAAAAD/+7wc=")</f>
        <v>#VALUE!</v>
      </c>
      <c r="I103" t="e">
        <f>AND(Bills!O355,"AAAAAD/+7wg=")</f>
        <v>#VALUE!</v>
      </c>
      <c r="J103" t="e">
        <f>AND(Bills!P355,"AAAAAD/+7wk=")</f>
        <v>#VALUE!</v>
      </c>
      <c r="K103" t="e">
        <f>AND(Bills!Q355,"AAAAAD/+7wo=")</f>
        <v>#VALUE!</v>
      </c>
      <c r="L103" t="e">
        <f>AND(Bills!R355,"AAAAAD/+7ws=")</f>
        <v>#VALUE!</v>
      </c>
      <c r="M103" t="e">
        <f>AND(Bills!S355,"AAAAAD/+7ww=")</f>
        <v>#VALUE!</v>
      </c>
      <c r="N103" t="e">
        <f>AND(Bills!T355,"AAAAAD/+7w0=")</f>
        <v>#VALUE!</v>
      </c>
      <c r="O103" t="e">
        <f>AND(Bills!#REF!,"AAAAAD/+7w4=")</f>
        <v>#REF!</v>
      </c>
      <c r="P103" t="e">
        <f>AND(Bills!U355,"AAAAAD/+7w8=")</f>
        <v>#VALUE!</v>
      </c>
      <c r="Q103" t="e">
        <f>AND(Bills!V355,"AAAAAD/+7xA=")</f>
        <v>#VALUE!</v>
      </c>
      <c r="R103" t="e">
        <f>AND(Bills!W355,"AAAAAD/+7xE=")</f>
        <v>#VALUE!</v>
      </c>
      <c r="S103" t="e">
        <f>AND(Bills!#REF!,"AAAAAD/+7xI=")</f>
        <v>#REF!</v>
      </c>
      <c r="T103" t="e">
        <f>AND(Bills!#REF!,"AAAAAD/+7xM=")</f>
        <v>#REF!</v>
      </c>
      <c r="U103" t="e">
        <f>AND(Bills!Y355,"AAAAAD/+7xQ=")</f>
        <v>#VALUE!</v>
      </c>
      <c r="V103" t="e">
        <f>AND(Bills!Z355,"AAAAAD/+7xU=")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AND(Bills!AA355,"AAAAAD/+7x8=")</f>
        <v>#VALUE!</v>
      </c>
      <c r="AG103" t="e">
        <f>AND(Bills!AB355,"AAAAAD/+7yA=")</f>
        <v>#VALUE!</v>
      </c>
      <c r="AH103" t="e">
        <f>AND(Bills!#REF!,"AAAAAD/+7yE=")</f>
        <v>#REF!</v>
      </c>
      <c r="AI103" t="e">
        <f>AND(Bills!#REF!,"AAAAAD/+7yI=")</f>
        <v>#REF!</v>
      </c>
      <c r="AJ103" t="e">
        <f>AND(Bills!#REF!,"AAAAAD/+7yM=")</f>
        <v>#REF!</v>
      </c>
      <c r="AK103" t="e">
        <f>AND(Bills!AC355,"AAAAAD/+7yQ=")</f>
        <v>#VALUE!</v>
      </c>
      <c r="AL103" t="e">
        <f>AND(Bills!AD355,"AAAAAD/+7yU=")</f>
        <v>#VALUE!</v>
      </c>
      <c r="AM103" t="e">
        <f>AND(Bills!#REF!,"AAAAAD/+7yY=")</f>
        <v>#REF!</v>
      </c>
      <c r="AN103">
        <f>IF(Bills!356:356,"AAAAAD/+7yc=",0)</f>
        <v>0</v>
      </c>
      <c r="AO103" t="e">
        <f>AND(Bills!B356,"AAAAAD/+7yg=")</f>
        <v>#VALUE!</v>
      </c>
      <c r="AP103" t="e">
        <f>AND(Bills!#REF!,"AAAAAD/+7yk=")</f>
        <v>#REF!</v>
      </c>
      <c r="AQ103" t="e">
        <f>AND(Bills!C356,"AAAAAD/+7yo=")</f>
        <v>#VALUE!</v>
      </c>
      <c r="AR103" t="e">
        <f>AND(Bills!D356,"AAAAAD/+7ys=")</f>
        <v>#VALUE!</v>
      </c>
      <c r="AS103" t="e">
        <f>AND(Bills!E356,"AAAAAD/+7yw=")</f>
        <v>#VALUE!</v>
      </c>
      <c r="AT103" t="e">
        <f>AND(Bills!#REF!,"AAAAAD/+7y0=")</f>
        <v>#REF!</v>
      </c>
      <c r="AU103" t="e">
        <f>AND(Bills!#REF!,"AAAAAD/+7y4=")</f>
        <v>#REF!</v>
      </c>
      <c r="AV103" t="e">
        <f>AND(Bills!#REF!,"AAAAAD/+7y8=")</f>
        <v>#REF!</v>
      </c>
      <c r="AW103" t="e">
        <f>AND(Bills!F356,"AAAAAD/+7zA=")</f>
        <v>#VALUE!</v>
      </c>
      <c r="AX103" t="e">
        <f>AND(Bills!#REF!,"AAAAAD/+7zE=")</f>
        <v>#REF!</v>
      </c>
      <c r="AY103" t="e">
        <f>AND(Bills!G356,"AAAAAD/+7zI=")</f>
        <v>#VALUE!</v>
      </c>
      <c r="AZ103" t="e">
        <f>AND(Bills!H356,"AAAAAD/+7zM=")</f>
        <v>#VALUE!</v>
      </c>
      <c r="BA103" t="e">
        <f>AND(Bills!I356,"AAAAAD/+7zQ=")</f>
        <v>#VALUE!</v>
      </c>
      <c r="BB103" t="e">
        <f>AND(Bills!J356,"AAAAAD/+7zU=")</f>
        <v>#VALUE!</v>
      </c>
      <c r="BC103" t="e">
        <f>AND(Bills!K356,"AAAAAD/+7zY=")</f>
        <v>#VALUE!</v>
      </c>
      <c r="BD103" t="e">
        <f>AND(Bills!L356,"AAAAAD/+7zc=")</f>
        <v>#VALUE!</v>
      </c>
      <c r="BE103" t="e">
        <f>AND(Bills!#REF!,"AAAAAD/+7zg=")</f>
        <v>#REF!</v>
      </c>
      <c r="BF103" t="e">
        <f>AND(Bills!M356,"AAAAAD/+7zk=")</f>
        <v>#VALUE!</v>
      </c>
      <c r="BG103" t="e">
        <f>AND(Bills!N356,"AAAAAD/+7zo=")</f>
        <v>#VALUE!</v>
      </c>
      <c r="BH103" t="e">
        <f>AND(Bills!O356,"AAAAAD/+7zs=")</f>
        <v>#VALUE!</v>
      </c>
      <c r="BI103" t="e">
        <f>AND(Bills!P356,"AAAAAD/+7zw=")</f>
        <v>#VALUE!</v>
      </c>
      <c r="BJ103" t="e">
        <f>AND(Bills!Q356,"AAAAAD/+7z0=")</f>
        <v>#VALUE!</v>
      </c>
      <c r="BK103" t="e">
        <f>AND(Bills!R356,"AAAAAD/+7z4=")</f>
        <v>#VALUE!</v>
      </c>
      <c r="BL103" t="e">
        <f>AND(Bills!S356,"AAAAAD/+7z8=")</f>
        <v>#VALUE!</v>
      </c>
      <c r="BM103" t="e">
        <f>AND(Bills!T356,"AAAAAD/+70A=")</f>
        <v>#VALUE!</v>
      </c>
      <c r="BN103" t="e">
        <f>AND(Bills!#REF!,"AAAAAD/+70E=")</f>
        <v>#REF!</v>
      </c>
      <c r="BO103" t="e">
        <f>AND(Bills!U356,"AAAAAD/+70I=")</f>
        <v>#VALUE!</v>
      </c>
      <c r="BP103" t="e">
        <f>AND(Bills!V356,"AAAAAD/+70M=")</f>
        <v>#VALUE!</v>
      </c>
      <c r="BQ103" t="e">
        <f>AND(Bills!W356,"AAAAAD/+70Q=")</f>
        <v>#VALUE!</v>
      </c>
      <c r="BR103" t="e">
        <f>AND(Bills!#REF!,"AAAAAD/+70U=")</f>
        <v>#REF!</v>
      </c>
      <c r="BS103" t="e">
        <f>AND(Bills!#REF!,"AAAAAD/+70Y=")</f>
        <v>#REF!</v>
      </c>
      <c r="BT103" t="e">
        <f>AND(Bills!Y356,"AAAAAD/+70c=")</f>
        <v>#VALUE!</v>
      </c>
      <c r="BU103" t="e">
        <f>AND(Bills!Z356,"AAAAAD/+70g=")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AND(Bills!AA356,"AAAAAD/+71I=")</f>
        <v>#VALUE!</v>
      </c>
      <c r="CF103" t="e">
        <f>AND(Bills!AB356,"AAAAAD/+71M=")</f>
        <v>#VALUE!</v>
      </c>
      <c r="CG103" t="e">
        <f>AND(Bills!#REF!,"AAAAAD/+71Q=")</f>
        <v>#REF!</v>
      </c>
      <c r="CH103" t="e">
        <f>AND(Bills!#REF!,"AAAAAD/+71U=")</f>
        <v>#REF!</v>
      </c>
      <c r="CI103" t="e">
        <f>AND(Bills!#REF!,"AAAAAD/+71Y=")</f>
        <v>#REF!</v>
      </c>
      <c r="CJ103" t="e">
        <f>AND(Bills!AC356,"AAAAAD/+71c=")</f>
        <v>#VALUE!</v>
      </c>
      <c r="CK103" t="e">
        <f>AND(Bills!AD356,"AAAAAD/+71g=")</f>
        <v>#VALUE!</v>
      </c>
      <c r="CL103" t="e">
        <f>AND(Bills!#REF!,"AAAAAD/+71k=")</f>
        <v>#REF!</v>
      </c>
      <c r="CM103">
        <f>IF(Bills!357:357,"AAAAAD/+71o=",0)</f>
        <v>0</v>
      </c>
      <c r="CN103" t="e">
        <f>AND(Bills!B357,"AAAAAD/+71s=")</f>
        <v>#VALUE!</v>
      </c>
      <c r="CO103" t="e">
        <f>AND(Bills!#REF!,"AAAAAD/+71w=")</f>
        <v>#REF!</v>
      </c>
      <c r="CP103" t="e">
        <f>AND(Bills!C357,"AAAAAD/+710=")</f>
        <v>#VALUE!</v>
      </c>
      <c r="CQ103" t="e">
        <f>AND(Bills!D357,"AAAAAD/+714=")</f>
        <v>#VALUE!</v>
      </c>
      <c r="CR103" t="e">
        <f>AND(Bills!E357,"AAAAAD/+718=")</f>
        <v>#VALUE!</v>
      </c>
      <c r="CS103" t="e">
        <f>AND(Bills!#REF!,"AAAAAD/+72A=")</f>
        <v>#REF!</v>
      </c>
      <c r="CT103" t="e">
        <f>AND(Bills!#REF!,"AAAAAD/+72E=")</f>
        <v>#REF!</v>
      </c>
      <c r="CU103" t="e">
        <f>AND(Bills!#REF!,"AAAAAD/+72I=")</f>
        <v>#REF!</v>
      </c>
      <c r="CV103" t="e">
        <f>AND(Bills!F357,"AAAAAD/+72M=")</f>
        <v>#VALUE!</v>
      </c>
      <c r="CW103" t="e">
        <f>AND(Bills!#REF!,"AAAAAD/+72Q=")</f>
        <v>#REF!</v>
      </c>
      <c r="CX103" t="e">
        <f>AND(Bills!G357,"AAAAAD/+72U=")</f>
        <v>#VALUE!</v>
      </c>
      <c r="CY103" t="e">
        <f>AND(Bills!H357,"AAAAAD/+72Y=")</f>
        <v>#VALUE!</v>
      </c>
      <c r="CZ103" t="e">
        <f>AND(Bills!I357,"AAAAAD/+72c=")</f>
        <v>#VALUE!</v>
      </c>
      <c r="DA103" t="e">
        <f>AND(Bills!J357,"AAAAAD/+72g=")</f>
        <v>#VALUE!</v>
      </c>
      <c r="DB103" t="e">
        <f>AND(Bills!K357,"AAAAAD/+72k=")</f>
        <v>#VALUE!</v>
      </c>
      <c r="DC103" t="e">
        <f>AND(Bills!L357,"AAAAAD/+72o=")</f>
        <v>#VALUE!</v>
      </c>
      <c r="DD103" t="e">
        <f>AND(Bills!#REF!,"AAAAAD/+72s=")</f>
        <v>#REF!</v>
      </c>
      <c r="DE103" t="e">
        <f>AND(Bills!M357,"AAAAAD/+72w=")</f>
        <v>#VALUE!</v>
      </c>
      <c r="DF103" t="e">
        <f>AND(Bills!N357,"AAAAAD/+720=")</f>
        <v>#VALUE!</v>
      </c>
      <c r="DG103" t="e">
        <f>AND(Bills!O357,"AAAAAD/+724=")</f>
        <v>#VALUE!</v>
      </c>
      <c r="DH103" t="e">
        <f>AND(Bills!P357,"AAAAAD/+728=")</f>
        <v>#VALUE!</v>
      </c>
      <c r="DI103" t="e">
        <f>AND(Bills!Q357,"AAAAAD/+73A=")</f>
        <v>#VALUE!</v>
      </c>
      <c r="DJ103" t="e">
        <f>AND(Bills!R357,"AAAAAD/+73E=")</f>
        <v>#VALUE!</v>
      </c>
      <c r="DK103" t="e">
        <f>AND(Bills!S357,"AAAAAD/+73I=")</f>
        <v>#VALUE!</v>
      </c>
      <c r="DL103" t="e">
        <f>AND(Bills!T357,"AAAAAD/+73M=")</f>
        <v>#VALUE!</v>
      </c>
      <c r="DM103" t="e">
        <f>AND(Bills!#REF!,"AAAAAD/+73Q=")</f>
        <v>#REF!</v>
      </c>
      <c r="DN103" t="e">
        <f>AND(Bills!U357,"AAAAAD/+73U=")</f>
        <v>#VALUE!</v>
      </c>
      <c r="DO103" t="e">
        <f>AND(Bills!V357,"AAAAAD/+73Y=")</f>
        <v>#VALUE!</v>
      </c>
      <c r="DP103" t="e">
        <f>AND(Bills!W357,"AAAAAD/+73c=")</f>
        <v>#VALUE!</v>
      </c>
      <c r="DQ103" t="e">
        <f>AND(Bills!#REF!,"AAAAAD/+73g=")</f>
        <v>#REF!</v>
      </c>
      <c r="DR103" t="e">
        <f>AND(Bills!#REF!,"AAAAAD/+73k=")</f>
        <v>#REF!</v>
      </c>
      <c r="DS103" t="e">
        <f>AND(Bills!Y357,"AAAAAD/+73o=")</f>
        <v>#VALUE!</v>
      </c>
      <c r="DT103" t="e">
        <f>AND(Bills!Z357,"AAAAAD/+73s=")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AND(Bills!AA357,"AAAAAD/+74U=")</f>
        <v>#VALUE!</v>
      </c>
      <c r="EE103" t="e">
        <f>AND(Bills!AB357,"AAAAAD/+74Y=")</f>
        <v>#VALUE!</v>
      </c>
      <c r="EF103" t="e">
        <f>AND(Bills!#REF!,"AAAAAD/+74c=")</f>
        <v>#REF!</v>
      </c>
      <c r="EG103" t="e">
        <f>AND(Bills!#REF!,"AAAAAD/+74g=")</f>
        <v>#REF!</v>
      </c>
      <c r="EH103" t="e">
        <f>AND(Bills!#REF!,"AAAAAD/+74k=")</f>
        <v>#REF!</v>
      </c>
      <c r="EI103" t="e">
        <f>AND(Bills!AC357,"AAAAAD/+74o=")</f>
        <v>#VALUE!</v>
      </c>
      <c r="EJ103" t="e">
        <f>AND(Bills!AD357,"AAAAAD/+74s=")</f>
        <v>#VALUE!</v>
      </c>
      <c r="EK103" t="e">
        <f>AND(Bills!#REF!,"AAAAAD/+74w=")</f>
        <v>#REF!</v>
      </c>
      <c r="EL103">
        <f>IF(Bills!358:358,"AAAAAD/+740=",0)</f>
        <v>0</v>
      </c>
      <c r="EM103" t="e">
        <f>AND(Bills!B358,"AAAAAD/+744=")</f>
        <v>#VALUE!</v>
      </c>
      <c r="EN103" t="e">
        <f>AND(Bills!#REF!,"AAAAAD/+748=")</f>
        <v>#REF!</v>
      </c>
      <c r="EO103" t="e">
        <f>AND(Bills!C358,"AAAAAD/+75A=")</f>
        <v>#VALUE!</v>
      </c>
      <c r="EP103" t="e">
        <f>AND(Bills!D358,"AAAAAD/+75E=")</f>
        <v>#VALUE!</v>
      </c>
      <c r="EQ103" t="e">
        <f>AND(Bills!E358,"AAAAAD/+75I=")</f>
        <v>#VALUE!</v>
      </c>
      <c r="ER103" t="e">
        <f>AND(Bills!#REF!,"AAAAAD/+75M=")</f>
        <v>#REF!</v>
      </c>
      <c r="ES103" t="e">
        <f>AND(Bills!#REF!,"AAAAAD/+75Q=")</f>
        <v>#REF!</v>
      </c>
      <c r="ET103" t="e">
        <f>AND(Bills!#REF!,"AAAAAD/+75U=")</f>
        <v>#REF!</v>
      </c>
      <c r="EU103" t="e">
        <f>AND(Bills!F358,"AAAAAD/+75Y=")</f>
        <v>#VALUE!</v>
      </c>
      <c r="EV103" t="e">
        <f>AND(Bills!#REF!,"AAAAAD/+75c=")</f>
        <v>#REF!</v>
      </c>
      <c r="EW103" t="e">
        <f>AND(Bills!G358,"AAAAAD/+75g=")</f>
        <v>#VALUE!</v>
      </c>
      <c r="EX103" t="e">
        <f>AND(Bills!H358,"AAAAAD/+75k=")</f>
        <v>#VALUE!</v>
      </c>
      <c r="EY103" t="e">
        <f>AND(Bills!I358,"AAAAAD/+75o=")</f>
        <v>#VALUE!</v>
      </c>
      <c r="EZ103" t="e">
        <f>AND(Bills!J358,"AAAAAD/+75s=")</f>
        <v>#VALUE!</v>
      </c>
      <c r="FA103" t="e">
        <f>AND(Bills!K358,"AAAAAD/+75w=")</f>
        <v>#VALUE!</v>
      </c>
      <c r="FB103" t="e">
        <f>AND(Bills!L358,"AAAAAD/+750=")</f>
        <v>#VALUE!</v>
      </c>
      <c r="FC103" t="e">
        <f>AND(Bills!#REF!,"AAAAAD/+754=")</f>
        <v>#REF!</v>
      </c>
      <c r="FD103" t="e">
        <f>AND(Bills!M358,"AAAAAD/+758=")</f>
        <v>#VALUE!</v>
      </c>
      <c r="FE103" t="e">
        <f>AND(Bills!N358,"AAAAAD/+76A=")</f>
        <v>#VALUE!</v>
      </c>
      <c r="FF103" t="e">
        <f>AND(Bills!O358,"AAAAAD/+76E=")</f>
        <v>#VALUE!</v>
      </c>
      <c r="FG103" t="e">
        <f>AND(Bills!P358,"AAAAAD/+76I=")</f>
        <v>#VALUE!</v>
      </c>
      <c r="FH103" t="e">
        <f>AND(Bills!Q358,"AAAAAD/+76M=")</f>
        <v>#VALUE!</v>
      </c>
      <c r="FI103" t="e">
        <f>AND(Bills!R358,"AAAAAD/+76Q=")</f>
        <v>#VALUE!</v>
      </c>
      <c r="FJ103" t="e">
        <f>AND(Bills!S358,"AAAAAD/+76U=")</f>
        <v>#VALUE!</v>
      </c>
      <c r="FK103" t="e">
        <f>AND(Bills!T358,"AAAAAD/+76Y=")</f>
        <v>#VALUE!</v>
      </c>
      <c r="FL103" t="e">
        <f>AND(Bills!#REF!,"AAAAAD/+76c=")</f>
        <v>#REF!</v>
      </c>
      <c r="FM103" t="e">
        <f>AND(Bills!U358,"AAAAAD/+76g=")</f>
        <v>#VALUE!</v>
      </c>
      <c r="FN103" t="e">
        <f>AND(Bills!V358,"AAAAAD/+76k=")</f>
        <v>#VALUE!</v>
      </c>
      <c r="FO103" t="e">
        <f>AND(Bills!W358,"AAAAAD/+76o=")</f>
        <v>#VALUE!</v>
      </c>
      <c r="FP103" t="e">
        <f>AND(Bills!#REF!,"AAAAAD/+76s=")</f>
        <v>#REF!</v>
      </c>
      <c r="FQ103" t="e">
        <f>AND(Bills!#REF!,"AAAAAD/+76w=")</f>
        <v>#REF!</v>
      </c>
      <c r="FR103" t="e">
        <f>AND(Bills!Y358,"AAAAAD/+760=")</f>
        <v>#VALUE!</v>
      </c>
      <c r="FS103" t="e">
        <f>AND(Bills!Z358,"AAAAAD/+764=")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AND(Bills!AA358,"AAAAAD/+77g=")</f>
        <v>#VALUE!</v>
      </c>
      <c r="GD103" t="e">
        <f>AND(Bills!AB358,"AAAAAD/+77k=")</f>
        <v>#VALUE!</v>
      </c>
      <c r="GE103" t="e">
        <f>AND(Bills!#REF!,"AAAAAD/+77o=")</f>
        <v>#REF!</v>
      </c>
      <c r="GF103" t="e">
        <f>AND(Bills!#REF!,"AAAAAD/+77s=")</f>
        <v>#REF!</v>
      </c>
      <c r="GG103" t="e">
        <f>AND(Bills!#REF!,"AAAAAD/+77w=")</f>
        <v>#REF!</v>
      </c>
      <c r="GH103" t="e">
        <f>AND(Bills!AC358,"AAAAAD/+770=")</f>
        <v>#VALUE!</v>
      </c>
      <c r="GI103" t="e">
        <f>AND(Bills!AD358,"AAAAAD/+774=")</f>
        <v>#VALUE!</v>
      </c>
      <c r="GJ103" t="e">
        <f>AND(Bills!#REF!,"AAAAAD/+778=")</f>
        <v>#REF!</v>
      </c>
      <c r="GK103">
        <f>IF(Bills!359:359,"AAAAAD/+78A=",0)</f>
        <v>0</v>
      </c>
      <c r="GL103" t="e">
        <f>AND(Bills!B359,"AAAAAD/+78E=")</f>
        <v>#VALUE!</v>
      </c>
      <c r="GM103" t="e">
        <f>AND(Bills!#REF!,"AAAAAD/+78I=")</f>
        <v>#REF!</v>
      </c>
      <c r="GN103" t="e">
        <f>AND(Bills!C359,"AAAAAD/+78M=")</f>
        <v>#VALUE!</v>
      </c>
      <c r="GO103" t="e">
        <f>AND(Bills!D359,"AAAAAD/+78Q=")</f>
        <v>#VALUE!</v>
      </c>
      <c r="GP103" t="e">
        <f>AND(Bills!E359,"AAAAAD/+78U=")</f>
        <v>#VALUE!</v>
      </c>
      <c r="GQ103" t="e">
        <f>AND(Bills!#REF!,"AAAAAD/+78Y=")</f>
        <v>#REF!</v>
      </c>
      <c r="GR103" t="e">
        <f>AND(Bills!#REF!,"AAAAAD/+78c=")</f>
        <v>#REF!</v>
      </c>
      <c r="GS103" t="e">
        <f>AND(Bills!#REF!,"AAAAAD/+78g=")</f>
        <v>#REF!</v>
      </c>
      <c r="GT103" t="e">
        <f>AND(Bills!F359,"AAAAAD/+78k=")</f>
        <v>#VALUE!</v>
      </c>
      <c r="GU103" t="e">
        <f>AND(Bills!#REF!,"AAAAAD/+78o=")</f>
        <v>#REF!</v>
      </c>
      <c r="GV103" t="e">
        <f>AND(Bills!G359,"AAAAAD/+78s=")</f>
        <v>#VALUE!</v>
      </c>
      <c r="GW103" t="e">
        <f>AND(Bills!H359,"AAAAAD/+78w=")</f>
        <v>#VALUE!</v>
      </c>
      <c r="GX103" t="e">
        <f>AND(Bills!I359,"AAAAAD/+780=")</f>
        <v>#VALUE!</v>
      </c>
      <c r="GY103" t="e">
        <f>AND(Bills!J359,"AAAAAD/+784=")</f>
        <v>#VALUE!</v>
      </c>
      <c r="GZ103" t="e">
        <f>AND(Bills!K359,"AAAAAD/+788=")</f>
        <v>#VALUE!</v>
      </c>
      <c r="HA103" t="e">
        <f>AND(Bills!L359,"AAAAAD/+79A=")</f>
        <v>#VALUE!</v>
      </c>
      <c r="HB103" t="e">
        <f>AND(Bills!#REF!,"AAAAAD/+79E=")</f>
        <v>#REF!</v>
      </c>
      <c r="HC103" t="e">
        <f>AND(Bills!M359,"AAAAAD/+79I=")</f>
        <v>#VALUE!</v>
      </c>
      <c r="HD103" t="e">
        <f>AND(Bills!N359,"AAAAAD/+79M=")</f>
        <v>#VALUE!</v>
      </c>
      <c r="HE103" t="e">
        <f>AND(Bills!O359,"AAAAAD/+79Q=")</f>
        <v>#VALUE!</v>
      </c>
      <c r="HF103" t="e">
        <f>AND(Bills!P359,"AAAAAD/+79U=")</f>
        <v>#VALUE!</v>
      </c>
      <c r="HG103" t="e">
        <f>AND(Bills!Q359,"AAAAAD/+79Y=")</f>
        <v>#VALUE!</v>
      </c>
      <c r="HH103" t="e">
        <f>AND(Bills!R359,"AAAAAD/+79c=")</f>
        <v>#VALUE!</v>
      </c>
      <c r="HI103" t="e">
        <f>AND(Bills!S359,"AAAAAD/+79g=")</f>
        <v>#VALUE!</v>
      </c>
      <c r="HJ103" t="e">
        <f>AND(Bills!T359,"AAAAAD/+79k=")</f>
        <v>#VALUE!</v>
      </c>
      <c r="HK103" t="e">
        <f>AND(Bills!#REF!,"AAAAAD/+79o=")</f>
        <v>#REF!</v>
      </c>
      <c r="HL103" t="e">
        <f>AND(Bills!U359,"AAAAAD/+79s=")</f>
        <v>#VALUE!</v>
      </c>
      <c r="HM103" t="e">
        <f>AND(Bills!V359,"AAAAAD/+79w=")</f>
        <v>#VALUE!</v>
      </c>
      <c r="HN103" t="e">
        <f>AND(Bills!W359,"AAAAAD/+790=")</f>
        <v>#VALUE!</v>
      </c>
      <c r="HO103" t="e">
        <f>AND(Bills!#REF!,"AAAAAD/+794=")</f>
        <v>#REF!</v>
      </c>
      <c r="HP103" t="e">
        <f>AND(Bills!#REF!,"AAAAAD/+798=")</f>
        <v>#REF!</v>
      </c>
      <c r="HQ103" t="e">
        <f>AND(Bills!Y359,"AAAAAD/+7+A=")</f>
        <v>#VALUE!</v>
      </c>
      <c r="HR103" t="e">
        <f>AND(Bills!Z359,"AAAAAD/+7+E=")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AND(Bills!AA359,"AAAAAD/+7+s=")</f>
        <v>#VALUE!</v>
      </c>
      <c r="IC103" t="e">
        <f>AND(Bills!AB359,"AAAAAD/+7+w=")</f>
        <v>#VALUE!</v>
      </c>
      <c r="ID103" t="e">
        <f>AND(Bills!#REF!,"AAAAAD/+7+0=")</f>
        <v>#REF!</v>
      </c>
      <c r="IE103" t="e">
        <f>AND(Bills!#REF!,"AAAAAD/+7+4=")</f>
        <v>#REF!</v>
      </c>
      <c r="IF103" t="e">
        <f>AND(Bills!#REF!,"AAAAAD/+7+8=")</f>
        <v>#REF!</v>
      </c>
      <c r="IG103" t="e">
        <f>AND(Bills!AC359,"AAAAAD/+7/A=")</f>
        <v>#VALUE!</v>
      </c>
      <c r="IH103" t="e">
        <f>AND(Bills!AD359,"AAAAAD/+7/E=")</f>
        <v>#VALUE!</v>
      </c>
      <c r="II103" t="e">
        <f>AND(Bills!#REF!,"AAAAAD/+7/I=")</f>
        <v>#REF!</v>
      </c>
      <c r="IJ103">
        <f>IF(Bills!360:360,"AAAAAD/+7/M=",0)</f>
        <v>0</v>
      </c>
      <c r="IK103" t="e">
        <f>AND(Bills!B360,"AAAAAD/+7/Q=")</f>
        <v>#VALUE!</v>
      </c>
      <c r="IL103" t="e">
        <f>AND(Bills!#REF!,"AAAAAD/+7/U=")</f>
        <v>#REF!</v>
      </c>
      <c r="IM103" t="e">
        <f>AND(Bills!C360,"AAAAAD/+7/Y=")</f>
        <v>#VALUE!</v>
      </c>
      <c r="IN103" t="e">
        <f>AND(Bills!D360,"AAAAAD/+7/c=")</f>
        <v>#VALUE!</v>
      </c>
      <c r="IO103" t="e">
        <f>AND(Bills!E360,"AAAAAD/+7/g=")</f>
        <v>#VALUE!</v>
      </c>
      <c r="IP103" t="e">
        <f>AND(Bills!#REF!,"AAAAAD/+7/k=")</f>
        <v>#REF!</v>
      </c>
      <c r="IQ103" t="e">
        <f>AND(Bills!#REF!,"AAAAAD/+7/o=")</f>
        <v>#REF!</v>
      </c>
      <c r="IR103" t="e">
        <f>AND(Bills!#REF!,"AAAAAD/+7/s=")</f>
        <v>#REF!</v>
      </c>
      <c r="IS103" t="e">
        <f>AND(Bills!F360,"AAAAAD/+7/w=")</f>
        <v>#VALUE!</v>
      </c>
      <c r="IT103" t="e">
        <f>AND(Bills!#REF!,"AAAAAD/+7/0=")</f>
        <v>#REF!</v>
      </c>
      <c r="IU103" t="e">
        <f>AND(Bills!G360,"AAAAAD/+7/4=")</f>
        <v>#VALUE!</v>
      </c>
      <c r="IV103" t="e">
        <f>AND(Bills!H360,"AAAAAD/+7/8=")</f>
        <v>#VALUE!</v>
      </c>
    </row>
    <row r="104" spans="1:256">
      <c r="A104" t="e">
        <f>AND(Bills!I360,"AAAAAD++vwA=")</f>
        <v>#VALUE!</v>
      </c>
      <c r="B104" t="e">
        <f>AND(Bills!J360,"AAAAAD++vwE=")</f>
        <v>#VALUE!</v>
      </c>
      <c r="C104" t="e">
        <f>AND(Bills!K360,"AAAAAD++vwI=")</f>
        <v>#VALUE!</v>
      </c>
      <c r="D104" t="e">
        <f>AND(Bills!L360,"AAAAAD++vwM=")</f>
        <v>#VALUE!</v>
      </c>
      <c r="E104" t="e">
        <f>AND(Bills!#REF!,"AAAAAD++vwQ=")</f>
        <v>#REF!</v>
      </c>
      <c r="F104" t="e">
        <f>AND(Bills!M360,"AAAAAD++vwU=")</f>
        <v>#VALUE!</v>
      </c>
      <c r="G104" t="e">
        <f>AND(Bills!N360,"AAAAAD++vwY=")</f>
        <v>#VALUE!</v>
      </c>
      <c r="H104" t="e">
        <f>AND(Bills!O360,"AAAAAD++vwc=")</f>
        <v>#VALUE!</v>
      </c>
      <c r="I104" t="e">
        <f>AND(Bills!P360,"AAAAAD++vwg=")</f>
        <v>#VALUE!</v>
      </c>
      <c r="J104" t="e">
        <f>AND(Bills!Q360,"AAAAAD++vwk=")</f>
        <v>#VALUE!</v>
      </c>
      <c r="K104" t="e">
        <f>AND(Bills!R360,"AAAAAD++vwo=")</f>
        <v>#VALUE!</v>
      </c>
      <c r="L104" t="e">
        <f>AND(Bills!S360,"AAAAAD++vws=")</f>
        <v>#VALUE!</v>
      </c>
      <c r="M104" t="e">
        <f>AND(Bills!T360,"AAAAAD++vww=")</f>
        <v>#VALUE!</v>
      </c>
      <c r="N104" t="e">
        <f>AND(Bills!#REF!,"AAAAAD++vw0=")</f>
        <v>#REF!</v>
      </c>
      <c r="O104" t="e">
        <f>AND(Bills!U360,"AAAAAD++vw4=")</f>
        <v>#VALUE!</v>
      </c>
      <c r="P104" t="e">
        <f>AND(Bills!V360,"AAAAAD++vw8=")</f>
        <v>#VALUE!</v>
      </c>
      <c r="Q104" t="e">
        <f>AND(Bills!W360,"AAAAAD++vxA=")</f>
        <v>#VALUE!</v>
      </c>
      <c r="R104" t="e">
        <f>AND(Bills!#REF!,"AAAAAD++vxE=")</f>
        <v>#REF!</v>
      </c>
      <c r="S104" t="e">
        <f>AND(Bills!#REF!,"AAAAAD++vxI=")</f>
        <v>#REF!</v>
      </c>
      <c r="T104" t="e">
        <f>AND(Bills!Y360,"AAAAAD++vxM=")</f>
        <v>#VALUE!</v>
      </c>
      <c r="U104" t="e">
        <f>AND(Bills!Z360,"AAAAAD++vxQ=")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AND(Bills!AA360,"AAAAAD++vx4=")</f>
        <v>#VALUE!</v>
      </c>
      <c r="AF104" t="e">
        <f>AND(Bills!AB360,"AAAAAD++vx8=")</f>
        <v>#VALUE!</v>
      </c>
      <c r="AG104" t="e">
        <f>AND(Bills!#REF!,"AAAAAD++vyA=")</f>
        <v>#REF!</v>
      </c>
      <c r="AH104" t="e">
        <f>AND(Bills!#REF!,"AAAAAD++vyE=")</f>
        <v>#REF!</v>
      </c>
      <c r="AI104" t="e">
        <f>AND(Bills!#REF!,"AAAAAD++vyI=")</f>
        <v>#REF!</v>
      </c>
      <c r="AJ104" t="e">
        <f>AND(Bills!AC360,"AAAAAD++vyM=")</f>
        <v>#VALUE!</v>
      </c>
      <c r="AK104" t="e">
        <f>AND(Bills!AD360,"AAAAAD++vyQ=")</f>
        <v>#VALUE!</v>
      </c>
      <c r="AL104" t="e">
        <f>AND(Bills!#REF!,"AAAAAD++vyU=")</f>
        <v>#REF!</v>
      </c>
      <c r="AM104">
        <f>IF(Bills!361:361,"AAAAAD++vyY=",0)</f>
        <v>0</v>
      </c>
      <c r="AN104" t="e">
        <f>AND(Bills!B361,"AAAAAD++vyc=")</f>
        <v>#VALUE!</v>
      </c>
      <c r="AO104" t="e">
        <f>AND(Bills!#REF!,"AAAAAD++vyg=")</f>
        <v>#REF!</v>
      </c>
      <c r="AP104" t="e">
        <f>AND(Bills!C361,"AAAAAD++vyk=")</f>
        <v>#VALUE!</v>
      </c>
      <c r="AQ104" t="e">
        <f>AND(Bills!D361,"AAAAAD++vyo=")</f>
        <v>#VALUE!</v>
      </c>
      <c r="AR104" t="e">
        <f>AND(Bills!E361,"AAAAAD++vys=")</f>
        <v>#VALUE!</v>
      </c>
      <c r="AS104" t="e">
        <f>AND(Bills!#REF!,"AAAAAD++vyw=")</f>
        <v>#REF!</v>
      </c>
      <c r="AT104" t="e">
        <f>AND(Bills!#REF!,"AAAAAD++vy0=")</f>
        <v>#REF!</v>
      </c>
      <c r="AU104" t="e">
        <f>AND(Bills!#REF!,"AAAAAD++vy4=")</f>
        <v>#REF!</v>
      </c>
      <c r="AV104" t="e">
        <f>AND(Bills!F361,"AAAAAD++vy8=")</f>
        <v>#VALUE!</v>
      </c>
      <c r="AW104" t="e">
        <f>AND(Bills!#REF!,"AAAAAD++vzA=")</f>
        <v>#REF!</v>
      </c>
      <c r="AX104" t="e">
        <f>AND(Bills!G361,"AAAAAD++vzE=")</f>
        <v>#VALUE!</v>
      </c>
      <c r="AY104" t="e">
        <f>AND(Bills!H361,"AAAAAD++vzI=")</f>
        <v>#VALUE!</v>
      </c>
      <c r="AZ104" t="e">
        <f>AND(Bills!I361,"AAAAAD++vzM=")</f>
        <v>#VALUE!</v>
      </c>
      <c r="BA104" t="e">
        <f>AND(Bills!J361,"AAAAAD++vzQ=")</f>
        <v>#VALUE!</v>
      </c>
      <c r="BB104" t="e">
        <f>AND(Bills!K361,"AAAAAD++vzU=")</f>
        <v>#VALUE!</v>
      </c>
      <c r="BC104" t="e">
        <f>AND(Bills!L361,"AAAAAD++vzY=")</f>
        <v>#VALUE!</v>
      </c>
      <c r="BD104" t="e">
        <f>AND(Bills!#REF!,"AAAAAD++vzc=")</f>
        <v>#REF!</v>
      </c>
      <c r="BE104" t="e">
        <f>AND(Bills!M361,"AAAAAD++vzg=")</f>
        <v>#VALUE!</v>
      </c>
      <c r="BF104" t="e">
        <f>AND(Bills!N361,"AAAAAD++vzk=")</f>
        <v>#VALUE!</v>
      </c>
      <c r="BG104" t="e">
        <f>AND(Bills!O361,"AAAAAD++vzo=")</f>
        <v>#VALUE!</v>
      </c>
      <c r="BH104" t="e">
        <f>AND(Bills!P361,"AAAAAD++vzs=")</f>
        <v>#VALUE!</v>
      </c>
      <c r="BI104" t="e">
        <f>AND(Bills!Q361,"AAAAAD++vzw=")</f>
        <v>#VALUE!</v>
      </c>
      <c r="BJ104" t="e">
        <f>AND(Bills!R361,"AAAAAD++vz0=")</f>
        <v>#VALUE!</v>
      </c>
      <c r="BK104" t="e">
        <f>AND(Bills!S361,"AAAAAD++vz4=")</f>
        <v>#VALUE!</v>
      </c>
      <c r="BL104" t="e">
        <f>AND(Bills!T361,"AAAAAD++vz8=")</f>
        <v>#VALUE!</v>
      </c>
      <c r="BM104" t="e">
        <f>AND(Bills!#REF!,"AAAAAD++v0A=")</f>
        <v>#REF!</v>
      </c>
      <c r="BN104" t="e">
        <f>AND(Bills!U361,"AAAAAD++v0E=")</f>
        <v>#VALUE!</v>
      </c>
      <c r="BO104" t="e">
        <f>AND(Bills!V361,"AAAAAD++v0I=")</f>
        <v>#VALUE!</v>
      </c>
      <c r="BP104" t="e">
        <f>AND(Bills!W361,"AAAAAD++v0M=")</f>
        <v>#VALUE!</v>
      </c>
      <c r="BQ104" t="e">
        <f>AND(Bills!#REF!,"AAAAAD++v0Q=")</f>
        <v>#REF!</v>
      </c>
      <c r="BR104" t="e">
        <f>AND(Bills!#REF!,"AAAAAD++v0U=")</f>
        <v>#REF!</v>
      </c>
      <c r="BS104" t="e">
        <f>AND(Bills!Y361,"AAAAAD++v0Y=")</f>
        <v>#VALUE!</v>
      </c>
      <c r="BT104" t="e">
        <f>AND(Bills!Z361,"AAAAAD++v0c=")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AND(Bills!AA361,"AAAAAD++v1E=")</f>
        <v>#VALUE!</v>
      </c>
      <c r="CE104" t="e">
        <f>AND(Bills!AB361,"AAAAAD++v1I=")</f>
        <v>#VALUE!</v>
      </c>
      <c r="CF104" t="e">
        <f>AND(Bills!#REF!,"AAAAAD++v1M=")</f>
        <v>#REF!</v>
      </c>
      <c r="CG104" t="e">
        <f>AND(Bills!#REF!,"AAAAAD++v1Q=")</f>
        <v>#REF!</v>
      </c>
      <c r="CH104" t="e">
        <f>AND(Bills!#REF!,"AAAAAD++v1U=")</f>
        <v>#REF!</v>
      </c>
      <c r="CI104" t="e">
        <f>AND(Bills!AC361,"AAAAAD++v1Y=")</f>
        <v>#VALUE!</v>
      </c>
      <c r="CJ104" t="e">
        <f>AND(Bills!AD361,"AAAAAD++v1c=")</f>
        <v>#VALUE!</v>
      </c>
      <c r="CK104" t="e">
        <f>AND(Bills!#REF!,"AAAAAD++v1g=")</f>
        <v>#REF!</v>
      </c>
      <c r="CL104">
        <f>IF(Bills!362:362,"AAAAAD++v1k=",0)</f>
        <v>0</v>
      </c>
      <c r="CM104" t="e">
        <f>AND(Bills!B362,"AAAAAD++v1o=")</f>
        <v>#VALUE!</v>
      </c>
      <c r="CN104" t="e">
        <f>AND(Bills!#REF!,"AAAAAD++v1s=")</f>
        <v>#REF!</v>
      </c>
      <c r="CO104" t="e">
        <f>AND(Bills!C362,"AAAAAD++v1w=")</f>
        <v>#VALUE!</v>
      </c>
      <c r="CP104" t="e">
        <f>AND(Bills!D362,"AAAAAD++v10=")</f>
        <v>#VALUE!</v>
      </c>
      <c r="CQ104" t="e">
        <f>AND(Bills!E362,"AAAAAD++v14=")</f>
        <v>#VALUE!</v>
      </c>
      <c r="CR104" t="e">
        <f>AND(Bills!#REF!,"AAAAAD++v18=")</f>
        <v>#REF!</v>
      </c>
      <c r="CS104" t="e">
        <f>AND(Bills!#REF!,"AAAAAD++v2A=")</f>
        <v>#REF!</v>
      </c>
      <c r="CT104" t="e">
        <f>AND(Bills!#REF!,"AAAAAD++v2E=")</f>
        <v>#REF!</v>
      </c>
      <c r="CU104" t="e">
        <f>AND(Bills!F362,"AAAAAD++v2I=")</f>
        <v>#VALUE!</v>
      </c>
      <c r="CV104" t="e">
        <f>AND(Bills!#REF!,"AAAAAD++v2M=")</f>
        <v>#REF!</v>
      </c>
      <c r="CW104" t="e">
        <f>AND(Bills!G362,"AAAAAD++v2Q=")</f>
        <v>#VALUE!</v>
      </c>
      <c r="CX104" t="e">
        <f>AND(Bills!H362,"AAAAAD++v2U=")</f>
        <v>#VALUE!</v>
      </c>
      <c r="CY104" t="e">
        <f>AND(Bills!I362,"AAAAAD++v2Y=")</f>
        <v>#VALUE!</v>
      </c>
      <c r="CZ104" t="e">
        <f>AND(Bills!J362,"AAAAAD++v2c=")</f>
        <v>#VALUE!</v>
      </c>
      <c r="DA104" t="e">
        <f>AND(Bills!K362,"AAAAAD++v2g=")</f>
        <v>#VALUE!</v>
      </c>
      <c r="DB104" t="e">
        <f>AND(Bills!L362,"AAAAAD++v2k=")</f>
        <v>#VALUE!</v>
      </c>
      <c r="DC104" t="e">
        <f>AND(Bills!#REF!,"AAAAAD++v2o=")</f>
        <v>#REF!</v>
      </c>
      <c r="DD104" t="e">
        <f>AND(Bills!M362,"AAAAAD++v2s=")</f>
        <v>#VALUE!</v>
      </c>
      <c r="DE104" t="e">
        <f>AND(Bills!N362,"AAAAAD++v2w=")</f>
        <v>#VALUE!</v>
      </c>
      <c r="DF104" t="e">
        <f>AND(Bills!O362,"AAAAAD++v20=")</f>
        <v>#VALUE!</v>
      </c>
      <c r="DG104" t="e">
        <f>AND(Bills!P362,"AAAAAD++v24=")</f>
        <v>#VALUE!</v>
      </c>
      <c r="DH104" t="e">
        <f>AND(Bills!Q362,"AAAAAD++v28=")</f>
        <v>#VALUE!</v>
      </c>
      <c r="DI104" t="e">
        <f>AND(Bills!R362,"AAAAAD++v3A=")</f>
        <v>#VALUE!</v>
      </c>
      <c r="DJ104" t="e">
        <f>AND(Bills!S362,"AAAAAD++v3E=")</f>
        <v>#VALUE!</v>
      </c>
      <c r="DK104" t="e">
        <f>AND(Bills!T362,"AAAAAD++v3I=")</f>
        <v>#VALUE!</v>
      </c>
      <c r="DL104" t="e">
        <f>AND(Bills!#REF!,"AAAAAD++v3M=")</f>
        <v>#REF!</v>
      </c>
      <c r="DM104" t="e">
        <f>AND(Bills!U362,"AAAAAD++v3Q=")</f>
        <v>#VALUE!</v>
      </c>
      <c r="DN104" t="e">
        <f>AND(Bills!V362,"AAAAAD++v3U=")</f>
        <v>#VALUE!</v>
      </c>
      <c r="DO104" t="e">
        <f>AND(Bills!W362,"AAAAAD++v3Y=")</f>
        <v>#VALUE!</v>
      </c>
      <c r="DP104" t="e">
        <f>AND(Bills!#REF!,"AAAAAD++v3c=")</f>
        <v>#REF!</v>
      </c>
      <c r="DQ104" t="e">
        <f>AND(Bills!#REF!,"AAAAAD++v3g=")</f>
        <v>#REF!</v>
      </c>
      <c r="DR104" t="e">
        <f>AND(Bills!Y362,"AAAAAD++v3k=")</f>
        <v>#VALUE!</v>
      </c>
      <c r="DS104" t="e">
        <f>AND(Bills!Z362,"AAAAAD++v3o=")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AND(Bills!AA362,"AAAAAD++v4Q=")</f>
        <v>#VALUE!</v>
      </c>
      <c r="ED104" t="e">
        <f>AND(Bills!AB362,"AAAAAD++v4U=")</f>
        <v>#VALUE!</v>
      </c>
      <c r="EE104" t="e">
        <f>AND(Bills!#REF!,"AAAAAD++v4Y=")</f>
        <v>#REF!</v>
      </c>
      <c r="EF104" t="e">
        <f>AND(Bills!#REF!,"AAAAAD++v4c=")</f>
        <v>#REF!</v>
      </c>
      <c r="EG104" t="e">
        <f>AND(Bills!#REF!,"AAAAAD++v4g=")</f>
        <v>#REF!</v>
      </c>
      <c r="EH104" t="e">
        <f>AND(Bills!AC362,"AAAAAD++v4k=")</f>
        <v>#VALUE!</v>
      </c>
      <c r="EI104" t="e">
        <f>AND(Bills!AD362,"AAAAAD++v4o=")</f>
        <v>#VALUE!</v>
      </c>
      <c r="EJ104" t="e">
        <f>AND(Bills!#REF!,"AAAAAD++v4s=")</f>
        <v>#REF!</v>
      </c>
      <c r="EK104">
        <f>IF(Bills!363:363,"AAAAAD++v4w=",0)</f>
        <v>0</v>
      </c>
      <c r="EL104" t="e">
        <f>AND(Bills!B363,"AAAAAD++v40=")</f>
        <v>#VALUE!</v>
      </c>
      <c r="EM104" t="e">
        <f>AND(Bills!#REF!,"AAAAAD++v44=")</f>
        <v>#REF!</v>
      </c>
      <c r="EN104" t="e">
        <f>AND(Bills!C363,"AAAAAD++v48=")</f>
        <v>#VALUE!</v>
      </c>
      <c r="EO104" t="e">
        <f>AND(Bills!D363,"AAAAAD++v5A=")</f>
        <v>#VALUE!</v>
      </c>
      <c r="EP104" t="e">
        <f>AND(Bills!E363,"AAAAAD++v5E=")</f>
        <v>#VALUE!</v>
      </c>
      <c r="EQ104" t="e">
        <f>AND(Bills!#REF!,"AAAAAD++v5I=")</f>
        <v>#REF!</v>
      </c>
      <c r="ER104" t="e">
        <f>AND(Bills!#REF!,"AAAAAD++v5M=")</f>
        <v>#REF!</v>
      </c>
      <c r="ES104" t="e">
        <f>AND(Bills!#REF!,"AAAAAD++v5Q=")</f>
        <v>#REF!</v>
      </c>
      <c r="ET104" t="e">
        <f>AND(Bills!F363,"AAAAAD++v5U=")</f>
        <v>#VALUE!</v>
      </c>
      <c r="EU104" t="e">
        <f>AND(Bills!#REF!,"AAAAAD++v5Y=")</f>
        <v>#REF!</v>
      </c>
      <c r="EV104" t="e">
        <f>AND(Bills!G363,"AAAAAD++v5c=")</f>
        <v>#VALUE!</v>
      </c>
      <c r="EW104" t="e">
        <f>AND(Bills!H363,"AAAAAD++v5g=")</f>
        <v>#VALUE!</v>
      </c>
      <c r="EX104" t="e">
        <f>AND(Bills!I363,"AAAAAD++v5k=")</f>
        <v>#VALUE!</v>
      </c>
      <c r="EY104" t="e">
        <f>AND(Bills!J363,"AAAAAD++v5o=")</f>
        <v>#VALUE!</v>
      </c>
      <c r="EZ104" t="e">
        <f>AND(Bills!K363,"AAAAAD++v5s=")</f>
        <v>#VALUE!</v>
      </c>
      <c r="FA104" t="e">
        <f>AND(Bills!L363,"AAAAAD++v5w=")</f>
        <v>#VALUE!</v>
      </c>
      <c r="FB104" t="e">
        <f>AND(Bills!#REF!,"AAAAAD++v50=")</f>
        <v>#REF!</v>
      </c>
      <c r="FC104" t="e">
        <f>AND(Bills!M363,"AAAAAD++v54=")</f>
        <v>#VALUE!</v>
      </c>
      <c r="FD104" t="e">
        <f>AND(Bills!N363,"AAAAAD++v58=")</f>
        <v>#VALUE!</v>
      </c>
      <c r="FE104" t="e">
        <f>AND(Bills!O363,"AAAAAD++v6A=")</f>
        <v>#VALUE!</v>
      </c>
      <c r="FF104" t="e">
        <f>AND(Bills!P363,"AAAAAD++v6E=")</f>
        <v>#VALUE!</v>
      </c>
      <c r="FG104" t="e">
        <f>AND(Bills!Q363,"AAAAAD++v6I=")</f>
        <v>#VALUE!</v>
      </c>
      <c r="FH104" t="e">
        <f>AND(Bills!R363,"AAAAAD++v6M=")</f>
        <v>#VALUE!</v>
      </c>
      <c r="FI104" t="e">
        <f>AND(Bills!S363,"AAAAAD++v6Q=")</f>
        <v>#VALUE!</v>
      </c>
      <c r="FJ104" t="e">
        <f>AND(Bills!T363,"AAAAAD++v6U=")</f>
        <v>#VALUE!</v>
      </c>
      <c r="FK104" t="e">
        <f>AND(Bills!#REF!,"AAAAAD++v6Y=")</f>
        <v>#REF!</v>
      </c>
      <c r="FL104" t="e">
        <f>AND(Bills!U363,"AAAAAD++v6c=")</f>
        <v>#VALUE!</v>
      </c>
      <c r="FM104" t="e">
        <f>AND(Bills!V363,"AAAAAD++v6g=")</f>
        <v>#VALUE!</v>
      </c>
      <c r="FN104" t="e">
        <f>AND(Bills!W363,"AAAAAD++v6k=")</f>
        <v>#VALUE!</v>
      </c>
      <c r="FO104" t="e">
        <f>AND(Bills!#REF!,"AAAAAD++v6o=")</f>
        <v>#REF!</v>
      </c>
      <c r="FP104" t="e">
        <f>AND(Bills!#REF!,"AAAAAD++v6s=")</f>
        <v>#REF!</v>
      </c>
      <c r="FQ104" t="e">
        <f>AND(Bills!Y363,"AAAAAD++v6w=")</f>
        <v>#VALUE!</v>
      </c>
      <c r="FR104" t="e">
        <f>AND(Bills!Z363,"AAAAAD++v60=")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AND(Bills!AA363,"AAAAAD++v7c=")</f>
        <v>#VALUE!</v>
      </c>
      <c r="GC104" t="e">
        <f>AND(Bills!AB363,"AAAAAD++v7g=")</f>
        <v>#VALUE!</v>
      </c>
      <c r="GD104" t="e">
        <f>AND(Bills!#REF!,"AAAAAD++v7k=")</f>
        <v>#REF!</v>
      </c>
      <c r="GE104" t="e">
        <f>AND(Bills!#REF!,"AAAAAD++v7o=")</f>
        <v>#REF!</v>
      </c>
      <c r="GF104" t="e">
        <f>AND(Bills!#REF!,"AAAAAD++v7s=")</f>
        <v>#REF!</v>
      </c>
      <c r="GG104" t="e">
        <f>AND(Bills!AC363,"AAAAAD++v7w=")</f>
        <v>#VALUE!</v>
      </c>
      <c r="GH104" t="e">
        <f>AND(Bills!AD363,"AAAAAD++v70=")</f>
        <v>#VALUE!</v>
      </c>
      <c r="GI104" t="e">
        <f>AND(Bills!#REF!,"AAAAAD++v74=")</f>
        <v>#REF!</v>
      </c>
      <c r="GJ104">
        <f>IF(Bills!364:364,"AAAAAD++v78=",0)</f>
        <v>0</v>
      </c>
      <c r="GK104" t="e">
        <f>AND(Bills!B364,"AAAAAD++v8A=")</f>
        <v>#VALUE!</v>
      </c>
      <c r="GL104" t="e">
        <f>AND(Bills!#REF!,"AAAAAD++v8E=")</f>
        <v>#REF!</v>
      </c>
      <c r="GM104" t="e">
        <f>AND(Bills!C364,"AAAAAD++v8I=")</f>
        <v>#VALUE!</v>
      </c>
      <c r="GN104" t="e">
        <f>AND(Bills!D364,"AAAAAD++v8M=")</f>
        <v>#VALUE!</v>
      </c>
      <c r="GO104" t="e">
        <f>AND(Bills!E364,"AAAAAD++v8Q=")</f>
        <v>#VALUE!</v>
      </c>
      <c r="GP104" t="e">
        <f>AND(Bills!#REF!,"AAAAAD++v8U=")</f>
        <v>#REF!</v>
      </c>
      <c r="GQ104" t="e">
        <f>AND(Bills!#REF!,"AAAAAD++v8Y=")</f>
        <v>#REF!</v>
      </c>
      <c r="GR104" t="e">
        <f>AND(Bills!#REF!,"AAAAAD++v8c=")</f>
        <v>#REF!</v>
      </c>
      <c r="GS104" t="e">
        <f>AND(Bills!F364,"AAAAAD++v8g=")</f>
        <v>#VALUE!</v>
      </c>
      <c r="GT104" t="e">
        <f>AND(Bills!#REF!,"AAAAAD++v8k=")</f>
        <v>#REF!</v>
      </c>
      <c r="GU104" t="e">
        <f>AND(Bills!G364,"AAAAAD++v8o=")</f>
        <v>#VALUE!</v>
      </c>
      <c r="GV104" t="e">
        <f>AND(Bills!H364,"AAAAAD++v8s=")</f>
        <v>#VALUE!</v>
      </c>
      <c r="GW104" t="e">
        <f>AND(Bills!I364,"AAAAAD++v8w=")</f>
        <v>#VALUE!</v>
      </c>
      <c r="GX104" t="e">
        <f>AND(Bills!J364,"AAAAAD++v80=")</f>
        <v>#VALUE!</v>
      </c>
      <c r="GY104" t="e">
        <f>AND(Bills!K364,"AAAAAD++v84=")</f>
        <v>#VALUE!</v>
      </c>
      <c r="GZ104" t="e">
        <f>AND(Bills!L364,"AAAAAD++v88=")</f>
        <v>#VALUE!</v>
      </c>
      <c r="HA104" t="e">
        <f>AND(Bills!#REF!,"AAAAAD++v9A=")</f>
        <v>#REF!</v>
      </c>
      <c r="HB104" t="e">
        <f>AND(Bills!M364,"AAAAAD++v9E=")</f>
        <v>#VALUE!</v>
      </c>
      <c r="HC104" t="e">
        <f>AND(Bills!N364,"AAAAAD++v9I=")</f>
        <v>#VALUE!</v>
      </c>
      <c r="HD104" t="e">
        <f>AND(Bills!O364,"AAAAAD++v9M=")</f>
        <v>#VALUE!</v>
      </c>
      <c r="HE104" t="e">
        <f>AND(Bills!P364,"AAAAAD++v9Q=")</f>
        <v>#VALUE!</v>
      </c>
      <c r="HF104" t="e">
        <f>AND(Bills!Q364,"AAAAAD++v9U=")</f>
        <v>#VALUE!</v>
      </c>
      <c r="HG104" t="e">
        <f>AND(Bills!R364,"AAAAAD++v9Y=")</f>
        <v>#VALUE!</v>
      </c>
      <c r="HH104" t="e">
        <f>AND(Bills!S364,"AAAAAD++v9c=")</f>
        <v>#VALUE!</v>
      </c>
      <c r="HI104" t="e">
        <f>AND(Bills!T364,"AAAAAD++v9g=")</f>
        <v>#VALUE!</v>
      </c>
      <c r="HJ104" t="e">
        <f>AND(Bills!#REF!,"AAAAAD++v9k=")</f>
        <v>#REF!</v>
      </c>
      <c r="HK104" t="e">
        <f>AND(Bills!U364,"AAAAAD++v9o=")</f>
        <v>#VALUE!</v>
      </c>
      <c r="HL104" t="e">
        <f>AND(Bills!V364,"AAAAAD++v9s=")</f>
        <v>#VALUE!</v>
      </c>
      <c r="HM104" t="e">
        <f>AND(Bills!W364,"AAAAAD++v9w=")</f>
        <v>#VALUE!</v>
      </c>
      <c r="HN104" t="e">
        <f>AND(Bills!#REF!,"AAAAAD++v90=")</f>
        <v>#REF!</v>
      </c>
      <c r="HO104" t="e">
        <f>AND(Bills!#REF!,"AAAAAD++v94=")</f>
        <v>#REF!</v>
      </c>
      <c r="HP104" t="e">
        <f>AND(Bills!Y364,"AAAAAD++v98=")</f>
        <v>#VALUE!</v>
      </c>
      <c r="HQ104" t="e">
        <f>AND(Bills!Z364,"AAAAAD++v+A=")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AND(Bills!AA364,"AAAAAD++v+o=")</f>
        <v>#VALUE!</v>
      </c>
      <c r="IB104" t="e">
        <f>AND(Bills!AB364,"AAAAAD++v+s=")</f>
        <v>#VALUE!</v>
      </c>
      <c r="IC104" t="e">
        <f>AND(Bills!#REF!,"AAAAAD++v+w=")</f>
        <v>#REF!</v>
      </c>
      <c r="ID104" t="e">
        <f>AND(Bills!#REF!,"AAAAAD++v+0=")</f>
        <v>#REF!</v>
      </c>
      <c r="IE104" t="e">
        <f>AND(Bills!#REF!,"AAAAAD++v+4=")</f>
        <v>#REF!</v>
      </c>
      <c r="IF104" t="e">
        <f>AND(Bills!AC364,"AAAAAD++v+8=")</f>
        <v>#VALUE!</v>
      </c>
      <c r="IG104" t="e">
        <f>AND(Bills!AD364,"AAAAAD++v/A=")</f>
        <v>#VALUE!</v>
      </c>
      <c r="IH104" t="e">
        <f>AND(Bills!#REF!,"AAAAAD++v/E=")</f>
        <v>#REF!</v>
      </c>
      <c r="II104">
        <f>IF(Bills!365:365,"AAAAAD++v/I=",0)</f>
        <v>0</v>
      </c>
      <c r="IJ104" t="e">
        <f>AND(Bills!B365,"AAAAAD++v/M=")</f>
        <v>#VALUE!</v>
      </c>
      <c r="IK104" t="e">
        <f>AND(Bills!#REF!,"AAAAAD++v/Q=")</f>
        <v>#REF!</v>
      </c>
      <c r="IL104" t="e">
        <f>AND(Bills!C365,"AAAAAD++v/U=")</f>
        <v>#VALUE!</v>
      </c>
      <c r="IM104" t="e">
        <f>AND(Bills!D365,"AAAAAD++v/Y=")</f>
        <v>#VALUE!</v>
      </c>
      <c r="IN104" t="e">
        <f>AND(Bills!E365,"AAAAAD++v/c=")</f>
        <v>#VALUE!</v>
      </c>
      <c r="IO104" t="e">
        <f>AND(Bills!#REF!,"AAAAAD++v/g=")</f>
        <v>#REF!</v>
      </c>
      <c r="IP104" t="e">
        <f>AND(Bills!#REF!,"AAAAAD++v/k=")</f>
        <v>#REF!</v>
      </c>
      <c r="IQ104" t="e">
        <f>AND(Bills!#REF!,"AAAAAD++v/o=")</f>
        <v>#REF!</v>
      </c>
      <c r="IR104" t="e">
        <f>AND(Bills!F365,"AAAAAD++v/s=")</f>
        <v>#VALUE!</v>
      </c>
      <c r="IS104" t="e">
        <f>AND(Bills!#REF!,"AAAAAD++v/w=")</f>
        <v>#REF!</v>
      </c>
      <c r="IT104" t="e">
        <f>AND(Bills!G365,"AAAAAD++v/0=")</f>
        <v>#VALUE!</v>
      </c>
      <c r="IU104" t="e">
        <f>AND(Bills!H365,"AAAAAD++v/4=")</f>
        <v>#VALUE!</v>
      </c>
      <c r="IV104" t="e">
        <f>AND(Bills!I365,"AAAAAD++v/8=")</f>
        <v>#VALUE!</v>
      </c>
    </row>
    <row r="105" spans="1:256">
      <c r="A105" t="e">
        <f>AND(Bills!J365,"AAAAAHv/+QA=")</f>
        <v>#VALUE!</v>
      </c>
      <c r="B105" t="e">
        <f>AND(Bills!K365,"AAAAAHv/+QE=")</f>
        <v>#VALUE!</v>
      </c>
      <c r="C105" t="e">
        <f>AND(Bills!L365,"AAAAAHv/+QI=")</f>
        <v>#VALUE!</v>
      </c>
      <c r="D105" t="e">
        <f>AND(Bills!#REF!,"AAAAAHv/+QM=")</f>
        <v>#REF!</v>
      </c>
      <c r="E105" t="e">
        <f>AND(Bills!M365,"AAAAAHv/+QQ=")</f>
        <v>#VALUE!</v>
      </c>
      <c r="F105" t="e">
        <f>AND(Bills!N365,"AAAAAHv/+QU=")</f>
        <v>#VALUE!</v>
      </c>
      <c r="G105" t="e">
        <f>AND(Bills!O365,"AAAAAHv/+QY=")</f>
        <v>#VALUE!</v>
      </c>
      <c r="H105" t="e">
        <f>AND(Bills!P365,"AAAAAHv/+Qc=")</f>
        <v>#VALUE!</v>
      </c>
      <c r="I105" t="e">
        <f>AND(Bills!Q365,"AAAAAHv/+Qg=")</f>
        <v>#VALUE!</v>
      </c>
      <c r="J105" t="e">
        <f>AND(Bills!R365,"AAAAAHv/+Qk=")</f>
        <v>#VALUE!</v>
      </c>
      <c r="K105" t="e">
        <f>AND(Bills!S365,"AAAAAHv/+Qo=")</f>
        <v>#VALUE!</v>
      </c>
      <c r="L105" t="e">
        <f>AND(Bills!T365,"AAAAAHv/+Qs=")</f>
        <v>#VALUE!</v>
      </c>
      <c r="M105" t="e">
        <f>AND(Bills!#REF!,"AAAAAHv/+Qw=")</f>
        <v>#REF!</v>
      </c>
      <c r="N105" t="e">
        <f>AND(Bills!U365,"AAAAAHv/+Q0=")</f>
        <v>#VALUE!</v>
      </c>
      <c r="O105" t="e">
        <f>AND(Bills!V365,"AAAAAHv/+Q4=")</f>
        <v>#VALUE!</v>
      </c>
      <c r="P105" t="e">
        <f>AND(Bills!W365,"AAAAAHv/+Q8=")</f>
        <v>#VALUE!</v>
      </c>
      <c r="Q105" t="e">
        <f>AND(Bills!#REF!,"AAAAAHv/+RA=")</f>
        <v>#REF!</v>
      </c>
      <c r="R105" t="e">
        <f>AND(Bills!#REF!,"AAAAAHv/+RE=")</f>
        <v>#REF!</v>
      </c>
      <c r="S105" t="e">
        <f>AND(Bills!Y365,"AAAAAHv/+RI=")</f>
        <v>#VALUE!</v>
      </c>
      <c r="T105" t="e">
        <f>AND(Bills!Z365,"AAAAAHv/+RM=")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AND(Bills!AA365,"AAAAAHv/+R0=")</f>
        <v>#VALUE!</v>
      </c>
      <c r="AE105" t="e">
        <f>AND(Bills!AB365,"AAAAAHv/+R4=")</f>
        <v>#VALUE!</v>
      </c>
      <c r="AF105" t="e">
        <f>AND(Bills!#REF!,"AAAAAHv/+R8=")</f>
        <v>#REF!</v>
      </c>
      <c r="AG105" t="e">
        <f>AND(Bills!#REF!,"AAAAAHv/+SA=")</f>
        <v>#REF!</v>
      </c>
      <c r="AH105" t="e">
        <f>AND(Bills!#REF!,"AAAAAHv/+SE=")</f>
        <v>#REF!</v>
      </c>
      <c r="AI105" t="e">
        <f>AND(Bills!AC365,"AAAAAHv/+SI=")</f>
        <v>#VALUE!</v>
      </c>
      <c r="AJ105" t="e">
        <f>AND(Bills!AD365,"AAAAAHv/+SM=")</f>
        <v>#VALUE!</v>
      </c>
      <c r="AK105" t="e">
        <f>AND(Bills!#REF!,"AAAAAHv/+SQ=")</f>
        <v>#REF!</v>
      </c>
      <c r="AL105">
        <f>IF(Bills!366:366,"AAAAAHv/+SU=",0)</f>
        <v>0</v>
      </c>
      <c r="AM105" t="e">
        <f>AND(Bills!B366,"AAAAAHv/+SY=")</f>
        <v>#VALUE!</v>
      </c>
      <c r="AN105" t="e">
        <f>AND(Bills!#REF!,"AAAAAHv/+Sc=")</f>
        <v>#REF!</v>
      </c>
      <c r="AO105" t="e">
        <f>AND(Bills!C366,"AAAAAHv/+Sg=")</f>
        <v>#VALUE!</v>
      </c>
      <c r="AP105" t="e">
        <f>AND(Bills!D366,"AAAAAHv/+Sk=")</f>
        <v>#VALUE!</v>
      </c>
      <c r="AQ105" t="e">
        <f>AND(Bills!E366,"AAAAAHv/+So=")</f>
        <v>#VALUE!</v>
      </c>
      <c r="AR105" t="e">
        <f>AND(Bills!#REF!,"AAAAAHv/+Ss=")</f>
        <v>#REF!</v>
      </c>
      <c r="AS105" t="e">
        <f>AND(Bills!#REF!,"AAAAAHv/+Sw=")</f>
        <v>#REF!</v>
      </c>
      <c r="AT105" t="e">
        <f>AND(Bills!#REF!,"AAAAAHv/+S0=")</f>
        <v>#REF!</v>
      </c>
      <c r="AU105" t="e">
        <f>AND(Bills!F366,"AAAAAHv/+S4=")</f>
        <v>#VALUE!</v>
      </c>
      <c r="AV105" t="e">
        <f>AND(Bills!#REF!,"AAAAAHv/+S8=")</f>
        <v>#REF!</v>
      </c>
      <c r="AW105" t="e">
        <f>AND(Bills!G366,"AAAAAHv/+TA=")</f>
        <v>#VALUE!</v>
      </c>
      <c r="AX105" t="e">
        <f>AND(Bills!H366,"AAAAAHv/+TE=")</f>
        <v>#VALUE!</v>
      </c>
      <c r="AY105" t="e">
        <f>AND(Bills!I366,"AAAAAHv/+TI=")</f>
        <v>#VALUE!</v>
      </c>
      <c r="AZ105" t="e">
        <f>AND(Bills!J366,"AAAAAHv/+TM=")</f>
        <v>#VALUE!</v>
      </c>
      <c r="BA105" t="e">
        <f>AND(Bills!K366,"AAAAAHv/+TQ=")</f>
        <v>#VALUE!</v>
      </c>
      <c r="BB105" t="e">
        <f>AND(Bills!L366,"AAAAAHv/+TU=")</f>
        <v>#VALUE!</v>
      </c>
      <c r="BC105" t="e">
        <f>AND(Bills!#REF!,"AAAAAHv/+TY=")</f>
        <v>#REF!</v>
      </c>
      <c r="BD105" t="e">
        <f>AND(Bills!M366,"AAAAAHv/+Tc=")</f>
        <v>#VALUE!</v>
      </c>
      <c r="BE105" t="e">
        <f>AND(Bills!N366,"AAAAAHv/+Tg=")</f>
        <v>#VALUE!</v>
      </c>
      <c r="BF105" t="e">
        <f>AND(Bills!O366,"AAAAAHv/+Tk=")</f>
        <v>#VALUE!</v>
      </c>
      <c r="BG105" t="e">
        <f>AND(Bills!P366,"AAAAAHv/+To=")</f>
        <v>#VALUE!</v>
      </c>
      <c r="BH105" t="e">
        <f>AND(Bills!Q366,"AAAAAHv/+Ts=")</f>
        <v>#VALUE!</v>
      </c>
      <c r="BI105" t="e">
        <f>AND(Bills!R366,"AAAAAHv/+Tw=")</f>
        <v>#VALUE!</v>
      </c>
      <c r="BJ105" t="e">
        <f>AND(Bills!S366,"AAAAAHv/+T0=")</f>
        <v>#VALUE!</v>
      </c>
      <c r="BK105" t="e">
        <f>AND(Bills!T366,"AAAAAHv/+T4=")</f>
        <v>#VALUE!</v>
      </c>
      <c r="BL105" t="e">
        <f>AND(Bills!#REF!,"AAAAAHv/+T8=")</f>
        <v>#REF!</v>
      </c>
      <c r="BM105" t="e">
        <f>AND(Bills!U366,"AAAAAHv/+UA=")</f>
        <v>#VALUE!</v>
      </c>
      <c r="BN105" t="e">
        <f>AND(Bills!V366,"AAAAAHv/+UE=")</f>
        <v>#VALUE!</v>
      </c>
      <c r="BO105" t="e">
        <f>AND(Bills!W366,"AAAAAHv/+UI=")</f>
        <v>#VALUE!</v>
      </c>
      <c r="BP105" t="e">
        <f>AND(Bills!#REF!,"AAAAAHv/+UM=")</f>
        <v>#REF!</v>
      </c>
      <c r="BQ105" t="e">
        <f>AND(Bills!#REF!,"AAAAAHv/+UQ=")</f>
        <v>#REF!</v>
      </c>
      <c r="BR105" t="e">
        <f>AND(Bills!Y366,"AAAAAHv/+UU=")</f>
        <v>#VALUE!</v>
      </c>
      <c r="BS105" t="e">
        <f>AND(Bills!Z366,"AAAAAHv/+UY=")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AND(Bills!AA366,"AAAAAHv/+VA=")</f>
        <v>#VALUE!</v>
      </c>
      <c r="CD105" t="e">
        <f>AND(Bills!AB366,"AAAAAHv/+VE=")</f>
        <v>#VALUE!</v>
      </c>
      <c r="CE105" t="e">
        <f>AND(Bills!#REF!,"AAAAAHv/+VI=")</f>
        <v>#REF!</v>
      </c>
      <c r="CF105" t="e">
        <f>AND(Bills!#REF!,"AAAAAHv/+VM=")</f>
        <v>#REF!</v>
      </c>
      <c r="CG105" t="e">
        <f>AND(Bills!#REF!,"AAAAAHv/+VQ=")</f>
        <v>#REF!</v>
      </c>
      <c r="CH105" t="e">
        <f>AND(Bills!AC366,"AAAAAHv/+VU=")</f>
        <v>#VALUE!</v>
      </c>
      <c r="CI105" t="e">
        <f>AND(Bills!AD366,"AAAAAHv/+VY=")</f>
        <v>#VALUE!</v>
      </c>
      <c r="CJ105" t="e">
        <f>AND(Bills!#REF!,"AAAAAHv/+Vc=")</f>
        <v>#REF!</v>
      </c>
      <c r="CK105">
        <f>IF(Bills!367:367,"AAAAAHv/+Vg=",0)</f>
        <v>0</v>
      </c>
      <c r="CL105" t="e">
        <f>AND(Bills!B367,"AAAAAHv/+Vk=")</f>
        <v>#VALUE!</v>
      </c>
      <c r="CM105" t="e">
        <f>AND(Bills!#REF!,"AAAAAHv/+Vo=")</f>
        <v>#REF!</v>
      </c>
      <c r="CN105" t="e">
        <f>AND(Bills!C367,"AAAAAHv/+Vs=")</f>
        <v>#VALUE!</v>
      </c>
      <c r="CO105" t="e">
        <f>AND(Bills!D367,"AAAAAHv/+Vw=")</f>
        <v>#VALUE!</v>
      </c>
      <c r="CP105" t="e">
        <f>AND(Bills!E367,"AAAAAHv/+V0=")</f>
        <v>#VALUE!</v>
      </c>
      <c r="CQ105" t="e">
        <f>AND(Bills!#REF!,"AAAAAHv/+V4=")</f>
        <v>#REF!</v>
      </c>
      <c r="CR105" t="e">
        <f>AND(Bills!#REF!,"AAAAAHv/+V8=")</f>
        <v>#REF!</v>
      </c>
      <c r="CS105" t="e">
        <f>AND(Bills!#REF!,"AAAAAHv/+WA=")</f>
        <v>#REF!</v>
      </c>
      <c r="CT105" t="e">
        <f>AND(Bills!F367,"AAAAAHv/+WE=")</f>
        <v>#VALUE!</v>
      </c>
      <c r="CU105" t="e">
        <f>AND(Bills!#REF!,"AAAAAHv/+WI=")</f>
        <v>#REF!</v>
      </c>
      <c r="CV105" t="e">
        <f>AND(Bills!G367,"AAAAAHv/+WM=")</f>
        <v>#VALUE!</v>
      </c>
      <c r="CW105" t="e">
        <f>AND(Bills!H367,"AAAAAHv/+WQ=")</f>
        <v>#VALUE!</v>
      </c>
      <c r="CX105" t="e">
        <f>AND(Bills!I367,"AAAAAHv/+WU=")</f>
        <v>#VALUE!</v>
      </c>
      <c r="CY105" t="e">
        <f>AND(Bills!J367,"AAAAAHv/+WY=")</f>
        <v>#VALUE!</v>
      </c>
      <c r="CZ105" t="e">
        <f>AND(Bills!K367,"AAAAAHv/+Wc=")</f>
        <v>#VALUE!</v>
      </c>
      <c r="DA105" t="e">
        <f>AND(Bills!L367,"AAAAAHv/+Wg=")</f>
        <v>#VALUE!</v>
      </c>
      <c r="DB105" t="e">
        <f>AND(Bills!#REF!,"AAAAAHv/+Wk=")</f>
        <v>#REF!</v>
      </c>
      <c r="DC105" t="e">
        <f>AND(Bills!M367,"AAAAAHv/+Wo=")</f>
        <v>#VALUE!</v>
      </c>
      <c r="DD105" t="e">
        <f>AND(Bills!N367,"AAAAAHv/+Ws=")</f>
        <v>#VALUE!</v>
      </c>
      <c r="DE105" t="e">
        <f>AND(Bills!O367,"AAAAAHv/+Ww=")</f>
        <v>#VALUE!</v>
      </c>
      <c r="DF105" t="e">
        <f>AND(Bills!P367,"AAAAAHv/+W0=")</f>
        <v>#VALUE!</v>
      </c>
      <c r="DG105" t="e">
        <f>AND(Bills!Q367,"AAAAAHv/+W4=")</f>
        <v>#VALUE!</v>
      </c>
      <c r="DH105" t="e">
        <f>AND(Bills!R367,"AAAAAHv/+W8=")</f>
        <v>#VALUE!</v>
      </c>
      <c r="DI105" t="e">
        <f>AND(Bills!S367,"AAAAAHv/+XA=")</f>
        <v>#VALUE!</v>
      </c>
      <c r="DJ105" t="e">
        <f>AND(Bills!T367,"AAAAAHv/+XE=")</f>
        <v>#VALUE!</v>
      </c>
      <c r="DK105" t="e">
        <f>AND(Bills!#REF!,"AAAAAHv/+XI=")</f>
        <v>#REF!</v>
      </c>
      <c r="DL105" t="e">
        <f>AND(Bills!U367,"AAAAAHv/+XM=")</f>
        <v>#VALUE!</v>
      </c>
      <c r="DM105" t="e">
        <f>AND(Bills!V367,"AAAAAHv/+XQ=")</f>
        <v>#VALUE!</v>
      </c>
      <c r="DN105" t="e">
        <f>AND(Bills!W367,"AAAAAHv/+XU=")</f>
        <v>#VALUE!</v>
      </c>
      <c r="DO105" t="e">
        <f>AND(Bills!#REF!,"AAAAAHv/+XY=")</f>
        <v>#REF!</v>
      </c>
      <c r="DP105" t="e">
        <f>AND(Bills!#REF!,"AAAAAHv/+Xc=")</f>
        <v>#REF!</v>
      </c>
      <c r="DQ105" t="e">
        <f>AND(Bills!Y367,"AAAAAHv/+Xg=")</f>
        <v>#VALUE!</v>
      </c>
      <c r="DR105" t="e">
        <f>AND(Bills!Z367,"AAAAAHv/+Xk=")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AND(Bills!AA367,"AAAAAHv/+YM=")</f>
        <v>#VALUE!</v>
      </c>
      <c r="EC105" t="e">
        <f>AND(Bills!AB367,"AAAAAHv/+YQ=")</f>
        <v>#VALUE!</v>
      </c>
      <c r="ED105" t="e">
        <f>AND(Bills!#REF!,"AAAAAHv/+YU=")</f>
        <v>#REF!</v>
      </c>
      <c r="EE105" t="e">
        <f>AND(Bills!#REF!,"AAAAAHv/+YY=")</f>
        <v>#REF!</v>
      </c>
      <c r="EF105" t="e">
        <f>AND(Bills!#REF!,"AAAAAHv/+Yc=")</f>
        <v>#REF!</v>
      </c>
      <c r="EG105" t="e">
        <f>AND(Bills!AC367,"AAAAAHv/+Yg=")</f>
        <v>#VALUE!</v>
      </c>
      <c r="EH105" t="e">
        <f>AND(Bills!AD367,"AAAAAHv/+Yk=")</f>
        <v>#VALUE!</v>
      </c>
      <c r="EI105" t="e">
        <f>AND(Bills!#REF!,"AAAAAHv/+Yo=")</f>
        <v>#REF!</v>
      </c>
      <c r="EJ105">
        <f>IF(Bills!368:368,"AAAAAHv/+Ys=",0)</f>
        <v>0</v>
      </c>
      <c r="EK105" t="e">
        <f>AND(Bills!B368,"AAAAAHv/+Yw=")</f>
        <v>#VALUE!</v>
      </c>
      <c r="EL105" t="e">
        <f>AND(Bills!#REF!,"AAAAAHv/+Y0=")</f>
        <v>#REF!</v>
      </c>
      <c r="EM105" t="e">
        <f>AND(Bills!C368,"AAAAAHv/+Y4=")</f>
        <v>#VALUE!</v>
      </c>
      <c r="EN105" t="e">
        <f>AND(Bills!D368,"AAAAAHv/+Y8=")</f>
        <v>#VALUE!</v>
      </c>
      <c r="EO105" t="e">
        <f>AND(Bills!E368,"AAAAAHv/+ZA=")</f>
        <v>#VALUE!</v>
      </c>
      <c r="EP105" t="e">
        <f>AND(Bills!#REF!,"AAAAAHv/+ZE=")</f>
        <v>#REF!</v>
      </c>
      <c r="EQ105" t="e">
        <f>AND(Bills!#REF!,"AAAAAHv/+ZI=")</f>
        <v>#REF!</v>
      </c>
      <c r="ER105" t="e">
        <f>AND(Bills!#REF!,"AAAAAHv/+ZM=")</f>
        <v>#REF!</v>
      </c>
      <c r="ES105" t="e">
        <f>AND(Bills!F368,"AAAAAHv/+ZQ=")</f>
        <v>#VALUE!</v>
      </c>
      <c r="ET105" t="e">
        <f>AND(Bills!#REF!,"AAAAAHv/+ZU=")</f>
        <v>#REF!</v>
      </c>
      <c r="EU105" t="e">
        <f>AND(Bills!G368,"AAAAAHv/+ZY=")</f>
        <v>#VALUE!</v>
      </c>
      <c r="EV105" t="e">
        <f>AND(Bills!H368,"AAAAAHv/+Zc=")</f>
        <v>#VALUE!</v>
      </c>
      <c r="EW105" t="e">
        <f>AND(Bills!I368,"AAAAAHv/+Zg=")</f>
        <v>#VALUE!</v>
      </c>
      <c r="EX105" t="e">
        <f>AND(Bills!J368,"AAAAAHv/+Zk=")</f>
        <v>#VALUE!</v>
      </c>
      <c r="EY105" t="e">
        <f>AND(Bills!K368,"AAAAAHv/+Zo=")</f>
        <v>#VALUE!</v>
      </c>
      <c r="EZ105" t="e">
        <f>AND(Bills!L368,"AAAAAHv/+Zs=")</f>
        <v>#VALUE!</v>
      </c>
      <c r="FA105" t="e">
        <f>AND(Bills!#REF!,"AAAAAHv/+Zw=")</f>
        <v>#REF!</v>
      </c>
      <c r="FB105" t="e">
        <f>AND(Bills!M368,"AAAAAHv/+Z0=")</f>
        <v>#VALUE!</v>
      </c>
      <c r="FC105" t="e">
        <f>AND(Bills!N368,"AAAAAHv/+Z4=")</f>
        <v>#VALUE!</v>
      </c>
      <c r="FD105" t="e">
        <f>AND(Bills!O368,"AAAAAHv/+Z8=")</f>
        <v>#VALUE!</v>
      </c>
      <c r="FE105" t="e">
        <f>AND(Bills!P368,"AAAAAHv/+aA=")</f>
        <v>#VALUE!</v>
      </c>
      <c r="FF105" t="e">
        <f>AND(Bills!Q368,"AAAAAHv/+aE=")</f>
        <v>#VALUE!</v>
      </c>
      <c r="FG105" t="e">
        <f>AND(Bills!R368,"AAAAAHv/+aI=")</f>
        <v>#VALUE!</v>
      </c>
      <c r="FH105" t="e">
        <f>AND(Bills!S368,"AAAAAHv/+aM=")</f>
        <v>#VALUE!</v>
      </c>
      <c r="FI105" t="e">
        <f>AND(Bills!T368,"AAAAAHv/+aQ=")</f>
        <v>#VALUE!</v>
      </c>
      <c r="FJ105" t="e">
        <f>AND(Bills!#REF!,"AAAAAHv/+aU=")</f>
        <v>#REF!</v>
      </c>
      <c r="FK105" t="e">
        <f>AND(Bills!U368,"AAAAAHv/+aY=")</f>
        <v>#VALUE!</v>
      </c>
      <c r="FL105" t="e">
        <f>AND(Bills!V368,"AAAAAHv/+ac=")</f>
        <v>#VALUE!</v>
      </c>
      <c r="FM105" t="e">
        <f>AND(Bills!W368,"AAAAAHv/+ag=")</f>
        <v>#VALUE!</v>
      </c>
      <c r="FN105" t="e">
        <f>AND(Bills!#REF!,"AAAAAHv/+ak=")</f>
        <v>#REF!</v>
      </c>
      <c r="FO105" t="e">
        <f>AND(Bills!#REF!,"AAAAAHv/+ao=")</f>
        <v>#REF!</v>
      </c>
      <c r="FP105" t="e">
        <f>AND(Bills!Y368,"AAAAAHv/+as=")</f>
        <v>#VALUE!</v>
      </c>
      <c r="FQ105" t="e">
        <f>AND(Bills!Z368,"AAAAAHv/+aw=")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AND(Bills!AA368,"AAAAAHv/+bY=")</f>
        <v>#VALUE!</v>
      </c>
      <c r="GB105" t="e">
        <f>AND(Bills!AB368,"AAAAAHv/+bc=")</f>
        <v>#VALUE!</v>
      </c>
      <c r="GC105" t="e">
        <f>AND(Bills!#REF!,"AAAAAHv/+bg=")</f>
        <v>#REF!</v>
      </c>
      <c r="GD105" t="e">
        <f>AND(Bills!#REF!,"AAAAAHv/+bk=")</f>
        <v>#REF!</v>
      </c>
      <c r="GE105" t="e">
        <f>AND(Bills!#REF!,"AAAAAHv/+bo=")</f>
        <v>#REF!</v>
      </c>
      <c r="GF105" t="e">
        <f>AND(Bills!AC368,"AAAAAHv/+bs=")</f>
        <v>#VALUE!</v>
      </c>
      <c r="GG105" t="e">
        <f>AND(Bills!AD368,"AAAAAHv/+bw=")</f>
        <v>#VALUE!</v>
      </c>
      <c r="GH105" t="e">
        <f>AND(Bills!#REF!,"AAAAAHv/+b0=")</f>
        <v>#REF!</v>
      </c>
      <c r="GI105">
        <f>IF(Bills!369:369,"AAAAAHv/+b4=",0)</f>
        <v>0</v>
      </c>
      <c r="GJ105" t="e">
        <f>AND(Bills!B369,"AAAAAHv/+b8=")</f>
        <v>#VALUE!</v>
      </c>
      <c r="GK105" t="e">
        <f>AND(Bills!#REF!,"AAAAAHv/+cA=")</f>
        <v>#REF!</v>
      </c>
      <c r="GL105" t="e">
        <f>AND(Bills!C369,"AAAAAHv/+cE=")</f>
        <v>#VALUE!</v>
      </c>
      <c r="GM105" t="e">
        <f>AND(Bills!D369,"AAAAAHv/+cI=")</f>
        <v>#VALUE!</v>
      </c>
      <c r="GN105" t="e">
        <f>AND(Bills!E369,"AAAAAHv/+cM=")</f>
        <v>#VALUE!</v>
      </c>
      <c r="GO105" t="e">
        <f>AND(Bills!#REF!,"AAAAAHv/+cQ=")</f>
        <v>#REF!</v>
      </c>
      <c r="GP105" t="e">
        <f>AND(Bills!#REF!,"AAAAAHv/+cU=")</f>
        <v>#REF!</v>
      </c>
      <c r="GQ105" t="e">
        <f>AND(Bills!#REF!,"AAAAAHv/+cY=")</f>
        <v>#REF!</v>
      </c>
      <c r="GR105" t="e">
        <f>AND(Bills!F369,"AAAAAHv/+cc=")</f>
        <v>#VALUE!</v>
      </c>
      <c r="GS105" t="e">
        <f>AND(Bills!#REF!,"AAAAAHv/+cg=")</f>
        <v>#REF!</v>
      </c>
      <c r="GT105" t="e">
        <f>AND(Bills!G369,"AAAAAHv/+ck=")</f>
        <v>#VALUE!</v>
      </c>
      <c r="GU105" t="e">
        <f>AND(Bills!H369,"AAAAAHv/+co=")</f>
        <v>#VALUE!</v>
      </c>
      <c r="GV105" t="e">
        <f>AND(Bills!I369,"AAAAAHv/+cs=")</f>
        <v>#VALUE!</v>
      </c>
      <c r="GW105" t="e">
        <f>AND(Bills!J369,"AAAAAHv/+cw=")</f>
        <v>#VALUE!</v>
      </c>
      <c r="GX105" t="e">
        <f>AND(Bills!K369,"AAAAAHv/+c0=")</f>
        <v>#VALUE!</v>
      </c>
      <c r="GY105" t="e">
        <f>AND(Bills!L369,"AAAAAHv/+c4=")</f>
        <v>#VALUE!</v>
      </c>
      <c r="GZ105" t="e">
        <f>AND(Bills!#REF!,"AAAAAHv/+c8=")</f>
        <v>#REF!</v>
      </c>
      <c r="HA105" t="e">
        <f>AND(Bills!M369,"AAAAAHv/+dA=")</f>
        <v>#VALUE!</v>
      </c>
      <c r="HB105" t="e">
        <f>AND(Bills!N369,"AAAAAHv/+dE=")</f>
        <v>#VALUE!</v>
      </c>
      <c r="HC105" t="e">
        <f>AND(Bills!O369,"AAAAAHv/+dI=")</f>
        <v>#VALUE!</v>
      </c>
      <c r="HD105" t="e">
        <f>AND(Bills!P369,"AAAAAHv/+dM=")</f>
        <v>#VALUE!</v>
      </c>
      <c r="HE105" t="e">
        <f>AND(Bills!Q369,"AAAAAHv/+dQ=")</f>
        <v>#VALUE!</v>
      </c>
      <c r="HF105" t="e">
        <f>AND(Bills!R369,"AAAAAHv/+dU=")</f>
        <v>#VALUE!</v>
      </c>
      <c r="HG105" t="e">
        <f>AND(Bills!S369,"AAAAAHv/+dY=")</f>
        <v>#VALUE!</v>
      </c>
      <c r="HH105" t="e">
        <f>AND(Bills!T369,"AAAAAHv/+dc=")</f>
        <v>#VALUE!</v>
      </c>
      <c r="HI105" t="e">
        <f>AND(Bills!#REF!,"AAAAAHv/+dg=")</f>
        <v>#REF!</v>
      </c>
      <c r="HJ105" t="e">
        <f>AND(Bills!U369,"AAAAAHv/+dk=")</f>
        <v>#VALUE!</v>
      </c>
      <c r="HK105" t="e">
        <f>AND(Bills!V369,"AAAAAHv/+do=")</f>
        <v>#VALUE!</v>
      </c>
      <c r="HL105" t="e">
        <f>AND(Bills!W369,"AAAAAHv/+ds=")</f>
        <v>#VALUE!</v>
      </c>
      <c r="HM105" t="e">
        <f>AND(Bills!#REF!,"AAAAAHv/+dw=")</f>
        <v>#REF!</v>
      </c>
      <c r="HN105" t="e">
        <f>AND(Bills!#REF!,"AAAAAHv/+d0=")</f>
        <v>#REF!</v>
      </c>
      <c r="HO105" t="e">
        <f>AND(Bills!Y369,"AAAAAHv/+d4=")</f>
        <v>#VALUE!</v>
      </c>
      <c r="HP105" t="e">
        <f>AND(Bills!Z369,"AAAAAHv/+d8=")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AND(Bills!AA369,"AAAAAHv/+ek=")</f>
        <v>#VALUE!</v>
      </c>
      <c r="IA105" t="e">
        <f>AND(Bills!AB369,"AAAAAHv/+eo=")</f>
        <v>#VALUE!</v>
      </c>
      <c r="IB105" t="e">
        <f>AND(Bills!#REF!,"AAAAAHv/+es=")</f>
        <v>#REF!</v>
      </c>
      <c r="IC105" t="e">
        <f>AND(Bills!#REF!,"AAAAAHv/+ew=")</f>
        <v>#REF!</v>
      </c>
      <c r="ID105" t="e">
        <f>AND(Bills!#REF!,"AAAAAHv/+e0=")</f>
        <v>#REF!</v>
      </c>
      <c r="IE105" t="e">
        <f>AND(Bills!AC369,"AAAAAHv/+e4=")</f>
        <v>#VALUE!</v>
      </c>
      <c r="IF105" t="e">
        <f>AND(Bills!AD369,"AAAAAHv/+e8=")</f>
        <v>#VALUE!</v>
      </c>
      <c r="IG105" t="e">
        <f>AND(Bills!#REF!,"AAAAAHv/+fA=")</f>
        <v>#REF!</v>
      </c>
      <c r="IH105">
        <f>IF(Bills!370:370,"AAAAAHv/+fE=",0)</f>
        <v>0</v>
      </c>
      <c r="II105" t="e">
        <f>AND(Bills!B370,"AAAAAHv/+fI=")</f>
        <v>#VALUE!</v>
      </c>
      <c r="IJ105" t="e">
        <f>AND(Bills!#REF!,"AAAAAHv/+fM=")</f>
        <v>#REF!</v>
      </c>
      <c r="IK105" t="e">
        <f>AND(Bills!C370,"AAAAAHv/+fQ=")</f>
        <v>#VALUE!</v>
      </c>
      <c r="IL105" t="e">
        <f>AND(Bills!D370,"AAAAAHv/+fU=")</f>
        <v>#VALUE!</v>
      </c>
      <c r="IM105" t="e">
        <f>AND(Bills!E370,"AAAAAHv/+fY=")</f>
        <v>#VALUE!</v>
      </c>
      <c r="IN105" t="e">
        <f>AND(Bills!#REF!,"AAAAAHv/+fc=")</f>
        <v>#REF!</v>
      </c>
      <c r="IO105" t="e">
        <f>AND(Bills!#REF!,"AAAAAHv/+fg=")</f>
        <v>#REF!</v>
      </c>
      <c r="IP105" t="e">
        <f>AND(Bills!#REF!,"AAAAAHv/+fk=")</f>
        <v>#REF!</v>
      </c>
      <c r="IQ105" t="e">
        <f>AND(Bills!F370,"AAAAAHv/+fo=")</f>
        <v>#VALUE!</v>
      </c>
      <c r="IR105" t="e">
        <f>AND(Bills!#REF!,"AAAAAHv/+fs=")</f>
        <v>#REF!</v>
      </c>
      <c r="IS105" t="e">
        <f>AND(Bills!G370,"AAAAAHv/+fw=")</f>
        <v>#VALUE!</v>
      </c>
      <c r="IT105" t="e">
        <f>AND(Bills!H370,"AAAAAHv/+f0=")</f>
        <v>#VALUE!</v>
      </c>
      <c r="IU105" t="e">
        <f>AND(Bills!I370,"AAAAAHv/+f4=")</f>
        <v>#VALUE!</v>
      </c>
      <c r="IV105" t="e">
        <f>AND(Bills!J370,"AAAAAHv/+f8=")</f>
        <v>#VALUE!</v>
      </c>
    </row>
    <row r="106" spans="1:256">
      <c r="A106" t="e">
        <f>AND(Bills!K370,"AAAAAH793wA=")</f>
        <v>#VALUE!</v>
      </c>
      <c r="B106" t="e">
        <f>AND(Bills!L370,"AAAAAH793wE=")</f>
        <v>#VALUE!</v>
      </c>
      <c r="C106" t="e">
        <f>AND(Bills!#REF!,"AAAAAH793wI=")</f>
        <v>#REF!</v>
      </c>
      <c r="D106" t="e">
        <f>AND(Bills!M370,"AAAAAH793wM=")</f>
        <v>#VALUE!</v>
      </c>
      <c r="E106" t="e">
        <f>AND(Bills!N370,"AAAAAH793wQ=")</f>
        <v>#VALUE!</v>
      </c>
      <c r="F106" t="e">
        <f>AND(Bills!O370,"AAAAAH793wU=")</f>
        <v>#VALUE!</v>
      </c>
      <c r="G106" t="e">
        <f>AND(Bills!P370,"AAAAAH793wY=")</f>
        <v>#VALUE!</v>
      </c>
      <c r="H106" t="e">
        <f>AND(Bills!Q370,"AAAAAH793wc=")</f>
        <v>#VALUE!</v>
      </c>
      <c r="I106" t="e">
        <f>AND(Bills!R370,"AAAAAH793wg=")</f>
        <v>#VALUE!</v>
      </c>
      <c r="J106" t="e">
        <f>AND(Bills!S370,"AAAAAH793wk=")</f>
        <v>#VALUE!</v>
      </c>
      <c r="K106" t="e">
        <f>AND(Bills!T370,"AAAAAH793wo=")</f>
        <v>#VALUE!</v>
      </c>
      <c r="L106" t="e">
        <f>AND(Bills!#REF!,"AAAAAH793ws=")</f>
        <v>#REF!</v>
      </c>
      <c r="M106" t="e">
        <f>AND(Bills!U370,"AAAAAH793ww=")</f>
        <v>#VALUE!</v>
      </c>
      <c r="N106" t="e">
        <f>AND(Bills!V370,"AAAAAH793w0=")</f>
        <v>#VALUE!</v>
      </c>
      <c r="O106" t="e">
        <f>AND(Bills!W370,"AAAAAH793w4=")</f>
        <v>#VALUE!</v>
      </c>
      <c r="P106" t="e">
        <f>AND(Bills!#REF!,"AAAAAH793w8=")</f>
        <v>#REF!</v>
      </c>
      <c r="Q106" t="e">
        <f>AND(Bills!#REF!,"AAAAAH793xA=")</f>
        <v>#REF!</v>
      </c>
      <c r="R106" t="e">
        <f>AND(Bills!Y370,"AAAAAH793xE=")</f>
        <v>#VALUE!</v>
      </c>
      <c r="S106" t="e">
        <f>AND(Bills!Z370,"AAAAAH793xI=")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AND(Bills!AA370,"AAAAAH793xw=")</f>
        <v>#VALUE!</v>
      </c>
      <c r="AD106" t="e">
        <f>AND(Bills!AB370,"AAAAAH793x0=")</f>
        <v>#VALUE!</v>
      </c>
      <c r="AE106" t="e">
        <f>AND(Bills!#REF!,"AAAAAH793x4=")</f>
        <v>#REF!</v>
      </c>
      <c r="AF106" t="e">
        <f>AND(Bills!#REF!,"AAAAAH793x8=")</f>
        <v>#REF!</v>
      </c>
      <c r="AG106" t="e">
        <f>AND(Bills!#REF!,"AAAAAH793yA=")</f>
        <v>#REF!</v>
      </c>
      <c r="AH106" t="e">
        <f>AND(Bills!AC370,"AAAAAH793yE=")</f>
        <v>#VALUE!</v>
      </c>
      <c r="AI106" t="e">
        <f>AND(Bills!AD370,"AAAAAH793yI=")</f>
        <v>#VALUE!</v>
      </c>
      <c r="AJ106" t="e">
        <f>AND(Bills!#REF!,"AAAAAH793yM=")</f>
        <v>#REF!</v>
      </c>
      <c r="AK106">
        <f>IF(Bills!371:371,"AAAAAH793yQ=",0)</f>
        <v>0</v>
      </c>
      <c r="AL106" t="e">
        <f>AND(Bills!B371,"AAAAAH793yU=")</f>
        <v>#VALUE!</v>
      </c>
      <c r="AM106" t="e">
        <f>AND(Bills!#REF!,"AAAAAH793yY=")</f>
        <v>#REF!</v>
      </c>
      <c r="AN106" t="e">
        <f>AND(Bills!C371,"AAAAAH793yc=")</f>
        <v>#VALUE!</v>
      </c>
      <c r="AO106" t="e">
        <f>AND(Bills!D371,"AAAAAH793yg=")</f>
        <v>#VALUE!</v>
      </c>
      <c r="AP106" t="e">
        <f>AND(Bills!E371,"AAAAAH793yk=")</f>
        <v>#VALUE!</v>
      </c>
      <c r="AQ106" t="e">
        <f>AND(Bills!#REF!,"AAAAAH793yo=")</f>
        <v>#REF!</v>
      </c>
      <c r="AR106" t="e">
        <f>AND(Bills!#REF!,"AAAAAH793ys=")</f>
        <v>#REF!</v>
      </c>
      <c r="AS106" t="e">
        <f>AND(Bills!#REF!,"AAAAAH793yw=")</f>
        <v>#REF!</v>
      </c>
      <c r="AT106" t="e">
        <f>AND(Bills!F371,"AAAAAH793y0=")</f>
        <v>#VALUE!</v>
      </c>
      <c r="AU106" t="e">
        <f>AND(Bills!#REF!,"AAAAAH793y4=")</f>
        <v>#REF!</v>
      </c>
      <c r="AV106" t="e">
        <f>AND(Bills!G371,"AAAAAH793y8=")</f>
        <v>#VALUE!</v>
      </c>
      <c r="AW106" t="e">
        <f>AND(Bills!H371,"AAAAAH793zA=")</f>
        <v>#VALUE!</v>
      </c>
      <c r="AX106" t="e">
        <f>AND(Bills!I371,"AAAAAH793zE=")</f>
        <v>#VALUE!</v>
      </c>
      <c r="AY106" t="e">
        <f>AND(Bills!J371,"AAAAAH793zI=")</f>
        <v>#VALUE!</v>
      </c>
      <c r="AZ106" t="e">
        <f>AND(Bills!K371,"AAAAAH793zM=")</f>
        <v>#VALUE!</v>
      </c>
      <c r="BA106" t="e">
        <f>AND(Bills!L371,"AAAAAH793zQ=")</f>
        <v>#VALUE!</v>
      </c>
      <c r="BB106" t="e">
        <f>AND(Bills!#REF!,"AAAAAH793zU=")</f>
        <v>#REF!</v>
      </c>
      <c r="BC106" t="e">
        <f>AND(Bills!M371,"AAAAAH793zY=")</f>
        <v>#VALUE!</v>
      </c>
      <c r="BD106" t="e">
        <f>AND(Bills!N371,"AAAAAH793zc=")</f>
        <v>#VALUE!</v>
      </c>
      <c r="BE106" t="e">
        <f>AND(Bills!O371,"AAAAAH793zg=")</f>
        <v>#VALUE!</v>
      </c>
      <c r="BF106" t="e">
        <f>AND(Bills!P371,"AAAAAH793zk=")</f>
        <v>#VALUE!</v>
      </c>
      <c r="BG106" t="e">
        <f>AND(Bills!Q371,"AAAAAH793zo=")</f>
        <v>#VALUE!</v>
      </c>
      <c r="BH106" t="e">
        <f>AND(Bills!R371,"AAAAAH793zs=")</f>
        <v>#VALUE!</v>
      </c>
      <c r="BI106" t="e">
        <f>AND(Bills!S371,"AAAAAH793zw=")</f>
        <v>#VALUE!</v>
      </c>
      <c r="BJ106" t="e">
        <f>AND(Bills!T371,"AAAAAH793z0=")</f>
        <v>#VALUE!</v>
      </c>
      <c r="BK106" t="e">
        <f>AND(Bills!#REF!,"AAAAAH793z4=")</f>
        <v>#REF!</v>
      </c>
      <c r="BL106" t="e">
        <f>AND(Bills!U371,"AAAAAH793z8=")</f>
        <v>#VALUE!</v>
      </c>
      <c r="BM106" t="e">
        <f>AND(Bills!V371,"AAAAAH7930A=")</f>
        <v>#VALUE!</v>
      </c>
      <c r="BN106" t="e">
        <f>AND(Bills!W371,"AAAAAH7930E=")</f>
        <v>#VALUE!</v>
      </c>
      <c r="BO106" t="e">
        <f>AND(Bills!#REF!,"AAAAAH7930I=")</f>
        <v>#REF!</v>
      </c>
      <c r="BP106" t="e">
        <f>AND(Bills!#REF!,"AAAAAH7930M=")</f>
        <v>#REF!</v>
      </c>
      <c r="BQ106" t="e">
        <f>AND(Bills!Y371,"AAAAAH7930Q=")</f>
        <v>#VALUE!</v>
      </c>
      <c r="BR106" t="e">
        <f>AND(Bills!Z371,"AAAAAH7930U=")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AND(Bills!AA371,"AAAAAH79308=")</f>
        <v>#VALUE!</v>
      </c>
      <c r="CC106" t="e">
        <f>AND(Bills!AB371,"AAAAAH7931A=")</f>
        <v>#VALUE!</v>
      </c>
      <c r="CD106" t="e">
        <f>AND(Bills!#REF!,"AAAAAH7931E=")</f>
        <v>#REF!</v>
      </c>
      <c r="CE106" t="e">
        <f>AND(Bills!#REF!,"AAAAAH7931I=")</f>
        <v>#REF!</v>
      </c>
      <c r="CF106" t="e">
        <f>AND(Bills!#REF!,"AAAAAH7931M=")</f>
        <v>#REF!</v>
      </c>
      <c r="CG106" t="e">
        <f>AND(Bills!AC371,"AAAAAH7931Q=")</f>
        <v>#VALUE!</v>
      </c>
      <c r="CH106" t="e">
        <f>AND(Bills!AD371,"AAAAAH7931U=")</f>
        <v>#VALUE!</v>
      </c>
      <c r="CI106" t="e">
        <f>AND(Bills!#REF!,"AAAAAH7931Y=")</f>
        <v>#REF!</v>
      </c>
      <c r="CJ106">
        <f>IF(Bills!372:372,"AAAAAH7931c=",0)</f>
        <v>0</v>
      </c>
      <c r="CK106" t="e">
        <f>AND(Bills!B372,"AAAAAH7931g=")</f>
        <v>#VALUE!</v>
      </c>
      <c r="CL106" t="e">
        <f>AND(Bills!#REF!,"AAAAAH7931k=")</f>
        <v>#REF!</v>
      </c>
      <c r="CM106" t="e">
        <f>AND(Bills!C372,"AAAAAH7931o=")</f>
        <v>#VALUE!</v>
      </c>
      <c r="CN106" t="e">
        <f>AND(Bills!D372,"AAAAAH7931s=")</f>
        <v>#VALUE!</v>
      </c>
      <c r="CO106" t="e">
        <f>AND(Bills!E372,"AAAAAH7931w=")</f>
        <v>#VALUE!</v>
      </c>
      <c r="CP106" t="e">
        <f>AND(Bills!#REF!,"AAAAAH79310=")</f>
        <v>#REF!</v>
      </c>
      <c r="CQ106" t="e">
        <f>AND(Bills!#REF!,"AAAAAH79314=")</f>
        <v>#REF!</v>
      </c>
      <c r="CR106" t="e">
        <f>AND(Bills!#REF!,"AAAAAH79318=")</f>
        <v>#REF!</v>
      </c>
      <c r="CS106" t="e">
        <f>AND(Bills!F372,"AAAAAH7932A=")</f>
        <v>#VALUE!</v>
      </c>
      <c r="CT106" t="e">
        <f>AND(Bills!#REF!,"AAAAAH7932E=")</f>
        <v>#REF!</v>
      </c>
      <c r="CU106" t="e">
        <f>AND(Bills!G372,"AAAAAH7932I=")</f>
        <v>#VALUE!</v>
      </c>
      <c r="CV106" t="e">
        <f>AND(Bills!H372,"AAAAAH7932M=")</f>
        <v>#VALUE!</v>
      </c>
      <c r="CW106" t="e">
        <f>AND(Bills!I372,"AAAAAH7932Q=")</f>
        <v>#VALUE!</v>
      </c>
      <c r="CX106" t="e">
        <f>AND(Bills!J372,"AAAAAH7932U=")</f>
        <v>#VALUE!</v>
      </c>
      <c r="CY106" t="e">
        <f>AND(Bills!K372,"AAAAAH7932Y=")</f>
        <v>#VALUE!</v>
      </c>
      <c r="CZ106" t="e">
        <f>AND(Bills!L372,"AAAAAH7932c=")</f>
        <v>#VALUE!</v>
      </c>
      <c r="DA106" t="e">
        <f>AND(Bills!#REF!,"AAAAAH7932g=")</f>
        <v>#REF!</v>
      </c>
      <c r="DB106" t="e">
        <f>AND(Bills!M372,"AAAAAH7932k=")</f>
        <v>#VALUE!</v>
      </c>
      <c r="DC106" t="e">
        <f>AND(Bills!N372,"AAAAAH7932o=")</f>
        <v>#VALUE!</v>
      </c>
      <c r="DD106" t="e">
        <f>AND(Bills!O372,"AAAAAH7932s=")</f>
        <v>#VALUE!</v>
      </c>
      <c r="DE106" t="e">
        <f>AND(Bills!P372,"AAAAAH7932w=")</f>
        <v>#VALUE!</v>
      </c>
      <c r="DF106" t="e">
        <f>AND(Bills!Q372,"AAAAAH79320=")</f>
        <v>#VALUE!</v>
      </c>
      <c r="DG106" t="e">
        <f>AND(Bills!R372,"AAAAAH79324=")</f>
        <v>#VALUE!</v>
      </c>
      <c r="DH106" t="e">
        <f>AND(Bills!S372,"AAAAAH79328=")</f>
        <v>#VALUE!</v>
      </c>
      <c r="DI106" t="e">
        <f>AND(Bills!T372,"AAAAAH7933A=")</f>
        <v>#VALUE!</v>
      </c>
      <c r="DJ106" t="e">
        <f>AND(Bills!#REF!,"AAAAAH7933E=")</f>
        <v>#REF!</v>
      </c>
      <c r="DK106" t="e">
        <f>AND(Bills!U372,"AAAAAH7933I=")</f>
        <v>#VALUE!</v>
      </c>
      <c r="DL106" t="e">
        <f>AND(Bills!V372,"AAAAAH7933M=")</f>
        <v>#VALUE!</v>
      </c>
      <c r="DM106" t="e">
        <f>AND(Bills!W372,"AAAAAH7933Q=")</f>
        <v>#VALUE!</v>
      </c>
      <c r="DN106" t="e">
        <f>AND(Bills!#REF!,"AAAAAH7933U=")</f>
        <v>#REF!</v>
      </c>
      <c r="DO106" t="e">
        <f>AND(Bills!#REF!,"AAAAAH7933Y=")</f>
        <v>#REF!</v>
      </c>
      <c r="DP106" t="e">
        <f>AND(Bills!Y372,"AAAAAH7933c=")</f>
        <v>#VALUE!</v>
      </c>
      <c r="DQ106" t="e">
        <f>AND(Bills!Z372,"AAAAAH7933g=")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AND(Bills!AA372,"AAAAAH7934I=")</f>
        <v>#VALUE!</v>
      </c>
      <c r="EB106" t="e">
        <f>AND(Bills!AB372,"AAAAAH7934M=")</f>
        <v>#VALUE!</v>
      </c>
      <c r="EC106" t="e">
        <f>AND(Bills!#REF!,"AAAAAH7934Q=")</f>
        <v>#REF!</v>
      </c>
      <c r="ED106" t="e">
        <f>AND(Bills!#REF!,"AAAAAH7934U=")</f>
        <v>#REF!</v>
      </c>
      <c r="EE106" t="e">
        <f>AND(Bills!#REF!,"AAAAAH7934Y=")</f>
        <v>#REF!</v>
      </c>
      <c r="EF106" t="e">
        <f>AND(Bills!AC372,"AAAAAH7934c=")</f>
        <v>#VALUE!</v>
      </c>
      <c r="EG106" t="e">
        <f>AND(Bills!AD372,"AAAAAH7934g=")</f>
        <v>#VALUE!</v>
      </c>
      <c r="EH106" t="e">
        <f>AND(Bills!#REF!,"AAAAAH7934k=")</f>
        <v>#REF!</v>
      </c>
      <c r="EI106">
        <f>IF(Bills!373:373,"AAAAAH7934o=",0)</f>
        <v>0</v>
      </c>
      <c r="EJ106" t="e">
        <f>AND(Bills!B373,"AAAAAH7934s=")</f>
        <v>#VALUE!</v>
      </c>
      <c r="EK106" t="e">
        <f>AND(Bills!#REF!,"AAAAAH7934w=")</f>
        <v>#REF!</v>
      </c>
      <c r="EL106" t="e">
        <f>AND(Bills!C373,"AAAAAH79340=")</f>
        <v>#VALUE!</v>
      </c>
      <c r="EM106" t="e">
        <f>AND(Bills!D373,"AAAAAH79344=")</f>
        <v>#VALUE!</v>
      </c>
      <c r="EN106" t="e">
        <f>AND(Bills!E373,"AAAAAH79348=")</f>
        <v>#VALUE!</v>
      </c>
      <c r="EO106" t="e">
        <f>AND(Bills!#REF!,"AAAAAH7935A=")</f>
        <v>#REF!</v>
      </c>
      <c r="EP106" t="e">
        <f>AND(Bills!#REF!,"AAAAAH7935E=")</f>
        <v>#REF!</v>
      </c>
      <c r="EQ106" t="e">
        <f>AND(Bills!#REF!,"AAAAAH7935I=")</f>
        <v>#REF!</v>
      </c>
      <c r="ER106" t="e">
        <f>AND(Bills!F373,"AAAAAH7935M=")</f>
        <v>#VALUE!</v>
      </c>
      <c r="ES106" t="e">
        <f>AND(Bills!#REF!,"AAAAAH7935Q=")</f>
        <v>#REF!</v>
      </c>
      <c r="ET106" t="e">
        <f>AND(Bills!G373,"AAAAAH7935U=")</f>
        <v>#VALUE!</v>
      </c>
      <c r="EU106" t="e">
        <f>AND(Bills!H373,"AAAAAH7935Y=")</f>
        <v>#VALUE!</v>
      </c>
      <c r="EV106" t="e">
        <f>AND(Bills!I373,"AAAAAH7935c=")</f>
        <v>#VALUE!</v>
      </c>
      <c r="EW106" t="e">
        <f>AND(Bills!J373,"AAAAAH7935g=")</f>
        <v>#VALUE!</v>
      </c>
      <c r="EX106" t="e">
        <f>AND(Bills!K373,"AAAAAH7935k=")</f>
        <v>#VALUE!</v>
      </c>
      <c r="EY106" t="e">
        <f>AND(Bills!L373,"AAAAAH7935o=")</f>
        <v>#VALUE!</v>
      </c>
      <c r="EZ106" t="e">
        <f>AND(Bills!#REF!,"AAAAAH7935s=")</f>
        <v>#REF!</v>
      </c>
      <c r="FA106" t="e">
        <f>AND(Bills!M373,"AAAAAH7935w=")</f>
        <v>#VALUE!</v>
      </c>
      <c r="FB106" t="e">
        <f>AND(Bills!N373,"AAAAAH79350=")</f>
        <v>#VALUE!</v>
      </c>
      <c r="FC106" t="e">
        <f>AND(Bills!O373,"AAAAAH79354=")</f>
        <v>#VALUE!</v>
      </c>
      <c r="FD106" t="e">
        <f>AND(Bills!P373,"AAAAAH79358=")</f>
        <v>#VALUE!</v>
      </c>
      <c r="FE106" t="e">
        <f>AND(Bills!Q373,"AAAAAH7936A=")</f>
        <v>#VALUE!</v>
      </c>
      <c r="FF106" t="e">
        <f>AND(Bills!R373,"AAAAAH7936E=")</f>
        <v>#VALUE!</v>
      </c>
      <c r="FG106" t="e">
        <f>AND(Bills!S373,"AAAAAH7936I=")</f>
        <v>#VALUE!</v>
      </c>
      <c r="FH106" t="e">
        <f>AND(Bills!T373,"AAAAAH7936M=")</f>
        <v>#VALUE!</v>
      </c>
      <c r="FI106" t="e">
        <f>AND(Bills!#REF!,"AAAAAH7936Q=")</f>
        <v>#REF!</v>
      </c>
      <c r="FJ106" t="e">
        <f>AND(Bills!U373,"AAAAAH7936U=")</f>
        <v>#VALUE!</v>
      </c>
      <c r="FK106" t="e">
        <f>AND(Bills!V373,"AAAAAH7936Y=")</f>
        <v>#VALUE!</v>
      </c>
      <c r="FL106" t="e">
        <f>AND(Bills!W373,"AAAAAH7936c=")</f>
        <v>#VALUE!</v>
      </c>
      <c r="FM106" t="e">
        <f>AND(Bills!#REF!,"AAAAAH7936g=")</f>
        <v>#REF!</v>
      </c>
      <c r="FN106" t="e">
        <f>AND(Bills!#REF!,"AAAAAH7936k=")</f>
        <v>#REF!</v>
      </c>
      <c r="FO106" t="e">
        <f>AND(Bills!Y373,"AAAAAH7936o=")</f>
        <v>#VALUE!</v>
      </c>
      <c r="FP106" t="e">
        <f>AND(Bills!Z373,"AAAAAH7936s=")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AND(Bills!AA373,"AAAAAH7937U=")</f>
        <v>#VALUE!</v>
      </c>
      <c r="GA106" t="e">
        <f>AND(Bills!AB373,"AAAAAH7937Y=")</f>
        <v>#VALUE!</v>
      </c>
      <c r="GB106" t="e">
        <f>AND(Bills!#REF!,"AAAAAH7937c=")</f>
        <v>#REF!</v>
      </c>
      <c r="GC106" t="e">
        <f>AND(Bills!#REF!,"AAAAAH7937g=")</f>
        <v>#REF!</v>
      </c>
      <c r="GD106" t="e">
        <f>AND(Bills!#REF!,"AAAAAH7937k=")</f>
        <v>#REF!</v>
      </c>
      <c r="GE106" t="e">
        <f>AND(Bills!AC373,"AAAAAH7937o=")</f>
        <v>#VALUE!</v>
      </c>
      <c r="GF106" t="e">
        <f>AND(Bills!AD373,"AAAAAH7937s=")</f>
        <v>#VALUE!</v>
      </c>
      <c r="GG106" t="e">
        <f>AND(Bills!#REF!,"AAAAAH7937w=")</f>
        <v>#REF!</v>
      </c>
      <c r="GH106">
        <f>IF(Bills!374:374,"AAAAAH79370=",0)</f>
        <v>0</v>
      </c>
      <c r="GI106" t="e">
        <f>AND(Bills!B374,"AAAAAH79374=")</f>
        <v>#VALUE!</v>
      </c>
      <c r="GJ106" t="e">
        <f>AND(Bills!#REF!,"AAAAAH79378=")</f>
        <v>#REF!</v>
      </c>
      <c r="GK106" t="e">
        <f>AND(Bills!C374,"AAAAAH7938A=")</f>
        <v>#VALUE!</v>
      </c>
      <c r="GL106" t="e">
        <f>AND(Bills!D374,"AAAAAH7938E=")</f>
        <v>#VALUE!</v>
      </c>
      <c r="GM106" t="e">
        <f>AND(Bills!E374,"AAAAAH7938I=")</f>
        <v>#VALUE!</v>
      </c>
      <c r="GN106" t="e">
        <f>AND(Bills!#REF!,"AAAAAH7938M=")</f>
        <v>#REF!</v>
      </c>
      <c r="GO106" t="e">
        <f>AND(Bills!#REF!,"AAAAAH7938Q=")</f>
        <v>#REF!</v>
      </c>
      <c r="GP106" t="e">
        <f>AND(Bills!#REF!,"AAAAAH7938U=")</f>
        <v>#REF!</v>
      </c>
      <c r="GQ106" t="e">
        <f>AND(Bills!F374,"AAAAAH7938Y=")</f>
        <v>#VALUE!</v>
      </c>
      <c r="GR106" t="e">
        <f>AND(Bills!#REF!,"AAAAAH7938c=")</f>
        <v>#REF!</v>
      </c>
      <c r="GS106" t="e">
        <f>AND(Bills!G374,"AAAAAH7938g=")</f>
        <v>#VALUE!</v>
      </c>
      <c r="GT106" t="e">
        <f>AND(Bills!H374,"AAAAAH7938k=")</f>
        <v>#VALUE!</v>
      </c>
      <c r="GU106" t="e">
        <f>AND(Bills!I374,"AAAAAH7938o=")</f>
        <v>#VALUE!</v>
      </c>
      <c r="GV106" t="e">
        <f>AND(Bills!J374,"AAAAAH7938s=")</f>
        <v>#VALUE!</v>
      </c>
      <c r="GW106" t="e">
        <f>AND(Bills!K374,"AAAAAH7938w=")</f>
        <v>#VALUE!</v>
      </c>
      <c r="GX106" t="e">
        <f>AND(Bills!L374,"AAAAAH79380=")</f>
        <v>#VALUE!</v>
      </c>
      <c r="GY106" t="e">
        <f>AND(Bills!#REF!,"AAAAAH79384=")</f>
        <v>#REF!</v>
      </c>
      <c r="GZ106" t="e">
        <f>AND(Bills!M374,"AAAAAH79388=")</f>
        <v>#VALUE!</v>
      </c>
      <c r="HA106" t="e">
        <f>AND(Bills!N374,"AAAAAH7939A=")</f>
        <v>#VALUE!</v>
      </c>
      <c r="HB106" t="e">
        <f>AND(Bills!O374,"AAAAAH7939E=")</f>
        <v>#VALUE!</v>
      </c>
      <c r="HC106" t="e">
        <f>AND(Bills!P374,"AAAAAH7939I=")</f>
        <v>#VALUE!</v>
      </c>
      <c r="HD106" t="e">
        <f>AND(Bills!Q374,"AAAAAH7939M=")</f>
        <v>#VALUE!</v>
      </c>
      <c r="HE106" t="e">
        <f>AND(Bills!R374,"AAAAAH7939Q=")</f>
        <v>#VALUE!</v>
      </c>
      <c r="HF106" t="e">
        <f>AND(Bills!S374,"AAAAAH7939U=")</f>
        <v>#VALUE!</v>
      </c>
      <c r="HG106" t="e">
        <f>AND(Bills!T374,"AAAAAH7939Y=")</f>
        <v>#VALUE!</v>
      </c>
      <c r="HH106" t="e">
        <f>AND(Bills!#REF!,"AAAAAH7939c=")</f>
        <v>#REF!</v>
      </c>
      <c r="HI106" t="e">
        <f>AND(Bills!U374,"AAAAAH7939g=")</f>
        <v>#VALUE!</v>
      </c>
      <c r="HJ106" t="e">
        <f>AND(Bills!V374,"AAAAAH7939k=")</f>
        <v>#VALUE!</v>
      </c>
      <c r="HK106" t="e">
        <f>AND(Bills!W374,"AAAAAH7939o=")</f>
        <v>#VALUE!</v>
      </c>
      <c r="HL106" t="e">
        <f>AND(Bills!#REF!,"AAAAAH7939s=")</f>
        <v>#REF!</v>
      </c>
      <c r="HM106" t="e">
        <f>AND(Bills!#REF!,"AAAAAH7939w=")</f>
        <v>#REF!</v>
      </c>
      <c r="HN106" t="e">
        <f>AND(Bills!Y374,"AAAAAH79390=")</f>
        <v>#VALUE!</v>
      </c>
      <c r="HO106" t="e">
        <f>AND(Bills!Z374,"AAAAAH79394=")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AND(Bills!AA374,"AAAAAH793+g=")</f>
        <v>#VALUE!</v>
      </c>
      <c r="HZ106" t="e">
        <f>AND(Bills!AB374,"AAAAAH793+k=")</f>
        <v>#VALUE!</v>
      </c>
      <c r="IA106" t="e">
        <f>AND(Bills!#REF!,"AAAAAH793+o=")</f>
        <v>#REF!</v>
      </c>
      <c r="IB106" t="e">
        <f>AND(Bills!#REF!,"AAAAAH793+s=")</f>
        <v>#REF!</v>
      </c>
      <c r="IC106" t="e">
        <f>AND(Bills!#REF!,"AAAAAH793+w=")</f>
        <v>#REF!</v>
      </c>
      <c r="ID106" t="e">
        <f>AND(Bills!AC374,"AAAAAH793+0=")</f>
        <v>#VALUE!</v>
      </c>
      <c r="IE106" t="e">
        <f>AND(Bills!AD374,"AAAAAH793+4=")</f>
        <v>#VALUE!</v>
      </c>
      <c r="IF106" t="e">
        <f>AND(Bills!#REF!,"AAAAAH793+8=")</f>
        <v>#REF!</v>
      </c>
      <c r="IG106">
        <f>IF(Bills!375:375,"AAAAAH793/A=",0)</f>
        <v>0</v>
      </c>
      <c r="IH106" t="e">
        <f>AND(Bills!B375,"AAAAAH793/E=")</f>
        <v>#VALUE!</v>
      </c>
      <c r="II106" t="e">
        <f>AND(Bills!#REF!,"AAAAAH793/I=")</f>
        <v>#REF!</v>
      </c>
      <c r="IJ106" t="e">
        <f>AND(Bills!C375,"AAAAAH793/M=")</f>
        <v>#VALUE!</v>
      </c>
      <c r="IK106" t="e">
        <f>AND(Bills!D375,"AAAAAH793/Q=")</f>
        <v>#VALUE!</v>
      </c>
      <c r="IL106" t="e">
        <f>AND(Bills!E375,"AAAAAH793/U=")</f>
        <v>#VALUE!</v>
      </c>
      <c r="IM106" t="e">
        <f>AND(Bills!#REF!,"AAAAAH793/Y=")</f>
        <v>#REF!</v>
      </c>
      <c r="IN106" t="e">
        <f>AND(Bills!#REF!,"AAAAAH793/c=")</f>
        <v>#REF!</v>
      </c>
      <c r="IO106" t="e">
        <f>AND(Bills!#REF!,"AAAAAH793/g=")</f>
        <v>#REF!</v>
      </c>
      <c r="IP106" t="e">
        <f>AND(Bills!F375,"AAAAAH793/k=")</f>
        <v>#VALUE!</v>
      </c>
      <c r="IQ106" t="e">
        <f>AND(Bills!#REF!,"AAAAAH793/o=")</f>
        <v>#REF!</v>
      </c>
      <c r="IR106" t="e">
        <f>AND(Bills!G375,"AAAAAH793/s=")</f>
        <v>#VALUE!</v>
      </c>
      <c r="IS106" t="e">
        <f>AND(Bills!H375,"AAAAAH793/w=")</f>
        <v>#VALUE!</v>
      </c>
      <c r="IT106" t="e">
        <f>AND(Bills!I375,"AAAAAH793/0=")</f>
        <v>#VALUE!</v>
      </c>
      <c r="IU106" t="e">
        <f>AND(Bills!J375,"AAAAAH793/4=")</f>
        <v>#VALUE!</v>
      </c>
      <c r="IV106" t="e">
        <f>AND(Bills!K375,"AAAAAH793/8=")</f>
        <v>#VALUE!</v>
      </c>
    </row>
    <row r="107" spans="1:256">
      <c r="A107" t="e">
        <f>AND(Bills!L375,"AAAAAFc3UQA=")</f>
        <v>#VALUE!</v>
      </c>
      <c r="B107" t="e">
        <f>AND(Bills!#REF!,"AAAAAFc3UQE=")</f>
        <v>#REF!</v>
      </c>
      <c r="C107" t="e">
        <f>AND(Bills!M375,"AAAAAFc3UQI=")</f>
        <v>#VALUE!</v>
      </c>
      <c r="D107" t="e">
        <f>AND(Bills!N375,"AAAAAFc3UQM=")</f>
        <v>#VALUE!</v>
      </c>
      <c r="E107" t="e">
        <f>AND(Bills!O375,"AAAAAFc3UQQ=")</f>
        <v>#VALUE!</v>
      </c>
      <c r="F107" t="e">
        <f>AND(Bills!P375,"AAAAAFc3UQU=")</f>
        <v>#VALUE!</v>
      </c>
      <c r="G107" t="e">
        <f>AND(Bills!Q375,"AAAAAFc3UQY=")</f>
        <v>#VALUE!</v>
      </c>
      <c r="H107" t="e">
        <f>AND(Bills!R375,"AAAAAFc3UQc=")</f>
        <v>#VALUE!</v>
      </c>
      <c r="I107" t="e">
        <f>AND(Bills!S375,"AAAAAFc3UQg=")</f>
        <v>#VALUE!</v>
      </c>
      <c r="J107" t="e">
        <f>AND(Bills!T375,"AAAAAFc3UQk=")</f>
        <v>#VALUE!</v>
      </c>
      <c r="K107" t="e">
        <f>AND(Bills!#REF!,"AAAAAFc3UQo=")</f>
        <v>#REF!</v>
      </c>
      <c r="L107" t="e">
        <f>AND(Bills!U375,"AAAAAFc3UQs=")</f>
        <v>#VALUE!</v>
      </c>
      <c r="M107" t="e">
        <f>AND(Bills!V375,"AAAAAFc3UQw=")</f>
        <v>#VALUE!</v>
      </c>
      <c r="N107" t="e">
        <f>AND(Bills!W375,"AAAAAFc3UQ0=")</f>
        <v>#VALUE!</v>
      </c>
      <c r="O107" t="e">
        <f>AND(Bills!#REF!,"AAAAAFc3UQ4=")</f>
        <v>#REF!</v>
      </c>
      <c r="P107" t="e">
        <f>AND(Bills!#REF!,"AAAAAFc3UQ8=")</f>
        <v>#REF!</v>
      </c>
      <c r="Q107" t="e">
        <f>AND(Bills!Y375,"AAAAAFc3URA=")</f>
        <v>#VALUE!</v>
      </c>
      <c r="R107" t="e">
        <f>AND(Bills!Z375,"AAAAAFc3URE=")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AND(Bills!AA375,"AAAAAFc3URs=")</f>
        <v>#VALUE!</v>
      </c>
      <c r="AC107" t="e">
        <f>AND(Bills!AB375,"AAAAAFc3URw=")</f>
        <v>#VALUE!</v>
      </c>
      <c r="AD107" t="e">
        <f>AND(Bills!#REF!,"AAAAAFc3UR0=")</f>
        <v>#REF!</v>
      </c>
      <c r="AE107" t="e">
        <f>AND(Bills!#REF!,"AAAAAFc3UR4=")</f>
        <v>#REF!</v>
      </c>
      <c r="AF107" t="e">
        <f>AND(Bills!#REF!,"AAAAAFc3UR8=")</f>
        <v>#REF!</v>
      </c>
      <c r="AG107" t="e">
        <f>AND(Bills!AC375,"AAAAAFc3USA=")</f>
        <v>#VALUE!</v>
      </c>
      <c r="AH107" t="e">
        <f>AND(Bills!AD375,"AAAAAFc3USE=")</f>
        <v>#VALUE!</v>
      </c>
      <c r="AI107" t="e">
        <f>AND(Bills!#REF!,"AAAAAFc3USI=")</f>
        <v>#REF!</v>
      </c>
      <c r="AJ107">
        <f>IF(Bills!376:376,"AAAAAFc3USM=",0)</f>
        <v>0</v>
      </c>
      <c r="AK107" t="e">
        <f>AND(Bills!B376,"AAAAAFc3USQ=")</f>
        <v>#VALUE!</v>
      </c>
      <c r="AL107" t="e">
        <f>AND(Bills!#REF!,"AAAAAFc3USU=")</f>
        <v>#REF!</v>
      </c>
      <c r="AM107" t="e">
        <f>AND(Bills!C376,"AAAAAFc3USY=")</f>
        <v>#VALUE!</v>
      </c>
      <c r="AN107" t="e">
        <f>AND(Bills!D376,"AAAAAFc3USc=")</f>
        <v>#VALUE!</v>
      </c>
      <c r="AO107" t="e">
        <f>AND(Bills!E376,"AAAAAFc3USg=")</f>
        <v>#VALUE!</v>
      </c>
      <c r="AP107" t="e">
        <f>AND(Bills!#REF!,"AAAAAFc3USk=")</f>
        <v>#REF!</v>
      </c>
      <c r="AQ107" t="e">
        <f>AND(Bills!#REF!,"AAAAAFc3USo=")</f>
        <v>#REF!</v>
      </c>
      <c r="AR107" t="e">
        <f>AND(Bills!#REF!,"AAAAAFc3USs=")</f>
        <v>#REF!</v>
      </c>
      <c r="AS107" t="e">
        <f>AND(Bills!F376,"AAAAAFc3USw=")</f>
        <v>#VALUE!</v>
      </c>
      <c r="AT107" t="e">
        <f>AND(Bills!#REF!,"AAAAAFc3US0=")</f>
        <v>#REF!</v>
      </c>
      <c r="AU107" t="e">
        <f>AND(Bills!G376,"AAAAAFc3US4=")</f>
        <v>#VALUE!</v>
      </c>
      <c r="AV107" t="e">
        <f>AND(Bills!H376,"AAAAAFc3US8=")</f>
        <v>#VALUE!</v>
      </c>
      <c r="AW107" t="e">
        <f>AND(Bills!I376,"AAAAAFc3UTA=")</f>
        <v>#VALUE!</v>
      </c>
      <c r="AX107" t="e">
        <f>AND(Bills!J376,"AAAAAFc3UTE=")</f>
        <v>#VALUE!</v>
      </c>
      <c r="AY107" t="e">
        <f>AND(Bills!K376,"AAAAAFc3UTI=")</f>
        <v>#VALUE!</v>
      </c>
      <c r="AZ107" t="e">
        <f>AND(Bills!L376,"AAAAAFc3UTM=")</f>
        <v>#VALUE!</v>
      </c>
      <c r="BA107" t="e">
        <f>AND(Bills!#REF!,"AAAAAFc3UTQ=")</f>
        <v>#REF!</v>
      </c>
      <c r="BB107" t="e">
        <f>AND(Bills!M376,"AAAAAFc3UTU=")</f>
        <v>#VALUE!</v>
      </c>
      <c r="BC107" t="e">
        <f>AND(Bills!N376,"AAAAAFc3UTY=")</f>
        <v>#VALUE!</v>
      </c>
      <c r="BD107" t="e">
        <f>AND(Bills!O376,"AAAAAFc3UTc=")</f>
        <v>#VALUE!</v>
      </c>
      <c r="BE107" t="e">
        <f>AND(Bills!P376,"AAAAAFc3UTg=")</f>
        <v>#VALUE!</v>
      </c>
      <c r="BF107" t="e">
        <f>AND(Bills!Q376,"AAAAAFc3UTk=")</f>
        <v>#VALUE!</v>
      </c>
      <c r="BG107" t="e">
        <f>AND(Bills!R376,"AAAAAFc3UTo=")</f>
        <v>#VALUE!</v>
      </c>
      <c r="BH107" t="e">
        <f>AND(Bills!S376,"AAAAAFc3UTs=")</f>
        <v>#VALUE!</v>
      </c>
      <c r="BI107" t="e">
        <f>AND(Bills!T376,"AAAAAFc3UTw=")</f>
        <v>#VALUE!</v>
      </c>
      <c r="BJ107" t="e">
        <f>AND(Bills!#REF!,"AAAAAFc3UT0=")</f>
        <v>#REF!</v>
      </c>
      <c r="BK107" t="e">
        <f>AND(Bills!U376,"AAAAAFc3UT4=")</f>
        <v>#VALUE!</v>
      </c>
      <c r="BL107" t="e">
        <f>AND(Bills!V376,"AAAAAFc3UT8=")</f>
        <v>#VALUE!</v>
      </c>
      <c r="BM107" t="e">
        <f>AND(Bills!W376,"AAAAAFc3UUA=")</f>
        <v>#VALUE!</v>
      </c>
      <c r="BN107" t="e">
        <f>AND(Bills!#REF!,"AAAAAFc3UUE=")</f>
        <v>#REF!</v>
      </c>
      <c r="BO107" t="e">
        <f>AND(Bills!#REF!,"AAAAAFc3UUI=")</f>
        <v>#REF!</v>
      </c>
      <c r="BP107" t="e">
        <f>AND(Bills!Y376,"AAAAAFc3UUM=")</f>
        <v>#VALUE!</v>
      </c>
      <c r="BQ107" t="e">
        <f>AND(Bills!Z376,"AAAAAFc3UUQ=")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AND(Bills!AA376,"AAAAAFc3UU4=")</f>
        <v>#VALUE!</v>
      </c>
      <c r="CB107" t="e">
        <f>AND(Bills!AB376,"AAAAAFc3UU8=")</f>
        <v>#VALUE!</v>
      </c>
      <c r="CC107" t="e">
        <f>AND(Bills!#REF!,"AAAAAFc3UVA=")</f>
        <v>#REF!</v>
      </c>
      <c r="CD107" t="e">
        <f>AND(Bills!#REF!,"AAAAAFc3UVE=")</f>
        <v>#REF!</v>
      </c>
      <c r="CE107" t="e">
        <f>AND(Bills!#REF!,"AAAAAFc3UVI=")</f>
        <v>#REF!</v>
      </c>
      <c r="CF107" t="e">
        <f>AND(Bills!AC376,"AAAAAFc3UVM=")</f>
        <v>#VALUE!</v>
      </c>
      <c r="CG107" t="e">
        <f>AND(Bills!AD376,"AAAAAFc3UVQ=")</f>
        <v>#VALUE!</v>
      </c>
      <c r="CH107" t="e">
        <f>AND(Bills!#REF!,"AAAAAFc3UVU=")</f>
        <v>#REF!</v>
      </c>
      <c r="CI107">
        <f>IF(Bills!377:377,"AAAAAFc3UVY=",0)</f>
        <v>0</v>
      </c>
      <c r="CJ107" t="e">
        <f>AND(Bills!B377,"AAAAAFc3UVc=")</f>
        <v>#VALUE!</v>
      </c>
      <c r="CK107" t="e">
        <f>AND(Bills!#REF!,"AAAAAFc3UVg=")</f>
        <v>#REF!</v>
      </c>
      <c r="CL107" t="e">
        <f>AND(Bills!C377,"AAAAAFc3UVk=")</f>
        <v>#VALUE!</v>
      </c>
      <c r="CM107" t="e">
        <f>AND(Bills!D377,"AAAAAFc3UVo=")</f>
        <v>#VALUE!</v>
      </c>
      <c r="CN107" t="e">
        <f>AND(Bills!E377,"AAAAAFc3UVs=")</f>
        <v>#VALUE!</v>
      </c>
      <c r="CO107" t="e">
        <f>AND(Bills!#REF!,"AAAAAFc3UVw=")</f>
        <v>#REF!</v>
      </c>
      <c r="CP107" t="e">
        <f>AND(Bills!#REF!,"AAAAAFc3UV0=")</f>
        <v>#REF!</v>
      </c>
      <c r="CQ107" t="e">
        <f>AND(Bills!#REF!,"AAAAAFc3UV4=")</f>
        <v>#REF!</v>
      </c>
      <c r="CR107" t="e">
        <f>AND(Bills!F377,"AAAAAFc3UV8=")</f>
        <v>#VALUE!</v>
      </c>
      <c r="CS107" t="e">
        <f>AND(Bills!#REF!,"AAAAAFc3UWA=")</f>
        <v>#REF!</v>
      </c>
      <c r="CT107" t="e">
        <f>AND(Bills!G377,"AAAAAFc3UWE=")</f>
        <v>#VALUE!</v>
      </c>
      <c r="CU107" t="e">
        <f>AND(Bills!H377,"AAAAAFc3UWI=")</f>
        <v>#VALUE!</v>
      </c>
      <c r="CV107" t="e">
        <f>AND(Bills!I377,"AAAAAFc3UWM=")</f>
        <v>#VALUE!</v>
      </c>
      <c r="CW107" t="e">
        <f>AND(Bills!J377,"AAAAAFc3UWQ=")</f>
        <v>#VALUE!</v>
      </c>
      <c r="CX107" t="e">
        <f>AND(Bills!K377,"AAAAAFc3UWU=")</f>
        <v>#VALUE!</v>
      </c>
      <c r="CY107" t="e">
        <f>AND(Bills!L377,"AAAAAFc3UWY=")</f>
        <v>#VALUE!</v>
      </c>
      <c r="CZ107" t="e">
        <f>AND(Bills!#REF!,"AAAAAFc3UWc=")</f>
        <v>#REF!</v>
      </c>
      <c r="DA107" t="e">
        <f>AND(Bills!M377,"AAAAAFc3UWg=")</f>
        <v>#VALUE!</v>
      </c>
      <c r="DB107" t="e">
        <f>AND(Bills!N377,"AAAAAFc3UWk=")</f>
        <v>#VALUE!</v>
      </c>
      <c r="DC107" t="e">
        <f>AND(Bills!O377,"AAAAAFc3UWo=")</f>
        <v>#VALUE!</v>
      </c>
      <c r="DD107" t="e">
        <f>AND(Bills!P377,"AAAAAFc3UWs=")</f>
        <v>#VALUE!</v>
      </c>
      <c r="DE107" t="e">
        <f>AND(Bills!Q377,"AAAAAFc3UWw=")</f>
        <v>#VALUE!</v>
      </c>
      <c r="DF107" t="e">
        <f>AND(Bills!R377,"AAAAAFc3UW0=")</f>
        <v>#VALUE!</v>
      </c>
      <c r="DG107" t="e">
        <f>AND(Bills!S377,"AAAAAFc3UW4=")</f>
        <v>#VALUE!</v>
      </c>
      <c r="DH107" t="e">
        <f>AND(Bills!T377,"AAAAAFc3UW8=")</f>
        <v>#VALUE!</v>
      </c>
      <c r="DI107" t="e">
        <f>AND(Bills!#REF!,"AAAAAFc3UXA=")</f>
        <v>#REF!</v>
      </c>
      <c r="DJ107" t="e">
        <f>AND(Bills!U377,"AAAAAFc3UXE=")</f>
        <v>#VALUE!</v>
      </c>
      <c r="DK107" t="e">
        <f>AND(Bills!V377,"AAAAAFc3UXI=")</f>
        <v>#VALUE!</v>
      </c>
      <c r="DL107" t="e">
        <f>AND(Bills!W377,"AAAAAFc3UXM=")</f>
        <v>#VALUE!</v>
      </c>
      <c r="DM107" t="e">
        <f>AND(Bills!#REF!,"AAAAAFc3UXQ=")</f>
        <v>#REF!</v>
      </c>
      <c r="DN107" t="e">
        <f>AND(Bills!#REF!,"AAAAAFc3UXU=")</f>
        <v>#REF!</v>
      </c>
      <c r="DO107" t="e">
        <f>AND(Bills!Y377,"AAAAAFc3UXY=")</f>
        <v>#VALUE!</v>
      </c>
      <c r="DP107" t="e">
        <f>AND(Bills!Z377,"AAAAAFc3UXc=")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AND(Bills!AA377,"AAAAAFc3UYE=")</f>
        <v>#VALUE!</v>
      </c>
      <c r="EA107" t="e">
        <f>AND(Bills!AB377,"AAAAAFc3UYI=")</f>
        <v>#VALUE!</v>
      </c>
      <c r="EB107" t="e">
        <f>AND(Bills!#REF!,"AAAAAFc3UYM=")</f>
        <v>#REF!</v>
      </c>
      <c r="EC107" t="e">
        <f>AND(Bills!#REF!,"AAAAAFc3UYQ=")</f>
        <v>#REF!</v>
      </c>
      <c r="ED107" t="e">
        <f>AND(Bills!#REF!,"AAAAAFc3UYU=")</f>
        <v>#REF!</v>
      </c>
      <c r="EE107" t="e">
        <f>AND(Bills!AC377,"AAAAAFc3UYY=")</f>
        <v>#VALUE!</v>
      </c>
      <c r="EF107" t="e">
        <f>AND(Bills!AD377,"AAAAAFc3UYc=")</f>
        <v>#VALUE!</v>
      </c>
      <c r="EG107" t="e">
        <f>AND(Bills!#REF!,"AAAAAFc3UYg=")</f>
        <v>#REF!</v>
      </c>
      <c r="EH107">
        <f>IF(Bills!378:378,"AAAAAFc3UYk=",0)</f>
        <v>0</v>
      </c>
      <c r="EI107" t="e">
        <f>AND(Bills!B378,"AAAAAFc3UYo=")</f>
        <v>#VALUE!</v>
      </c>
      <c r="EJ107" t="e">
        <f>AND(Bills!#REF!,"AAAAAFc3UYs=")</f>
        <v>#REF!</v>
      </c>
      <c r="EK107" t="e">
        <f>AND(Bills!C378,"AAAAAFc3UYw=")</f>
        <v>#VALUE!</v>
      </c>
      <c r="EL107" t="e">
        <f>AND(Bills!D378,"AAAAAFc3UY0=")</f>
        <v>#VALUE!</v>
      </c>
      <c r="EM107" t="e">
        <f>AND(Bills!E378,"AAAAAFc3UY4=")</f>
        <v>#VALUE!</v>
      </c>
      <c r="EN107" t="e">
        <f>AND(Bills!#REF!,"AAAAAFc3UY8=")</f>
        <v>#REF!</v>
      </c>
      <c r="EO107" t="e">
        <f>AND(Bills!#REF!,"AAAAAFc3UZA=")</f>
        <v>#REF!</v>
      </c>
      <c r="EP107" t="e">
        <f>AND(Bills!#REF!,"AAAAAFc3UZE=")</f>
        <v>#REF!</v>
      </c>
      <c r="EQ107" t="e">
        <f>AND(Bills!F378,"AAAAAFc3UZI=")</f>
        <v>#VALUE!</v>
      </c>
      <c r="ER107" t="e">
        <f>AND(Bills!#REF!,"AAAAAFc3UZM=")</f>
        <v>#REF!</v>
      </c>
      <c r="ES107" t="e">
        <f>AND(Bills!G378,"AAAAAFc3UZQ=")</f>
        <v>#VALUE!</v>
      </c>
      <c r="ET107" t="e">
        <f>AND(Bills!H378,"AAAAAFc3UZU=")</f>
        <v>#VALUE!</v>
      </c>
      <c r="EU107" t="e">
        <f>AND(Bills!I378,"AAAAAFc3UZY=")</f>
        <v>#VALUE!</v>
      </c>
      <c r="EV107" t="e">
        <f>AND(Bills!J378,"AAAAAFc3UZc=")</f>
        <v>#VALUE!</v>
      </c>
      <c r="EW107" t="e">
        <f>AND(Bills!K378,"AAAAAFc3UZg=")</f>
        <v>#VALUE!</v>
      </c>
      <c r="EX107" t="e">
        <f>AND(Bills!L378,"AAAAAFc3UZk=")</f>
        <v>#VALUE!</v>
      </c>
      <c r="EY107" t="e">
        <f>AND(Bills!#REF!,"AAAAAFc3UZo=")</f>
        <v>#REF!</v>
      </c>
      <c r="EZ107" t="e">
        <f>AND(Bills!M378,"AAAAAFc3UZs=")</f>
        <v>#VALUE!</v>
      </c>
      <c r="FA107" t="e">
        <f>AND(Bills!N378,"AAAAAFc3UZw=")</f>
        <v>#VALUE!</v>
      </c>
      <c r="FB107" t="e">
        <f>AND(Bills!O378,"AAAAAFc3UZ0=")</f>
        <v>#VALUE!</v>
      </c>
      <c r="FC107" t="e">
        <f>AND(Bills!P378,"AAAAAFc3UZ4=")</f>
        <v>#VALUE!</v>
      </c>
      <c r="FD107" t="e">
        <f>AND(Bills!Q378,"AAAAAFc3UZ8=")</f>
        <v>#VALUE!</v>
      </c>
      <c r="FE107" t="e">
        <f>AND(Bills!R378,"AAAAAFc3UaA=")</f>
        <v>#VALUE!</v>
      </c>
      <c r="FF107" t="e">
        <f>AND(Bills!S378,"AAAAAFc3UaE=")</f>
        <v>#VALUE!</v>
      </c>
      <c r="FG107" t="e">
        <f>AND(Bills!T378,"AAAAAFc3UaI=")</f>
        <v>#VALUE!</v>
      </c>
      <c r="FH107" t="e">
        <f>AND(Bills!#REF!,"AAAAAFc3UaM=")</f>
        <v>#REF!</v>
      </c>
      <c r="FI107" t="e">
        <f>AND(Bills!U378,"AAAAAFc3UaQ=")</f>
        <v>#VALUE!</v>
      </c>
      <c r="FJ107" t="e">
        <f>AND(Bills!V378,"AAAAAFc3UaU=")</f>
        <v>#VALUE!</v>
      </c>
      <c r="FK107" t="e">
        <f>AND(Bills!W378,"AAAAAFc3UaY=")</f>
        <v>#VALUE!</v>
      </c>
      <c r="FL107" t="e">
        <f>AND(Bills!#REF!,"AAAAAFc3Uac=")</f>
        <v>#REF!</v>
      </c>
      <c r="FM107" t="e">
        <f>AND(Bills!#REF!,"AAAAAFc3Uag=")</f>
        <v>#REF!</v>
      </c>
      <c r="FN107" t="e">
        <f>AND(Bills!Y378,"AAAAAFc3Uak=")</f>
        <v>#VALUE!</v>
      </c>
      <c r="FO107" t="e">
        <f>AND(Bills!Z378,"AAAAAFc3Uao=")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AND(Bills!AA378,"AAAAAFc3UbQ=")</f>
        <v>#VALUE!</v>
      </c>
      <c r="FZ107" t="e">
        <f>AND(Bills!AB378,"AAAAAFc3UbU=")</f>
        <v>#VALUE!</v>
      </c>
      <c r="GA107" t="e">
        <f>AND(Bills!#REF!,"AAAAAFc3UbY=")</f>
        <v>#REF!</v>
      </c>
      <c r="GB107" t="e">
        <f>AND(Bills!#REF!,"AAAAAFc3Ubc=")</f>
        <v>#REF!</v>
      </c>
      <c r="GC107" t="e">
        <f>AND(Bills!#REF!,"AAAAAFc3Ubg=")</f>
        <v>#REF!</v>
      </c>
      <c r="GD107" t="e">
        <f>AND(Bills!AC378,"AAAAAFc3Ubk=")</f>
        <v>#VALUE!</v>
      </c>
      <c r="GE107" t="e">
        <f>AND(Bills!AD378,"AAAAAFc3Ubo=")</f>
        <v>#VALUE!</v>
      </c>
      <c r="GF107" t="e">
        <f>AND(Bills!#REF!,"AAAAAFc3Ubs=")</f>
        <v>#REF!</v>
      </c>
      <c r="GG107">
        <f>IF(Bills!379:379,"AAAAAFc3Ubw=",0)</f>
        <v>0</v>
      </c>
      <c r="GH107" t="e">
        <f>AND(Bills!B379,"AAAAAFc3Ub0=")</f>
        <v>#VALUE!</v>
      </c>
      <c r="GI107" t="e">
        <f>AND(Bills!#REF!,"AAAAAFc3Ub4=")</f>
        <v>#REF!</v>
      </c>
      <c r="GJ107" t="e">
        <f>AND(Bills!C379,"AAAAAFc3Ub8=")</f>
        <v>#VALUE!</v>
      </c>
      <c r="GK107" t="e">
        <f>AND(Bills!D379,"AAAAAFc3UcA=")</f>
        <v>#VALUE!</v>
      </c>
      <c r="GL107" t="e">
        <f>AND(Bills!E379,"AAAAAFc3UcE=")</f>
        <v>#VALUE!</v>
      </c>
      <c r="GM107" t="e">
        <f>AND(Bills!#REF!,"AAAAAFc3UcI=")</f>
        <v>#REF!</v>
      </c>
      <c r="GN107" t="e">
        <f>AND(Bills!#REF!,"AAAAAFc3UcM=")</f>
        <v>#REF!</v>
      </c>
      <c r="GO107" t="e">
        <f>AND(Bills!#REF!,"AAAAAFc3UcQ=")</f>
        <v>#REF!</v>
      </c>
      <c r="GP107" t="e">
        <f>AND(Bills!F379,"AAAAAFc3UcU=")</f>
        <v>#VALUE!</v>
      </c>
      <c r="GQ107" t="e">
        <f>AND(Bills!#REF!,"AAAAAFc3UcY=")</f>
        <v>#REF!</v>
      </c>
      <c r="GR107" t="e">
        <f>AND(Bills!G379,"AAAAAFc3Ucc=")</f>
        <v>#VALUE!</v>
      </c>
      <c r="GS107" t="e">
        <f>AND(Bills!H379,"AAAAAFc3Ucg=")</f>
        <v>#VALUE!</v>
      </c>
      <c r="GT107" t="e">
        <f>AND(Bills!I379,"AAAAAFc3Uck=")</f>
        <v>#VALUE!</v>
      </c>
      <c r="GU107" t="e">
        <f>AND(Bills!J379,"AAAAAFc3Uco=")</f>
        <v>#VALUE!</v>
      </c>
      <c r="GV107" t="e">
        <f>AND(Bills!K379,"AAAAAFc3Ucs=")</f>
        <v>#VALUE!</v>
      </c>
      <c r="GW107" t="e">
        <f>AND(Bills!L379,"AAAAAFc3Ucw=")</f>
        <v>#VALUE!</v>
      </c>
      <c r="GX107" t="e">
        <f>AND(Bills!#REF!,"AAAAAFc3Uc0=")</f>
        <v>#REF!</v>
      </c>
      <c r="GY107" t="e">
        <f>AND(Bills!M379,"AAAAAFc3Uc4=")</f>
        <v>#VALUE!</v>
      </c>
      <c r="GZ107" t="e">
        <f>AND(Bills!N379,"AAAAAFc3Uc8=")</f>
        <v>#VALUE!</v>
      </c>
      <c r="HA107" t="e">
        <f>AND(Bills!O379,"AAAAAFc3UdA=")</f>
        <v>#VALUE!</v>
      </c>
      <c r="HB107" t="e">
        <f>AND(Bills!P379,"AAAAAFc3UdE=")</f>
        <v>#VALUE!</v>
      </c>
      <c r="HC107" t="e">
        <f>AND(Bills!Q379,"AAAAAFc3UdI=")</f>
        <v>#VALUE!</v>
      </c>
      <c r="HD107" t="e">
        <f>AND(Bills!R379,"AAAAAFc3UdM=")</f>
        <v>#VALUE!</v>
      </c>
      <c r="HE107" t="e">
        <f>AND(Bills!S379,"AAAAAFc3UdQ=")</f>
        <v>#VALUE!</v>
      </c>
      <c r="HF107" t="e">
        <f>AND(Bills!T379,"AAAAAFc3UdU=")</f>
        <v>#VALUE!</v>
      </c>
      <c r="HG107" t="e">
        <f>AND(Bills!#REF!,"AAAAAFc3UdY=")</f>
        <v>#REF!</v>
      </c>
      <c r="HH107" t="e">
        <f>AND(Bills!U379,"AAAAAFc3Udc=")</f>
        <v>#VALUE!</v>
      </c>
      <c r="HI107" t="e">
        <f>AND(Bills!V379,"AAAAAFc3Udg=")</f>
        <v>#VALUE!</v>
      </c>
      <c r="HJ107" t="e">
        <f>AND(Bills!W379,"AAAAAFc3Udk=")</f>
        <v>#VALUE!</v>
      </c>
      <c r="HK107" t="e">
        <f>AND(Bills!#REF!,"AAAAAFc3Udo=")</f>
        <v>#REF!</v>
      </c>
      <c r="HL107" t="e">
        <f>AND(Bills!#REF!,"AAAAAFc3Uds=")</f>
        <v>#REF!</v>
      </c>
      <c r="HM107" t="e">
        <f>AND(Bills!Y379,"AAAAAFc3Udw=")</f>
        <v>#VALUE!</v>
      </c>
      <c r="HN107" t="e">
        <f>AND(Bills!Z379,"AAAAAFc3Ud0=")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AND(Bills!AA379,"AAAAAFc3Uec=")</f>
        <v>#VALUE!</v>
      </c>
      <c r="HY107" t="e">
        <f>AND(Bills!AB379,"AAAAAFc3Ueg=")</f>
        <v>#VALUE!</v>
      </c>
      <c r="HZ107" t="e">
        <f>AND(Bills!#REF!,"AAAAAFc3Uek=")</f>
        <v>#REF!</v>
      </c>
      <c r="IA107" t="e">
        <f>AND(Bills!#REF!,"AAAAAFc3Ueo=")</f>
        <v>#REF!</v>
      </c>
      <c r="IB107" t="e">
        <f>AND(Bills!#REF!,"AAAAAFc3Ues=")</f>
        <v>#REF!</v>
      </c>
      <c r="IC107" t="e">
        <f>AND(Bills!AC379,"AAAAAFc3Uew=")</f>
        <v>#VALUE!</v>
      </c>
      <c r="ID107" t="e">
        <f>AND(Bills!AD379,"AAAAAFc3Ue0=")</f>
        <v>#VALUE!</v>
      </c>
      <c r="IE107" t="e">
        <f>AND(Bills!#REF!,"AAAAAFc3Ue4=")</f>
        <v>#REF!</v>
      </c>
      <c r="IF107">
        <f>IF(Bills!380:380,"AAAAAFc3Ue8=",0)</f>
        <v>0</v>
      </c>
      <c r="IG107" t="e">
        <f>AND(Bills!B380,"AAAAAFc3UfA=")</f>
        <v>#VALUE!</v>
      </c>
      <c r="IH107" t="e">
        <f>AND(Bills!#REF!,"AAAAAFc3UfE=")</f>
        <v>#REF!</v>
      </c>
      <c r="II107" t="e">
        <f>AND(Bills!C380,"AAAAAFc3UfI=")</f>
        <v>#VALUE!</v>
      </c>
      <c r="IJ107" t="e">
        <f>AND(Bills!D380,"AAAAAFc3UfM=")</f>
        <v>#VALUE!</v>
      </c>
      <c r="IK107" t="e">
        <f>AND(Bills!E380,"AAAAAFc3UfQ=")</f>
        <v>#VALUE!</v>
      </c>
      <c r="IL107" t="e">
        <f>AND(Bills!#REF!,"AAAAAFc3UfU=")</f>
        <v>#REF!</v>
      </c>
      <c r="IM107" t="e">
        <f>AND(Bills!#REF!,"AAAAAFc3UfY=")</f>
        <v>#REF!</v>
      </c>
      <c r="IN107" t="e">
        <f>AND(Bills!#REF!,"AAAAAFc3Ufc=")</f>
        <v>#REF!</v>
      </c>
      <c r="IO107" t="e">
        <f>AND(Bills!F380,"AAAAAFc3Ufg=")</f>
        <v>#VALUE!</v>
      </c>
      <c r="IP107" t="e">
        <f>AND(Bills!#REF!,"AAAAAFc3Ufk=")</f>
        <v>#REF!</v>
      </c>
      <c r="IQ107" t="e">
        <f>AND(Bills!G380,"AAAAAFc3Ufo=")</f>
        <v>#VALUE!</v>
      </c>
      <c r="IR107" t="e">
        <f>AND(Bills!H380,"AAAAAFc3Ufs=")</f>
        <v>#VALUE!</v>
      </c>
      <c r="IS107" t="e">
        <f>AND(Bills!I380,"AAAAAFc3Ufw=")</f>
        <v>#VALUE!</v>
      </c>
      <c r="IT107" t="e">
        <f>AND(Bills!J380,"AAAAAFc3Uf0=")</f>
        <v>#VALUE!</v>
      </c>
      <c r="IU107" t="e">
        <f>AND(Bills!K380,"AAAAAFc3Uf4=")</f>
        <v>#VALUE!</v>
      </c>
      <c r="IV107" t="e">
        <f>AND(Bills!L380,"AAAAAFc3Uf8=")</f>
        <v>#VALUE!</v>
      </c>
    </row>
    <row r="108" spans="1:256">
      <c r="A108" t="e">
        <f>AND(Bills!#REF!,"AAAAAHP3/QA=")</f>
        <v>#REF!</v>
      </c>
      <c r="B108" t="e">
        <f>AND(Bills!M380,"AAAAAHP3/QE=")</f>
        <v>#VALUE!</v>
      </c>
      <c r="C108" t="e">
        <f>AND(Bills!N380,"AAAAAHP3/QI=")</f>
        <v>#VALUE!</v>
      </c>
      <c r="D108" t="e">
        <f>AND(Bills!O380,"AAAAAHP3/QM=")</f>
        <v>#VALUE!</v>
      </c>
      <c r="E108" t="e">
        <f>AND(Bills!P380,"AAAAAHP3/QQ=")</f>
        <v>#VALUE!</v>
      </c>
      <c r="F108" t="e">
        <f>AND(Bills!Q380,"AAAAAHP3/QU=")</f>
        <v>#VALUE!</v>
      </c>
      <c r="G108" t="e">
        <f>AND(Bills!R380,"AAAAAHP3/QY=")</f>
        <v>#VALUE!</v>
      </c>
      <c r="H108" t="e">
        <f>AND(Bills!S380,"AAAAAHP3/Qc=")</f>
        <v>#VALUE!</v>
      </c>
      <c r="I108" t="e">
        <f>AND(Bills!T380,"AAAAAHP3/Qg=")</f>
        <v>#VALUE!</v>
      </c>
      <c r="J108" t="e">
        <f>AND(Bills!#REF!,"AAAAAHP3/Qk=")</f>
        <v>#REF!</v>
      </c>
      <c r="K108" t="e">
        <f>AND(Bills!U380,"AAAAAHP3/Qo=")</f>
        <v>#VALUE!</v>
      </c>
      <c r="L108" t="e">
        <f>AND(Bills!V380,"AAAAAHP3/Qs=")</f>
        <v>#VALUE!</v>
      </c>
      <c r="M108" t="e">
        <f>AND(Bills!W380,"AAAAAHP3/Qw=")</f>
        <v>#VALUE!</v>
      </c>
      <c r="N108" t="e">
        <f>AND(Bills!#REF!,"AAAAAHP3/Q0=")</f>
        <v>#REF!</v>
      </c>
      <c r="O108" t="e">
        <f>AND(Bills!#REF!,"AAAAAHP3/Q4=")</f>
        <v>#REF!</v>
      </c>
      <c r="P108" t="e">
        <f>AND(Bills!Y380,"AAAAAHP3/Q8=")</f>
        <v>#VALUE!</v>
      </c>
      <c r="Q108" t="e">
        <f>AND(Bills!Z380,"AAAAAHP3/RA=")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AND(Bills!AA380,"AAAAAHP3/Ro=")</f>
        <v>#VALUE!</v>
      </c>
      <c r="AB108" t="e">
        <f>AND(Bills!AB380,"AAAAAHP3/Rs=")</f>
        <v>#VALUE!</v>
      </c>
      <c r="AC108" t="e">
        <f>AND(Bills!#REF!,"AAAAAHP3/Rw=")</f>
        <v>#REF!</v>
      </c>
      <c r="AD108" t="e">
        <f>AND(Bills!#REF!,"AAAAAHP3/R0=")</f>
        <v>#REF!</v>
      </c>
      <c r="AE108" t="e">
        <f>AND(Bills!#REF!,"AAAAAHP3/R4=")</f>
        <v>#REF!</v>
      </c>
      <c r="AF108" t="e">
        <f>AND(Bills!AC380,"AAAAAHP3/R8=")</f>
        <v>#VALUE!</v>
      </c>
      <c r="AG108" t="e">
        <f>AND(Bills!AD380,"AAAAAHP3/SA=")</f>
        <v>#VALUE!</v>
      </c>
      <c r="AH108" t="e">
        <f>AND(Bills!#REF!,"AAAAAHP3/SE=")</f>
        <v>#REF!</v>
      </c>
      <c r="AI108">
        <f>IF(Bills!381:381,"AAAAAHP3/SI=",0)</f>
        <v>0</v>
      </c>
      <c r="AJ108" t="e">
        <f>AND(Bills!B381,"AAAAAHP3/SM=")</f>
        <v>#VALUE!</v>
      </c>
      <c r="AK108" t="e">
        <f>AND(Bills!#REF!,"AAAAAHP3/SQ=")</f>
        <v>#REF!</v>
      </c>
      <c r="AL108" t="e">
        <f>AND(Bills!C381,"AAAAAHP3/SU=")</f>
        <v>#VALUE!</v>
      </c>
      <c r="AM108" t="e">
        <f>AND(Bills!D381,"AAAAAHP3/SY=")</f>
        <v>#VALUE!</v>
      </c>
      <c r="AN108" t="e">
        <f>AND(Bills!E381,"AAAAAHP3/Sc=")</f>
        <v>#VALUE!</v>
      </c>
      <c r="AO108" t="e">
        <f>AND(Bills!#REF!,"AAAAAHP3/Sg=")</f>
        <v>#REF!</v>
      </c>
      <c r="AP108" t="e">
        <f>AND(Bills!#REF!,"AAAAAHP3/Sk=")</f>
        <v>#REF!</v>
      </c>
      <c r="AQ108" t="e">
        <f>AND(Bills!#REF!,"AAAAAHP3/So=")</f>
        <v>#REF!</v>
      </c>
      <c r="AR108" t="e">
        <f>AND(Bills!F381,"AAAAAHP3/Ss=")</f>
        <v>#VALUE!</v>
      </c>
      <c r="AS108" t="e">
        <f>AND(Bills!#REF!,"AAAAAHP3/Sw=")</f>
        <v>#REF!</v>
      </c>
      <c r="AT108" t="e">
        <f>AND(Bills!G381,"AAAAAHP3/S0=")</f>
        <v>#VALUE!</v>
      </c>
      <c r="AU108" t="e">
        <f>AND(Bills!H381,"AAAAAHP3/S4=")</f>
        <v>#VALUE!</v>
      </c>
      <c r="AV108" t="e">
        <f>AND(Bills!I381,"AAAAAHP3/S8=")</f>
        <v>#VALUE!</v>
      </c>
      <c r="AW108" t="e">
        <f>AND(Bills!J381,"AAAAAHP3/TA=")</f>
        <v>#VALUE!</v>
      </c>
      <c r="AX108" t="e">
        <f>AND(Bills!K381,"AAAAAHP3/TE=")</f>
        <v>#VALUE!</v>
      </c>
      <c r="AY108" t="e">
        <f>AND(Bills!L381,"AAAAAHP3/TI=")</f>
        <v>#VALUE!</v>
      </c>
      <c r="AZ108" t="e">
        <f>AND(Bills!#REF!,"AAAAAHP3/TM=")</f>
        <v>#REF!</v>
      </c>
      <c r="BA108" t="e">
        <f>AND(Bills!M381,"AAAAAHP3/TQ=")</f>
        <v>#VALUE!</v>
      </c>
      <c r="BB108" t="e">
        <f>AND(Bills!N381,"AAAAAHP3/TU=")</f>
        <v>#VALUE!</v>
      </c>
      <c r="BC108" t="e">
        <f>AND(Bills!O381,"AAAAAHP3/TY=")</f>
        <v>#VALUE!</v>
      </c>
      <c r="BD108" t="e">
        <f>AND(Bills!P381,"AAAAAHP3/Tc=")</f>
        <v>#VALUE!</v>
      </c>
      <c r="BE108" t="e">
        <f>AND(Bills!Q381,"AAAAAHP3/Tg=")</f>
        <v>#VALUE!</v>
      </c>
      <c r="BF108" t="e">
        <f>AND(Bills!R381,"AAAAAHP3/Tk=")</f>
        <v>#VALUE!</v>
      </c>
      <c r="BG108" t="e">
        <f>AND(Bills!S381,"AAAAAHP3/To=")</f>
        <v>#VALUE!</v>
      </c>
      <c r="BH108" t="e">
        <f>AND(Bills!T381,"AAAAAHP3/Ts=")</f>
        <v>#VALUE!</v>
      </c>
      <c r="BI108" t="e">
        <f>AND(Bills!#REF!,"AAAAAHP3/Tw=")</f>
        <v>#REF!</v>
      </c>
      <c r="BJ108" t="e">
        <f>AND(Bills!U381,"AAAAAHP3/T0=")</f>
        <v>#VALUE!</v>
      </c>
      <c r="BK108" t="e">
        <f>AND(Bills!V381,"AAAAAHP3/T4=")</f>
        <v>#VALUE!</v>
      </c>
      <c r="BL108" t="e">
        <f>AND(Bills!W381,"AAAAAHP3/T8=")</f>
        <v>#VALUE!</v>
      </c>
      <c r="BM108" t="e">
        <f>AND(Bills!#REF!,"AAAAAHP3/UA=")</f>
        <v>#REF!</v>
      </c>
      <c r="BN108" t="e">
        <f>AND(Bills!#REF!,"AAAAAHP3/UE=")</f>
        <v>#REF!</v>
      </c>
      <c r="BO108" t="e">
        <f>AND(Bills!Y381,"AAAAAHP3/UI=")</f>
        <v>#VALUE!</v>
      </c>
      <c r="BP108" t="e">
        <f>AND(Bills!Z381,"AAAAAHP3/UM=")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AND(Bills!AA381,"AAAAAHP3/U0=")</f>
        <v>#VALUE!</v>
      </c>
      <c r="CA108" t="e">
        <f>AND(Bills!AB381,"AAAAAHP3/U4=")</f>
        <v>#VALUE!</v>
      </c>
      <c r="CB108" t="e">
        <f>AND(Bills!#REF!,"AAAAAHP3/U8=")</f>
        <v>#REF!</v>
      </c>
      <c r="CC108" t="e">
        <f>AND(Bills!#REF!,"AAAAAHP3/VA=")</f>
        <v>#REF!</v>
      </c>
      <c r="CD108" t="e">
        <f>AND(Bills!#REF!,"AAAAAHP3/VE=")</f>
        <v>#REF!</v>
      </c>
      <c r="CE108" t="e">
        <f>AND(Bills!AC381,"AAAAAHP3/VI=")</f>
        <v>#VALUE!</v>
      </c>
      <c r="CF108" t="e">
        <f>AND(Bills!AD381,"AAAAAHP3/VM=")</f>
        <v>#VALUE!</v>
      </c>
      <c r="CG108" t="e">
        <f>AND(Bills!#REF!,"AAAAAHP3/VQ=")</f>
        <v>#REF!</v>
      </c>
      <c r="CH108">
        <f>IF(Bills!382:382,"AAAAAHP3/VU=",0)</f>
        <v>0</v>
      </c>
      <c r="CI108" t="e">
        <f>AND(Bills!B382,"AAAAAHP3/VY=")</f>
        <v>#VALUE!</v>
      </c>
      <c r="CJ108" t="e">
        <f>AND(Bills!#REF!,"AAAAAHP3/Vc=")</f>
        <v>#REF!</v>
      </c>
      <c r="CK108" t="e">
        <f>AND(Bills!C382,"AAAAAHP3/Vg=")</f>
        <v>#VALUE!</v>
      </c>
      <c r="CL108" t="e">
        <f>AND(Bills!D382,"AAAAAHP3/Vk=")</f>
        <v>#VALUE!</v>
      </c>
      <c r="CM108" t="e">
        <f>AND(Bills!E382,"AAAAAHP3/Vo=")</f>
        <v>#VALUE!</v>
      </c>
      <c r="CN108" t="e">
        <f>AND(Bills!#REF!,"AAAAAHP3/Vs=")</f>
        <v>#REF!</v>
      </c>
      <c r="CO108" t="e">
        <f>AND(Bills!#REF!,"AAAAAHP3/Vw=")</f>
        <v>#REF!</v>
      </c>
      <c r="CP108" t="e">
        <f>AND(Bills!#REF!,"AAAAAHP3/V0=")</f>
        <v>#REF!</v>
      </c>
      <c r="CQ108" t="e">
        <f>AND(Bills!F382,"AAAAAHP3/V4=")</f>
        <v>#VALUE!</v>
      </c>
      <c r="CR108" t="e">
        <f>AND(Bills!#REF!,"AAAAAHP3/V8=")</f>
        <v>#REF!</v>
      </c>
      <c r="CS108" t="e">
        <f>AND(Bills!G382,"AAAAAHP3/WA=")</f>
        <v>#VALUE!</v>
      </c>
      <c r="CT108" t="e">
        <f>AND(Bills!H382,"AAAAAHP3/WE=")</f>
        <v>#VALUE!</v>
      </c>
      <c r="CU108" t="e">
        <f>AND(Bills!I382,"AAAAAHP3/WI=")</f>
        <v>#VALUE!</v>
      </c>
      <c r="CV108" t="e">
        <f>AND(Bills!J382,"AAAAAHP3/WM=")</f>
        <v>#VALUE!</v>
      </c>
      <c r="CW108" t="e">
        <f>AND(Bills!K382,"AAAAAHP3/WQ=")</f>
        <v>#VALUE!</v>
      </c>
      <c r="CX108" t="e">
        <f>AND(Bills!L382,"AAAAAHP3/WU=")</f>
        <v>#VALUE!</v>
      </c>
      <c r="CY108" t="e">
        <f>AND(Bills!#REF!,"AAAAAHP3/WY=")</f>
        <v>#REF!</v>
      </c>
      <c r="CZ108" t="e">
        <f>AND(Bills!M382,"AAAAAHP3/Wc=")</f>
        <v>#VALUE!</v>
      </c>
      <c r="DA108" t="e">
        <f>AND(Bills!N382,"AAAAAHP3/Wg=")</f>
        <v>#VALUE!</v>
      </c>
      <c r="DB108" t="e">
        <f>AND(Bills!O382,"AAAAAHP3/Wk=")</f>
        <v>#VALUE!</v>
      </c>
      <c r="DC108" t="e">
        <f>AND(Bills!P382,"AAAAAHP3/Wo=")</f>
        <v>#VALUE!</v>
      </c>
      <c r="DD108" t="e">
        <f>AND(Bills!Q382,"AAAAAHP3/Ws=")</f>
        <v>#VALUE!</v>
      </c>
      <c r="DE108" t="e">
        <f>AND(Bills!R382,"AAAAAHP3/Ww=")</f>
        <v>#VALUE!</v>
      </c>
      <c r="DF108" t="e">
        <f>AND(Bills!S382,"AAAAAHP3/W0=")</f>
        <v>#VALUE!</v>
      </c>
      <c r="DG108" t="e">
        <f>AND(Bills!T382,"AAAAAHP3/W4=")</f>
        <v>#VALUE!</v>
      </c>
      <c r="DH108" t="e">
        <f>AND(Bills!#REF!,"AAAAAHP3/W8=")</f>
        <v>#REF!</v>
      </c>
      <c r="DI108" t="e">
        <f>AND(Bills!U382,"AAAAAHP3/XA=")</f>
        <v>#VALUE!</v>
      </c>
      <c r="DJ108" t="e">
        <f>AND(Bills!V382,"AAAAAHP3/XE=")</f>
        <v>#VALUE!</v>
      </c>
      <c r="DK108" t="e">
        <f>AND(Bills!W382,"AAAAAHP3/XI=")</f>
        <v>#VALUE!</v>
      </c>
      <c r="DL108" t="e">
        <f>AND(Bills!#REF!,"AAAAAHP3/XM=")</f>
        <v>#REF!</v>
      </c>
      <c r="DM108" t="e">
        <f>AND(Bills!#REF!,"AAAAAHP3/XQ=")</f>
        <v>#REF!</v>
      </c>
      <c r="DN108" t="e">
        <f>AND(Bills!Y382,"AAAAAHP3/XU=")</f>
        <v>#VALUE!</v>
      </c>
      <c r="DO108" t="e">
        <f>AND(Bills!Z382,"AAAAAHP3/XY=")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AND(Bills!AA382,"AAAAAHP3/YA=")</f>
        <v>#VALUE!</v>
      </c>
      <c r="DZ108" t="e">
        <f>AND(Bills!AB382,"AAAAAHP3/YE=")</f>
        <v>#VALUE!</v>
      </c>
      <c r="EA108" t="e">
        <f>AND(Bills!#REF!,"AAAAAHP3/YI=")</f>
        <v>#REF!</v>
      </c>
      <c r="EB108" t="e">
        <f>AND(Bills!#REF!,"AAAAAHP3/YM=")</f>
        <v>#REF!</v>
      </c>
      <c r="EC108" t="e">
        <f>AND(Bills!#REF!,"AAAAAHP3/YQ=")</f>
        <v>#REF!</v>
      </c>
      <c r="ED108" t="e">
        <f>AND(Bills!AC382,"AAAAAHP3/YU=")</f>
        <v>#VALUE!</v>
      </c>
      <c r="EE108" t="e">
        <f>AND(Bills!AD382,"AAAAAHP3/YY=")</f>
        <v>#VALUE!</v>
      </c>
      <c r="EF108" t="e">
        <f>AND(Bills!#REF!,"AAAAAHP3/Yc=")</f>
        <v>#REF!</v>
      </c>
      <c r="EG108">
        <f>IF(Bills!383:383,"AAAAAHP3/Yg=",0)</f>
        <v>0</v>
      </c>
      <c r="EH108" t="e">
        <f>AND(Bills!B383,"AAAAAHP3/Yk=")</f>
        <v>#VALUE!</v>
      </c>
      <c r="EI108" t="e">
        <f>AND(Bills!#REF!,"AAAAAHP3/Yo=")</f>
        <v>#REF!</v>
      </c>
      <c r="EJ108" t="e">
        <f>AND(Bills!C383,"AAAAAHP3/Ys=")</f>
        <v>#VALUE!</v>
      </c>
      <c r="EK108" t="e">
        <f>AND(Bills!D383,"AAAAAHP3/Yw=")</f>
        <v>#VALUE!</v>
      </c>
      <c r="EL108" t="e">
        <f>AND(Bills!E383,"AAAAAHP3/Y0=")</f>
        <v>#VALUE!</v>
      </c>
      <c r="EM108" t="e">
        <f>AND(Bills!#REF!,"AAAAAHP3/Y4=")</f>
        <v>#REF!</v>
      </c>
      <c r="EN108" t="e">
        <f>AND(Bills!#REF!,"AAAAAHP3/Y8=")</f>
        <v>#REF!</v>
      </c>
      <c r="EO108" t="e">
        <f>AND(Bills!#REF!,"AAAAAHP3/ZA=")</f>
        <v>#REF!</v>
      </c>
      <c r="EP108" t="e">
        <f>AND(Bills!F383,"AAAAAHP3/ZE=")</f>
        <v>#VALUE!</v>
      </c>
      <c r="EQ108" t="e">
        <f>AND(Bills!#REF!,"AAAAAHP3/ZI=")</f>
        <v>#REF!</v>
      </c>
      <c r="ER108" t="e">
        <f>AND(Bills!G383,"AAAAAHP3/ZM=")</f>
        <v>#VALUE!</v>
      </c>
      <c r="ES108" t="e">
        <f>AND(Bills!H383,"AAAAAHP3/ZQ=")</f>
        <v>#VALUE!</v>
      </c>
      <c r="ET108" t="e">
        <f>AND(Bills!I383,"AAAAAHP3/ZU=")</f>
        <v>#VALUE!</v>
      </c>
      <c r="EU108" t="e">
        <f>AND(Bills!J383,"AAAAAHP3/ZY=")</f>
        <v>#VALUE!</v>
      </c>
      <c r="EV108" t="e">
        <f>AND(Bills!K383,"AAAAAHP3/Zc=")</f>
        <v>#VALUE!</v>
      </c>
      <c r="EW108" t="e">
        <f>AND(Bills!L383,"AAAAAHP3/Zg=")</f>
        <v>#VALUE!</v>
      </c>
      <c r="EX108" t="e">
        <f>AND(Bills!#REF!,"AAAAAHP3/Zk=")</f>
        <v>#REF!</v>
      </c>
      <c r="EY108" t="e">
        <f>AND(Bills!M383,"AAAAAHP3/Zo=")</f>
        <v>#VALUE!</v>
      </c>
      <c r="EZ108" t="e">
        <f>AND(Bills!N383,"AAAAAHP3/Zs=")</f>
        <v>#VALUE!</v>
      </c>
      <c r="FA108" t="e">
        <f>AND(Bills!O383,"AAAAAHP3/Zw=")</f>
        <v>#VALUE!</v>
      </c>
      <c r="FB108" t="e">
        <f>AND(Bills!P383,"AAAAAHP3/Z0=")</f>
        <v>#VALUE!</v>
      </c>
      <c r="FC108" t="e">
        <f>AND(Bills!Q383,"AAAAAHP3/Z4=")</f>
        <v>#VALUE!</v>
      </c>
      <c r="FD108" t="e">
        <f>AND(Bills!R383,"AAAAAHP3/Z8=")</f>
        <v>#VALUE!</v>
      </c>
      <c r="FE108" t="e">
        <f>AND(Bills!S383,"AAAAAHP3/aA=")</f>
        <v>#VALUE!</v>
      </c>
      <c r="FF108" t="e">
        <f>AND(Bills!T383,"AAAAAHP3/aE=")</f>
        <v>#VALUE!</v>
      </c>
      <c r="FG108" t="e">
        <f>AND(Bills!#REF!,"AAAAAHP3/aI=")</f>
        <v>#REF!</v>
      </c>
      <c r="FH108" t="e">
        <f>AND(Bills!U383,"AAAAAHP3/aM=")</f>
        <v>#VALUE!</v>
      </c>
      <c r="FI108" t="e">
        <f>AND(Bills!V383,"AAAAAHP3/aQ=")</f>
        <v>#VALUE!</v>
      </c>
      <c r="FJ108" t="e">
        <f>AND(Bills!W383,"AAAAAHP3/aU=")</f>
        <v>#VALUE!</v>
      </c>
      <c r="FK108" t="e">
        <f>AND(Bills!#REF!,"AAAAAHP3/aY=")</f>
        <v>#REF!</v>
      </c>
      <c r="FL108" t="e">
        <f>AND(Bills!#REF!,"AAAAAHP3/ac=")</f>
        <v>#REF!</v>
      </c>
      <c r="FM108" t="e">
        <f>AND(Bills!Y383,"AAAAAHP3/ag=")</f>
        <v>#VALUE!</v>
      </c>
      <c r="FN108" t="e">
        <f>AND(Bills!Z383,"AAAAAHP3/ak=")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AND(Bills!AA383,"AAAAAHP3/bM=")</f>
        <v>#VALUE!</v>
      </c>
      <c r="FY108" t="e">
        <f>AND(Bills!AB383,"AAAAAHP3/bQ=")</f>
        <v>#VALUE!</v>
      </c>
      <c r="FZ108" t="e">
        <f>AND(Bills!#REF!,"AAAAAHP3/bU=")</f>
        <v>#REF!</v>
      </c>
      <c r="GA108" t="e">
        <f>AND(Bills!#REF!,"AAAAAHP3/bY=")</f>
        <v>#REF!</v>
      </c>
      <c r="GB108" t="e">
        <f>AND(Bills!#REF!,"AAAAAHP3/bc=")</f>
        <v>#REF!</v>
      </c>
      <c r="GC108" t="e">
        <f>AND(Bills!AC383,"AAAAAHP3/bg=")</f>
        <v>#VALUE!</v>
      </c>
      <c r="GD108" t="e">
        <f>AND(Bills!AD383,"AAAAAHP3/bk=")</f>
        <v>#VALUE!</v>
      </c>
      <c r="GE108" t="e">
        <f>AND(Bills!#REF!,"AAAAAHP3/bo=")</f>
        <v>#REF!</v>
      </c>
      <c r="GF108">
        <f>IF(Bills!384:384,"AAAAAHP3/bs=",0)</f>
        <v>0</v>
      </c>
      <c r="GG108" t="e">
        <f>AND(Bills!B384,"AAAAAHP3/bw=")</f>
        <v>#VALUE!</v>
      </c>
      <c r="GH108" t="e">
        <f>AND(Bills!#REF!,"AAAAAHP3/b0=")</f>
        <v>#REF!</v>
      </c>
      <c r="GI108" t="e">
        <f>AND(Bills!C384,"AAAAAHP3/b4=")</f>
        <v>#VALUE!</v>
      </c>
      <c r="GJ108" t="e">
        <f>AND(Bills!D384,"AAAAAHP3/b8=")</f>
        <v>#VALUE!</v>
      </c>
      <c r="GK108" t="e">
        <f>AND(Bills!E384,"AAAAAHP3/cA=")</f>
        <v>#VALUE!</v>
      </c>
      <c r="GL108" t="e">
        <f>AND(Bills!#REF!,"AAAAAHP3/cE=")</f>
        <v>#REF!</v>
      </c>
      <c r="GM108" t="e">
        <f>AND(Bills!#REF!,"AAAAAHP3/cI=")</f>
        <v>#REF!</v>
      </c>
      <c r="GN108" t="e">
        <f>AND(Bills!#REF!,"AAAAAHP3/cM=")</f>
        <v>#REF!</v>
      </c>
      <c r="GO108" t="e">
        <f>AND(Bills!F384,"AAAAAHP3/cQ=")</f>
        <v>#VALUE!</v>
      </c>
      <c r="GP108" t="e">
        <f>AND(Bills!#REF!,"AAAAAHP3/cU=")</f>
        <v>#REF!</v>
      </c>
      <c r="GQ108" t="e">
        <f>AND(Bills!G384,"AAAAAHP3/cY=")</f>
        <v>#VALUE!</v>
      </c>
      <c r="GR108" t="e">
        <f>AND(Bills!H384,"AAAAAHP3/cc=")</f>
        <v>#VALUE!</v>
      </c>
      <c r="GS108" t="e">
        <f>AND(Bills!I384,"AAAAAHP3/cg=")</f>
        <v>#VALUE!</v>
      </c>
      <c r="GT108" t="e">
        <f>AND(Bills!J384,"AAAAAHP3/ck=")</f>
        <v>#VALUE!</v>
      </c>
      <c r="GU108" t="e">
        <f>AND(Bills!K384,"AAAAAHP3/co=")</f>
        <v>#VALUE!</v>
      </c>
      <c r="GV108" t="e">
        <f>AND(Bills!L384,"AAAAAHP3/cs=")</f>
        <v>#VALUE!</v>
      </c>
      <c r="GW108" t="e">
        <f>AND(Bills!#REF!,"AAAAAHP3/cw=")</f>
        <v>#REF!</v>
      </c>
      <c r="GX108" t="e">
        <f>AND(Bills!M384,"AAAAAHP3/c0=")</f>
        <v>#VALUE!</v>
      </c>
      <c r="GY108" t="e">
        <f>AND(Bills!N384,"AAAAAHP3/c4=")</f>
        <v>#VALUE!</v>
      </c>
      <c r="GZ108" t="e">
        <f>AND(Bills!O384,"AAAAAHP3/c8=")</f>
        <v>#VALUE!</v>
      </c>
      <c r="HA108" t="e">
        <f>AND(Bills!P384,"AAAAAHP3/dA=")</f>
        <v>#VALUE!</v>
      </c>
      <c r="HB108" t="e">
        <f>AND(Bills!Q384,"AAAAAHP3/dE=")</f>
        <v>#VALUE!</v>
      </c>
      <c r="HC108" t="e">
        <f>AND(Bills!R384,"AAAAAHP3/dI=")</f>
        <v>#VALUE!</v>
      </c>
      <c r="HD108" t="e">
        <f>AND(Bills!S384,"AAAAAHP3/dM=")</f>
        <v>#VALUE!</v>
      </c>
      <c r="HE108" t="e">
        <f>AND(Bills!T384,"AAAAAHP3/dQ=")</f>
        <v>#VALUE!</v>
      </c>
      <c r="HF108" t="e">
        <f>AND(Bills!#REF!,"AAAAAHP3/dU=")</f>
        <v>#REF!</v>
      </c>
      <c r="HG108" t="e">
        <f>AND(Bills!U384,"AAAAAHP3/dY=")</f>
        <v>#VALUE!</v>
      </c>
      <c r="HH108" t="e">
        <f>AND(Bills!V384,"AAAAAHP3/dc=")</f>
        <v>#VALUE!</v>
      </c>
      <c r="HI108" t="e">
        <f>AND(Bills!W384,"AAAAAHP3/dg=")</f>
        <v>#VALUE!</v>
      </c>
      <c r="HJ108" t="e">
        <f>AND(Bills!#REF!,"AAAAAHP3/dk=")</f>
        <v>#REF!</v>
      </c>
      <c r="HK108" t="e">
        <f>AND(Bills!#REF!,"AAAAAHP3/do=")</f>
        <v>#REF!</v>
      </c>
      <c r="HL108" t="e">
        <f>AND(Bills!Y384,"AAAAAHP3/ds=")</f>
        <v>#VALUE!</v>
      </c>
      <c r="HM108" t="e">
        <f>AND(Bills!Z384,"AAAAAHP3/dw=")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AND(Bills!AA384,"AAAAAHP3/eY=")</f>
        <v>#VALUE!</v>
      </c>
      <c r="HX108" t="e">
        <f>AND(Bills!AB384,"AAAAAHP3/ec=")</f>
        <v>#VALUE!</v>
      </c>
      <c r="HY108" t="e">
        <f>AND(Bills!#REF!,"AAAAAHP3/eg=")</f>
        <v>#REF!</v>
      </c>
      <c r="HZ108" t="e">
        <f>AND(Bills!#REF!,"AAAAAHP3/ek=")</f>
        <v>#REF!</v>
      </c>
      <c r="IA108" t="e">
        <f>AND(Bills!#REF!,"AAAAAHP3/eo=")</f>
        <v>#REF!</v>
      </c>
      <c r="IB108" t="e">
        <f>AND(Bills!AC384,"AAAAAHP3/es=")</f>
        <v>#VALUE!</v>
      </c>
      <c r="IC108" t="e">
        <f>AND(Bills!AD384,"AAAAAHP3/ew=")</f>
        <v>#VALUE!</v>
      </c>
      <c r="ID108" t="e">
        <f>AND(Bills!#REF!,"AAAAAHP3/e0=")</f>
        <v>#REF!</v>
      </c>
      <c r="IE108">
        <f>IF(Bills!385:385,"AAAAAHP3/e4=",0)</f>
        <v>0</v>
      </c>
      <c r="IF108" t="e">
        <f>AND(Bills!B385,"AAAAAHP3/e8=")</f>
        <v>#VALUE!</v>
      </c>
      <c r="IG108" t="e">
        <f>AND(Bills!#REF!,"AAAAAHP3/fA=")</f>
        <v>#REF!</v>
      </c>
      <c r="IH108" t="e">
        <f>AND(Bills!C385,"AAAAAHP3/fE=")</f>
        <v>#VALUE!</v>
      </c>
      <c r="II108" t="e">
        <f>AND(Bills!D385,"AAAAAHP3/fI=")</f>
        <v>#VALUE!</v>
      </c>
      <c r="IJ108" t="e">
        <f>AND(Bills!E385,"AAAAAHP3/fM=")</f>
        <v>#VALUE!</v>
      </c>
      <c r="IK108" t="e">
        <f>AND(Bills!#REF!,"AAAAAHP3/fQ=")</f>
        <v>#REF!</v>
      </c>
      <c r="IL108" t="e">
        <f>AND(Bills!#REF!,"AAAAAHP3/fU=")</f>
        <v>#REF!</v>
      </c>
      <c r="IM108" t="e">
        <f>AND(Bills!#REF!,"AAAAAHP3/fY=")</f>
        <v>#REF!</v>
      </c>
      <c r="IN108" t="e">
        <f>AND(Bills!F385,"AAAAAHP3/fc=")</f>
        <v>#VALUE!</v>
      </c>
      <c r="IO108" t="e">
        <f>AND(Bills!#REF!,"AAAAAHP3/fg=")</f>
        <v>#REF!</v>
      </c>
      <c r="IP108" t="e">
        <f>AND(Bills!G385,"AAAAAHP3/fk=")</f>
        <v>#VALUE!</v>
      </c>
      <c r="IQ108" t="e">
        <f>AND(Bills!H385,"AAAAAHP3/fo=")</f>
        <v>#VALUE!</v>
      </c>
      <c r="IR108" t="e">
        <f>AND(Bills!I385,"AAAAAHP3/fs=")</f>
        <v>#VALUE!</v>
      </c>
      <c r="IS108" t="e">
        <f>AND(Bills!J385,"AAAAAHP3/fw=")</f>
        <v>#VALUE!</v>
      </c>
      <c r="IT108" t="e">
        <f>AND(Bills!K385,"AAAAAHP3/f0=")</f>
        <v>#VALUE!</v>
      </c>
      <c r="IU108" t="e">
        <f>AND(Bills!L385,"AAAAAHP3/f4=")</f>
        <v>#VALUE!</v>
      </c>
      <c r="IV108" t="e">
        <f>AND(Bills!#REF!,"AAAAAHP3/f8=")</f>
        <v>#REF!</v>
      </c>
    </row>
    <row r="109" spans="1:256">
      <c r="A109" t="e">
        <f>AND(Bills!M385,"AAAAAFv9pwA=")</f>
        <v>#VALUE!</v>
      </c>
      <c r="B109" t="e">
        <f>AND(Bills!N385,"AAAAAFv9pwE=")</f>
        <v>#VALUE!</v>
      </c>
      <c r="C109" t="e">
        <f>AND(Bills!O385,"AAAAAFv9pwI=")</f>
        <v>#VALUE!</v>
      </c>
      <c r="D109" t="e">
        <f>AND(Bills!P385,"AAAAAFv9pwM=")</f>
        <v>#VALUE!</v>
      </c>
      <c r="E109" t="e">
        <f>AND(Bills!Q385,"AAAAAFv9pwQ=")</f>
        <v>#VALUE!</v>
      </c>
      <c r="F109" t="e">
        <f>AND(Bills!R385,"AAAAAFv9pwU=")</f>
        <v>#VALUE!</v>
      </c>
      <c r="G109" t="e">
        <f>AND(Bills!S385,"AAAAAFv9pwY=")</f>
        <v>#VALUE!</v>
      </c>
      <c r="H109" t="e">
        <f>AND(Bills!T385,"AAAAAFv9pwc=")</f>
        <v>#VALUE!</v>
      </c>
      <c r="I109" t="e">
        <f>AND(Bills!#REF!,"AAAAAFv9pwg=")</f>
        <v>#REF!</v>
      </c>
      <c r="J109" t="e">
        <f>AND(Bills!U385,"AAAAAFv9pwk=")</f>
        <v>#VALUE!</v>
      </c>
      <c r="K109" t="e">
        <f>AND(Bills!V385,"AAAAAFv9pwo=")</f>
        <v>#VALUE!</v>
      </c>
      <c r="L109" t="e">
        <f>AND(Bills!W385,"AAAAAFv9pws=")</f>
        <v>#VALUE!</v>
      </c>
      <c r="M109" t="e">
        <f>AND(Bills!#REF!,"AAAAAFv9pww=")</f>
        <v>#REF!</v>
      </c>
      <c r="N109" t="e">
        <f>AND(Bills!#REF!,"AAAAAFv9pw0=")</f>
        <v>#REF!</v>
      </c>
      <c r="O109" t="e">
        <f>AND(Bills!Y385,"AAAAAFv9pw4=")</f>
        <v>#VALUE!</v>
      </c>
      <c r="P109" t="e">
        <f>AND(Bills!Z385,"AAAAAFv9pw8=")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AND(Bills!AA385,"AAAAAFv9pxk=")</f>
        <v>#VALUE!</v>
      </c>
      <c r="AA109" t="e">
        <f>AND(Bills!AB385,"AAAAAFv9pxo=")</f>
        <v>#VALUE!</v>
      </c>
      <c r="AB109" t="e">
        <f>AND(Bills!#REF!,"AAAAAFv9pxs=")</f>
        <v>#REF!</v>
      </c>
      <c r="AC109" t="e">
        <f>AND(Bills!#REF!,"AAAAAFv9pxw=")</f>
        <v>#REF!</v>
      </c>
      <c r="AD109" t="e">
        <f>AND(Bills!#REF!,"AAAAAFv9px0=")</f>
        <v>#REF!</v>
      </c>
      <c r="AE109" t="e">
        <f>AND(Bills!AC385,"AAAAAFv9px4=")</f>
        <v>#VALUE!</v>
      </c>
      <c r="AF109" t="e">
        <f>AND(Bills!AD385,"AAAAAFv9px8=")</f>
        <v>#VALUE!</v>
      </c>
      <c r="AG109" t="e">
        <f>AND(Bills!#REF!,"AAAAAFv9pyA=")</f>
        <v>#REF!</v>
      </c>
      <c r="AH109">
        <f>IF(Bills!386:386,"AAAAAFv9pyE=",0)</f>
        <v>0</v>
      </c>
      <c r="AI109" t="e">
        <f>AND(Bills!B386,"AAAAAFv9pyI=")</f>
        <v>#VALUE!</v>
      </c>
      <c r="AJ109" t="e">
        <f>AND(Bills!#REF!,"AAAAAFv9pyM=")</f>
        <v>#REF!</v>
      </c>
      <c r="AK109" t="e">
        <f>AND(Bills!C386,"AAAAAFv9pyQ=")</f>
        <v>#VALUE!</v>
      </c>
      <c r="AL109" t="e">
        <f>AND(Bills!D386,"AAAAAFv9pyU=")</f>
        <v>#VALUE!</v>
      </c>
      <c r="AM109" t="e">
        <f>AND(Bills!E386,"AAAAAFv9pyY=")</f>
        <v>#VALUE!</v>
      </c>
      <c r="AN109" t="e">
        <f>AND(Bills!#REF!,"AAAAAFv9pyc=")</f>
        <v>#REF!</v>
      </c>
      <c r="AO109" t="e">
        <f>AND(Bills!#REF!,"AAAAAFv9pyg=")</f>
        <v>#REF!</v>
      </c>
      <c r="AP109" t="e">
        <f>AND(Bills!#REF!,"AAAAAFv9pyk=")</f>
        <v>#REF!</v>
      </c>
      <c r="AQ109" t="e">
        <f>AND(Bills!F386,"AAAAAFv9pyo=")</f>
        <v>#VALUE!</v>
      </c>
      <c r="AR109" t="e">
        <f>AND(Bills!#REF!,"AAAAAFv9pys=")</f>
        <v>#REF!</v>
      </c>
      <c r="AS109" t="e">
        <f>AND(Bills!G386,"AAAAAFv9pyw=")</f>
        <v>#VALUE!</v>
      </c>
      <c r="AT109" t="e">
        <f>AND(Bills!H386,"AAAAAFv9py0=")</f>
        <v>#VALUE!</v>
      </c>
      <c r="AU109" t="e">
        <f>AND(Bills!I386,"AAAAAFv9py4=")</f>
        <v>#VALUE!</v>
      </c>
      <c r="AV109" t="e">
        <f>AND(Bills!J386,"AAAAAFv9py8=")</f>
        <v>#VALUE!</v>
      </c>
      <c r="AW109" t="e">
        <f>AND(Bills!K386,"AAAAAFv9pzA=")</f>
        <v>#VALUE!</v>
      </c>
      <c r="AX109" t="e">
        <f>AND(Bills!L386,"AAAAAFv9pzE=")</f>
        <v>#VALUE!</v>
      </c>
      <c r="AY109" t="e">
        <f>AND(Bills!#REF!,"AAAAAFv9pzI=")</f>
        <v>#REF!</v>
      </c>
      <c r="AZ109" t="e">
        <f>AND(Bills!M386,"AAAAAFv9pzM=")</f>
        <v>#VALUE!</v>
      </c>
      <c r="BA109" t="e">
        <f>AND(Bills!N386,"AAAAAFv9pzQ=")</f>
        <v>#VALUE!</v>
      </c>
      <c r="BB109" t="e">
        <f>AND(Bills!O386,"AAAAAFv9pzU=")</f>
        <v>#VALUE!</v>
      </c>
      <c r="BC109" t="e">
        <f>AND(Bills!P386,"AAAAAFv9pzY=")</f>
        <v>#VALUE!</v>
      </c>
      <c r="BD109" t="e">
        <f>AND(Bills!Q386,"AAAAAFv9pzc=")</f>
        <v>#VALUE!</v>
      </c>
      <c r="BE109" t="e">
        <f>AND(Bills!R386,"AAAAAFv9pzg=")</f>
        <v>#VALUE!</v>
      </c>
      <c r="BF109" t="e">
        <f>AND(Bills!S386,"AAAAAFv9pzk=")</f>
        <v>#VALUE!</v>
      </c>
      <c r="BG109" t="e">
        <f>AND(Bills!T386,"AAAAAFv9pzo=")</f>
        <v>#VALUE!</v>
      </c>
      <c r="BH109" t="e">
        <f>AND(Bills!#REF!,"AAAAAFv9pzs=")</f>
        <v>#REF!</v>
      </c>
      <c r="BI109" t="e">
        <f>AND(Bills!U386,"AAAAAFv9pzw=")</f>
        <v>#VALUE!</v>
      </c>
      <c r="BJ109" t="e">
        <f>AND(Bills!V386,"AAAAAFv9pz0=")</f>
        <v>#VALUE!</v>
      </c>
      <c r="BK109" t="e">
        <f>AND(Bills!W386,"AAAAAFv9pz4=")</f>
        <v>#VALUE!</v>
      </c>
      <c r="BL109" t="e">
        <f>AND(Bills!#REF!,"AAAAAFv9pz8=")</f>
        <v>#REF!</v>
      </c>
      <c r="BM109" t="e">
        <f>AND(Bills!#REF!,"AAAAAFv9p0A=")</f>
        <v>#REF!</v>
      </c>
      <c r="BN109" t="e">
        <f>AND(Bills!Y386,"AAAAAFv9p0E=")</f>
        <v>#VALUE!</v>
      </c>
      <c r="BO109" t="e">
        <f>AND(Bills!Z386,"AAAAAFv9p0I=")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AND(Bills!AA386,"AAAAAFv9p0w=")</f>
        <v>#VALUE!</v>
      </c>
      <c r="BZ109" t="e">
        <f>AND(Bills!AB386,"AAAAAFv9p00=")</f>
        <v>#VALUE!</v>
      </c>
      <c r="CA109" t="e">
        <f>AND(Bills!#REF!,"AAAAAFv9p04=")</f>
        <v>#REF!</v>
      </c>
      <c r="CB109" t="e">
        <f>AND(Bills!#REF!,"AAAAAFv9p08=")</f>
        <v>#REF!</v>
      </c>
      <c r="CC109" t="e">
        <f>AND(Bills!#REF!,"AAAAAFv9p1A=")</f>
        <v>#REF!</v>
      </c>
      <c r="CD109" t="e">
        <f>AND(Bills!AC386,"AAAAAFv9p1E=")</f>
        <v>#VALUE!</v>
      </c>
      <c r="CE109" t="e">
        <f>AND(Bills!AD386,"AAAAAFv9p1I=")</f>
        <v>#VALUE!</v>
      </c>
      <c r="CF109" t="e">
        <f>AND(Bills!#REF!,"AAAAAFv9p1M=")</f>
        <v>#REF!</v>
      </c>
      <c r="CG109">
        <f>IF(Bills!387:387,"AAAAAFv9p1Q=",0)</f>
        <v>0</v>
      </c>
      <c r="CH109" t="e">
        <f>AND(Bills!B387,"AAAAAFv9p1U=")</f>
        <v>#VALUE!</v>
      </c>
      <c r="CI109" t="e">
        <f>AND(Bills!#REF!,"AAAAAFv9p1Y=")</f>
        <v>#REF!</v>
      </c>
      <c r="CJ109" t="e">
        <f>AND(Bills!C387,"AAAAAFv9p1c=")</f>
        <v>#VALUE!</v>
      </c>
      <c r="CK109" t="e">
        <f>AND(Bills!D387,"AAAAAFv9p1g=")</f>
        <v>#VALUE!</v>
      </c>
      <c r="CL109" t="e">
        <f>AND(Bills!E387,"AAAAAFv9p1k=")</f>
        <v>#VALUE!</v>
      </c>
      <c r="CM109" t="e">
        <f>AND(Bills!#REF!,"AAAAAFv9p1o=")</f>
        <v>#REF!</v>
      </c>
      <c r="CN109" t="e">
        <f>AND(Bills!#REF!,"AAAAAFv9p1s=")</f>
        <v>#REF!</v>
      </c>
      <c r="CO109" t="e">
        <f>AND(Bills!#REF!,"AAAAAFv9p1w=")</f>
        <v>#REF!</v>
      </c>
      <c r="CP109" t="e">
        <f>AND(Bills!F387,"AAAAAFv9p10=")</f>
        <v>#VALUE!</v>
      </c>
      <c r="CQ109" t="e">
        <f>AND(Bills!#REF!,"AAAAAFv9p14=")</f>
        <v>#REF!</v>
      </c>
      <c r="CR109" t="e">
        <f>AND(Bills!G387,"AAAAAFv9p18=")</f>
        <v>#VALUE!</v>
      </c>
      <c r="CS109" t="e">
        <f>AND(Bills!H387,"AAAAAFv9p2A=")</f>
        <v>#VALUE!</v>
      </c>
      <c r="CT109" t="e">
        <f>AND(Bills!I387,"AAAAAFv9p2E=")</f>
        <v>#VALUE!</v>
      </c>
      <c r="CU109" t="e">
        <f>AND(Bills!J387,"AAAAAFv9p2I=")</f>
        <v>#VALUE!</v>
      </c>
      <c r="CV109" t="e">
        <f>AND(Bills!K387,"AAAAAFv9p2M=")</f>
        <v>#VALUE!</v>
      </c>
      <c r="CW109" t="e">
        <f>AND(Bills!L387,"AAAAAFv9p2Q=")</f>
        <v>#VALUE!</v>
      </c>
      <c r="CX109" t="e">
        <f>AND(Bills!#REF!,"AAAAAFv9p2U=")</f>
        <v>#REF!</v>
      </c>
      <c r="CY109" t="e">
        <f>AND(Bills!M387,"AAAAAFv9p2Y=")</f>
        <v>#VALUE!</v>
      </c>
      <c r="CZ109" t="e">
        <f>AND(Bills!N387,"AAAAAFv9p2c=")</f>
        <v>#VALUE!</v>
      </c>
      <c r="DA109" t="e">
        <f>AND(Bills!O387,"AAAAAFv9p2g=")</f>
        <v>#VALUE!</v>
      </c>
      <c r="DB109" t="e">
        <f>AND(Bills!P387,"AAAAAFv9p2k=")</f>
        <v>#VALUE!</v>
      </c>
      <c r="DC109" t="e">
        <f>AND(Bills!Q387,"AAAAAFv9p2o=")</f>
        <v>#VALUE!</v>
      </c>
      <c r="DD109" t="e">
        <f>AND(Bills!R387,"AAAAAFv9p2s=")</f>
        <v>#VALUE!</v>
      </c>
      <c r="DE109" t="e">
        <f>AND(Bills!S387,"AAAAAFv9p2w=")</f>
        <v>#VALUE!</v>
      </c>
      <c r="DF109" t="e">
        <f>AND(Bills!T387,"AAAAAFv9p20=")</f>
        <v>#VALUE!</v>
      </c>
      <c r="DG109" t="e">
        <f>AND(Bills!#REF!,"AAAAAFv9p24=")</f>
        <v>#REF!</v>
      </c>
      <c r="DH109" t="e">
        <f>AND(Bills!U387,"AAAAAFv9p28=")</f>
        <v>#VALUE!</v>
      </c>
      <c r="DI109" t="e">
        <f>AND(Bills!V387,"AAAAAFv9p3A=")</f>
        <v>#VALUE!</v>
      </c>
      <c r="DJ109" t="e">
        <f>AND(Bills!W387,"AAAAAFv9p3E=")</f>
        <v>#VALUE!</v>
      </c>
      <c r="DK109" t="e">
        <f>AND(Bills!#REF!,"AAAAAFv9p3I=")</f>
        <v>#REF!</v>
      </c>
      <c r="DL109" t="e">
        <f>AND(Bills!#REF!,"AAAAAFv9p3M=")</f>
        <v>#REF!</v>
      </c>
      <c r="DM109" t="e">
        <f>AND(Bills!Y387,"AAAAAFv9p3Q=")</f>
        <v>#VALUE!</v>
      </c>
      <c r="DN109" t="e">
        <f>AND(Bills!Z387,"AAAAAFv9p3U=")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AND(Bills!AA387,"AAAAAFv9p38=")</f>
        <v>#VALUE!</v>
      </c>
      <c r="DY109" t="e">
        <f>AND(Bills!AB387,"AAAAAFv9p4A=")</f>
        <v>#VALUE!</v>
      </c>
      <c r="DZ109" t="e">
        <f>AND(Bills!#REF!,"AAAAAFv9p4E=")</f>
        <v>#REF!</v>
      </c>
      <c r="EA109" t="e">
        <f>AND(Bills!#REF!,"AAAAAFv9p4I=")</f>
        <v>#REF!</v>
      </c>
      <c r="EB109" t="e">
        <f>AND(Bills!#REF!,"AAAAAFv9p4M=")</f>
        <v>#REF!</v>
      </c>
      <c r="EC109" t="e">
        <f>AND(Bills!AC387,"AAAAAFv9p4Q=")</f>
        <v>#VALUE!</v>
      </c>
      <c r="ED109" t="e">
        <f>AND(Bills!AD387,"AAAAAFv9p4U=")</f>
        <v>#VALUE!</v>
      </c>
      <c r="EE109" t="e">
        <f>AND(Bills!#REF!,"AAAAAFv9p4Y=")</f>
        <v>#REF!</v>
      </c>
      <c r="EF109">
        <f>IF(Bills!388:388,"AAAAAFv9p4c=",0)</f>
        <v>0</v>
      </c>
      <c r="EG109" t="e">
        <f>AND(Bills!B388,"AAAAAFv9p4g=")</f>
        <v>#VALUE!</v>
      </c>
      <c r="EH109" t="e">
        <f>AND(Bills!#REF!,"AAAAAFv9p4k=")</f>
        <v>#REF!</v>
      </c>
      <c r="EI109" t="e">
        <f>AND(Bills!C388,"AAAAAFv9p4o=")</f>
        <v>#VALUE!</v>
      </c>
      <c r="EJ109" t="e">
        <f>AND(Bills!D388,"AAAAAFv9p4s=")</f>
        <v>#VALUE!</v>
      </c>
      <c r="EK109" t="e">
        <f>AND(Bills!E388,"AAAAAFv9p4w=")</f>
        <v>#VALUE!</v>
      </c>
      <c r="EL109" t="e">
        <f>AND(Bills!#REF!,"AAAAAFv9p40=")</f>
        <v>#REF!</v>
      </c>
      <c r="EM109" t="e">
        <f>AND(Bills!#REF!,"AAAAAFv9p44=")</f>
        <v>#REF!</v>
      </c>
      <c r="EN109" t="e">
        <f>AND(Bills!#REF!,"AAAAAFv9p48=")</f>
        <v>#REF!</v>
      </c>
      <c r="EO109" t="e">
        <f>AND(Bills!F388,"AAAAAFv9p5A=")</f>
        <v>#VALUE!</v>
      </c>
      <c r="EP109" t="e">
        <f>AND(Bills!#REF!,"AAAAAFv9p5E=")</f>
        <v>#REF!</v>
      </c>
      <c r="EQ109" t="e">
        <f>AND(Bills!G388,"AAAAAFv9p5I=")</f>
        <v>#VALUE!</v>
      </c>
      <c r="ER109" t="e">
        <f>AND(Bills!H388,"AAAAAFv9p5M=")</f>
        <v>#VALUE!</v>
      </c>
      <c r="ES109" t="e">
        <f>AND(Bills!I388,"AAAAAFv9p5Q=")</f>
        <v>#VALUE!</v>
      </c>
      <c r="ET109" t="e">
        <f>AND(Bills!J388,"AAAAAFv9p5U=")</f>
        <v>#VALUE!</v>
      </c>
      <c r="EU109" t="e">
        <f>AND(Bills!K388,"AAAAAFv9p5Y=")</f>
        <v>#VALUE!</v>
      </c>
      <c r="EV109" t="e">
        <f>AND(Bills!L388,"AAAAAFv9p5c=")</f>
        <v>#VALUE!</v>
      </c>
      <c r="EW109" t="e">
        <f>AND(Bills!#REF!,"AAAAAFv9p5g=")</f>
        <v>#REF!</v>
      </c>
      <c r="EX109" t="e">
        <f>AND(Bills!M388,"AAAAAFv9p5k=")</f>
        <v>#VALUE!</v>
      </c>
      <c r="EY109" t="e">
        <f>AND(Bills!N388,"AAAAAFv9p5o=")</f>
        <v>#VALUE!</v>
      </c>
      <c r="EZ109" t="e">
        <f>AND(Bills!O388,"AAAAAFv9p5s=")</f>
        <v>#VALUE!</v>
      </c>
      <c r="FA109" t="e">
        <f>AND(Bills!P388,"AAAAAFv9p5w=")</f>
        <v>#VALUE!</v>
      </c>
      <c r="FB109" t="e">
        <f>AND(Bills!Q388,"AAAAAFv9p50=")</f>
        <v>#VALUE!</v>
      </c>
      <c r="FC109" t="e">
        <f>AND(Bills!R388,"AAAAAFv9p54=")</f>
        <v>#VALUE!</v>
      </c>
      <c r="FD109" t="e">
        <f>AND(Bills!S388,"AAAAAFv9p58=")</f>
        <v>#VALUE!</v>
      </c>
      <c r="FE109" t="e">
        <f>AND(Bills!T388,"AAAAAFv9p6A=")</f>
        <v>#VALUE!</v>
      </c>
      <c r="FF109" t="e">
        <f>AND(Bills!#REF!,"AAAAAFv9p6E=")</f>
        <v>#REF!</v>
      </c>
      <c r="FG109" t="e">
        <f>AND(Bills!U388,"AAAAAFv9p6I=")</f>
        <v>#VALUE!</v>
      </c>
      <c r="FH109" t="e">
        <f>AND(Bills!V388,"AAAAAFv9p6M=")</f>
        <v>#VALUE!</v>
      </c>
      <c r="FI109" t="e">
        <f>AND(Bills!W388,"AAAAAFv9p6Q=")</f>
        <v>#VALUE!</v>
      </c>
      <c r="FJ109" t="e">
        <f>AND(Bills!#REF!,"AAAAAFv9p6U=")</f>
        <v>#REF!</v>
      </c>
      <c r="FK109" t="e">
        <f>AND(Bills!#REF!,"AAAAAFv9p6Y=")</f>
        <v>#REF!</v>
      </c>
      <c r="FL109" t="e">
        <f>AND(Bills!Y388,"AAAAAFv9p6c=")</f>
        <v>#VALUE!</v>
      </c>
      <c r="FM109" t="e">
        <f>AND(Bills!Z388,"AAAAAFv9p6g=")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AND(Bills!AA388,"AAAAAFv9p7I=")</f>
        <v>#VALUE!</v>
      </c>
      <c r="FX109" t="e">
        <f>AND(Bills!AB388,"AAAAAFv9p7M=")</f>
        <v>#VALUE!</v>
      </c>
      <c r="FY109" t="e">
        <f>AND(Bills!#REF!,"AAAAAFv9p7Q=")</f>
        <v>#REF!</v>
      </c>
      <c r="FZ109" t="e">
        <f>AND(Bills!#REF!,"AAAAAFv9p7U=")</f>
        <v>#REF!</v>
      </c>
      <c r="GA109" t="e">
        <f>AND(Bills!#REF!,"AAAAAFv9p7Y=")</f>
        <v>#REF!</v>
      </c>
      <c r="GB109" t="e">
        <f>AND(Bills!AC388,"AAAAAFv9p7c=")</f>
        <v>#VALUE!</v>
      </c>
      <c r="GC109" t="e">
        <f>AND(Bills!AD388,"AAAAAFv9p7g=")</f>
        <v>#VALUE!</v>
      </c>
      <c r="GD109" t="e">
        <f>AND(Bills!#REF!,"AAAAAFv9p7k=")</f>
        <v>#REF!</v>
      </c>
      <c r="GE109">
        <f>IF(Bills!389:389,"AAAAAFv9p7o=",0)</f>
        <v>0</v>
      </c>
      <c r="GF109" t="e">
        <f>AND(Bills!B389,"AAAAAFv9p7s=")</f>
        <v>#VALUE!</v>
      </c>
      <c r="GG109" t="e">
        <f>AND(Bills!#REF!,"AAAAAFv9p7w=")</f>
        <v>#REF!</v>
      </c>
      <c r="GH109" t="e">
        <f>AND(Bills!C389,"AAAAAFv9p70=")</f>
        <v>#VALUE!</v>
      </c>
      <c r="GI109" t="e">
        <f>AND(Bills!D389,"AAAAAFv9p74=")</f>
        <v>#VALUE!</v>
      </c>
      <c r="GJ109" t="e">
        <f>AND(Bills!E389,"AAAAAFv9p78=")</f>
        <v>#VALUE!</v>
      </c>
      <c r="GK109" t="e">
        <f>AND(Bills!#REF!,"AAAAAFv9p8A=")</f>
        <v>#REF!</v>
      </c>
      <c r="GL109" t="e">
        <f>AND(Bills!#REF!,"AAAAAFv9p8E=")</f>
        <v>#REF!</v>
      </c>
      <c r="GM109" t="e">
        <f>AND(Bills!#REF!,"AAAAAFv9p8I=")</f>
        <v>#REF!</v>
      </c>
      <c r="GN109" t="e">
        <f>AND(Bills!F389,"AAAAAFv9p8M=")</f>
        <v>#VALUE!</v>
      </c>
      <c r="GO109" t="e">
        <f>AND(Bills!#REF!,"AAAAAFv9p8Q=")</f>
        <v>#REF!</v>
      </c>
      <c r="GP109" t="e">
        <f>AND(Bills!G389,"AAAAAFv9p8U=")</f>
        <v>#VALUE!</v>
      </c>
      <c r="GQ109" t="e">
        <f>AND(Bills!H389,"AAAAAFv9p8Y=")</f>
        <v>#VALUE!</v>
      </c>
      <c r="GR109" t="e">
        <f>AND(Bills!I389,"AAAAAFv9p8c=")</f>
        <v>#VALUE!</v>
      </c>
      <c r="GS109" t="e">
        <f>AND(Bills!J389,"AAAAAFv9p8g=")</f>
        <v>#VALUE!</v>
      </c>
      <c r="GT109" t="e">
        <f>AND(Bills!K389,"AAAAAFv9p8k=")</f>
        <v>#VALUE!</v>
      </c>
      <c r="GU109" t="e">
        <f>AND(Bills!L389,"AAAAAFv9p8o=")</f>
        <v>#VALUE!</v>
      </c>
      <c r="GV109" t="e">
        <f>AND(Bills!#REF!,"AAAAAFv9p8s=")</f>
        <v>#REF!</v>
      </c>
      <c r="GW109" t="e">
        <f>AND(Bills!M389,"AAAAAFv9p8w=")</f>
        <v>#VALUE!</v>
      </c>
      <c r="GX109" t="e">
        <f>AND(Bills!N389,"AAAAAFv9p80=")</f>
        <v>#VALUE!</v>
      </c>
      <c r="GY109" t="e">
        <f>AND(Bills!O389,"AAAAAFv9p84=")</f>
        <v>#VALUE!</v>
      </c>
      <c r="GZ109" t="e">
        <f>AND(Bills!P389,"AAAAAFv9p88=")</f>
        <v>#VALUE!</v>
      </c>
      <c r="HA109" t="e">
        <f>AND(Bills!Q389,"AAAAAFv9p9A=")</f>
        <v>#VALUE!</v>
      </c>
      <c r="HB109" t="e">
        <f>AND(Bills!R389,"AAAAAFv9p9E=")</f>
        <v>#VALUE!</v>
      </c>
      <c r="HC109" t="e">
        <f>AND(Bills!S389,"AAAAAFv9p9I=")</f>
        <v>#VALUE!</v>
      </c>
      <c r="HD109" t="e">
        <f>AND(Bills!T389,"AAAAAFv9p9M=")</f>
        <v>#VALUE!</v>
      </c>
      <c r="HE109" t="e">
        <f>AND(Bills!#REF!,"AAAAAFv9p9Q=")</f>
        <v>#REF!</v>
      </c>
      <c r="HF109" t="e">
        <f>AND(Bills!U389,"AAAAAFv9p9U=")</f>
        <v>#VALUE!</v>
      </c>
      <c r="HG109" t="e">
        <f>AND(Bills!V389,"AAAAAFv9p9Y=")</f>
        <v>#VALUE!</v>
      </c>
      <c r="HH109" t="e">
        <f>AND(Bills!W389,"AAAAAFv9p9c=")</f>
        <v>#VALUE!</v>
      </c>
      <c r="HI109" t="e">
        <f>AND(Bills!#REF!,"AAAAAFv9p9g=")</f>
        <v>#REF!</v>
      </c>
      <c r="HJ109" t="e">
        <f>AND(Bills!#REF!,"AAAAAFv9p9k=")</f>
        <v>#REF!</v>
      </c>
      <c r="HK109" t="e">
        <f>AND(Bills!Y389,"AAAAAFv9p9o=")</f>
        <v>#VALUE!</v>
      </c>
      <c r="HL109" t="e">
        <f>AND(Bills!Z389,"AAAAAFv9p9s=")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AND(Bills!AA389,"AAAAAFv9p+U=")</f>
        <v>#VALUE!</v>
      </c>
      <c r="HW109" t="e">
        <f>AND(Bills!AB389,"AAAAAFv9p+Y=")</f>
        <v>#VALUE!</v>
      </c>
      <c r="HX109" t="e">
        <f>AND(Bills!#REF!,"AAAAAFv9p+c=")</f>
        <v>#REF!</v>
      </c>
      <c r="HY109" t="e">
        <f>AND(Bills!#REF!,"AAAAAFv9p+g=")</f>
        <v>#REF!</v>
      </c>
      <c r="HZ109" t="e">
        <f>AND(Bills!#REF!,"AAAAAFv9p+k=")</f>
        <v>#REF!</v>
      </c>
      <c r="IA109" t="e">
        <f>AND(Bills!AC389,"AAAAAFv9p+o=")</f>
        <v>#VALUE!</v>
      </c>
      <c r="IB109" t="e">
        <f>AND(Bills!AD389,"AAAAAFv9p+s=")</f>
        <v>#VALUE!</v>
      </c>
      <c r="IC109" t="e">
        <f>AND(Bills!#REF!,"AAAAAFv9p+w=")</f>
        <v>#REF!</v>
      </c>
      <c r="ID109">
        <f>IF(Bills!390:390,"AAAAAFv9p+0=",0)</f>
        <v>0</v>
      </c>
      <c r="IE109" t="e">
        <f>AND(Bills!B390,"AAAAAFv9p+4=")</f>
        <v>#VALUE!</v>
      </c>
      <c r="IF109" t="e">
        <f>AND(Bills!#REF!,"AAAAAFv9p+8=")</f>
        <v>#REF!</v>
      </c>
      <c r="IG109" t="e">
        <f>AND(Bills!C390,"AAAAAFv9p/A=")</f>
        <v>#VALUE!</v>
      </c>
      <c r="IH109" t="e">
        <f>AND(Bills!D390,"AAAAAFv9p/E=")</f>
        <v>#VALUE!</v>
      </c>
      <c r="II109" t="e">
        <f>AND(Bills!E390,"AAAAAFv9p/I=")</f>
        <v>#VALUE!</v>
      </c>
      <c r="IJ109" t="e">
        <f>AND(Bills!#REF!,"AAAAAFv9p/M=")</f>
        <v>#REF!</v>
      </c>
      <c r="IK109" t="e">
        <f>AND(Bills!#REF!,"AAAAAFv9p/Q=")</f>
        <v>#REF!</v>
      </c>
      <c r="IL109" t="e">
        <f>AND(Bills!#REF!,"AAAAAFv9p/U=")</f>
        <v>#REF!</v>
      </c>
      <c r="IM109" t="e">
        <f>AND(Bills!F390,"AAAAAFv9p/Y=")</f>
        <v>#VALUE!</v>
      </c>
      <c r="IN109" t="e">
        <f>AND(Bills!#REF!,"AAAAAFv9p/c=")</f>
        <v>#REF!</v>
      </c>
      <c r="IO109" t="e">
        <f>AND(Bills!G390,"AAAAAFv9p/g=")</f>
        <v>#VALUE!</v>
      </c>
      <c r="IP109" t="e">
        <f>AND(Bills!H390,"AAAAAFv9p/k=")</f>
        <v>#VALUE!</v>
      </c>
      <c r="IQ109" t="e">
        <f>AND(Bills!I390,"AAAAAFv9p/o=")</f>
        <v>#VALUE!</v>
      </c>
      <c r="IR109" t="e">
        <f>AND(Bills!J390,"AAAAAFv9p/s=")</f>
        <v>#VALUE!</v>
      </c>
      <c r="IS109" t="e">
        <f>AND(Bills!K390,"AAAAAFv9p/w=")</f>
        <v>#VALUE!</v>
      </c>
      <c r="IT109" t="e">
        <f>AND(Bills!L390,"AAAAAFv9p/0=")</f>
        <v>#VALUE!</v>
      </c>
      <c r="IU109" t="e">
        <f>AND(Bills!#REF!,"AAAAAFv9p/4=")</f>
        <v>#REF!</v>
      </c>
      <c r="IV109" t="e">
        <f>AND(Bills!M390,"AAAAAFv9p/8=")</f>
        <v>#VALUE!</v>
      </c>
    </row>
    <row r="110" spans="1:256">
      <c r="A110" t="e">
        <f>AND(Bills!N390,"AAAAAGL/rwA=")</f>
        <v>#VALUE!</v>
      </c>
      <c r="B110" t="e">
        <f>AND(Bills!O390,"AAAAAGL/rwE=")</f>
        <v>#VALUE!</v>
      </c>
      <c r="C110" t="e">
        <f>AND(Bills!P390,"AAAAAGL/rwI=")</f>
        <v>#VALUE!</v>
      </c>
      <c r="D110" t="e">
        <f>AND(Bills!Q390,"AAAAAGL/rwM=")</f>
        <v>#VALUE!</v>
      </c>
      <c r="E110" t="e">
        <f>AND(Bills!R390,"AAAAAGL/rwQ=")</f>
        <v>#VALUE!</v>
      </c>
      <c r="F110" t="e">
        <f>AND(Bills!S390,"AAAAAGL/rwU=")</f>
        <v>#VALUE!</v>
      </c>
      <c r="G110" t="e">
        <f>AND(Bills!T390,"AAAAAGL/rwY=")</f>
        <v>#VALUE!</v>
      </c>
      <c r="H110" t="e">
        <f>AND(Bills!#REF!,"AAAAAGL/rwc=")</f>
        <v>#REF!</v>
      </c>
      <c r="I110" t="e">
        <f>AND(Bills!U390,"AAAAAGL/rwg=")</f>
        <v>#VALUE!</v>
      </c>
      <c r="J110" t="e">
        <f>AND(Bills!V390,"AAAAAGL/rwk=")</f>
        <v>#VALUE!</v>
      </c>
      <c r="K110" t="e">
        <f>AND(Bills!W390,"AAAAAGL/rwo=")</f>
        <v>#VALUE!</v>
      </c>
      <c r="L110" t="e">
        <f>AND(Bills!#REF!,"AAAAAGL/rws=")</f>
        <v>#REF!</v>
      </c>
      <c r="M110" t="e">
        <f>AND(Bills!#REF!,"AAAAAGL/rww=")</f>
        <v>#REF!</v>
      </c>
      <c r="N110" t="e">
        <f>AND(Bills!Y390,"AAAAAGL/rw0=")</f>
        <v>#VALUE!</v>
      </c>
      <c r="O110" t="e">
        <f>AND(Bills!Z390,"AAAAAGL/rw4=")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AND(Bills!AA390,"AAAAAGL/rxg=")</f>
        <v>#VALUE!</v>
      </c>
      <c r="Z110" t="e">
        <f>AND(Bills!AB390,"AAAAAGL/rxk=")</f>
        <v>#VALUE!</v>
      </c>
      <c r="AA110" t="e">
        <f>AND(Bills!#REF!,"AAAAAGL/rxo=")</f>
        <v>#REF!</v>
      </c>
      <c r="AB110" t="e">
        <f>AND(Bills!#REF!,"AAAAAGL/rxs=")</f>
        <v>#REF!</v>
      </c>
      <c r="AC110" t="e">
        <f>AND(Bills!#REF!,"AAAAAGL/rxw=")</f>
        <v>#REF!</v>
      </c>
      <c r="AD110" t="e">
        <f>AND(Bills!AC390,"AAAAAGL/rx0=")</f>
        <v>#VALUE!</v>
      </c>
      <c r="AE110" t="e">
        <f>AND(Bills!AD390,"AAAAAGL/rx4=")</f>
        <v>#VALUE!</v>
      </c>
      <c r="AF110" t="e">
        <f>AND(Bills!#REF!,"AAAAAGL/rx8=")</f>
        <v>#REF!</v>
      </c>
      <c r="AG110">
        <f>IF(Bills!391:391,"AAAAAGL/ryA=",0)</f>
        <v>0</v>
      </c>
      <c r="AH110" t="e">
        <f>AND(Bills!B391,"AAAAAGL/ryE=")</f>
        <v>#VALUE!</v>
      </c>
      <c r="AI110" t="e">
        <f>AND(Bills!#REF!,"AAAAAGL/ryI=")</f>
        <v>#REF!</v>
      </c>
      <c r="AJ110" t="e">
        <f>AND(Bills!C391,"AAAAAGL/ryM=")</f>
        <v>#VALUE!</v>
      </c>
      <c r="AK110" t="e">
        <f>AND(Bills!D391,"AAAAAGL/ryQ=")</f>
        <v>#VALUE!</v>
      </c>
      <c r="AL110" t="e">
        <f>AND(Bills!E391,"AAAAAGL/ryU=")</f>
        <v>#VALUE!</v>
      </c>
      <c r="AM110" t="e">
        <f>AND(Bills!#REF!,"AAAAAGL/ryY=")</f>
        <v>#REF!</v>
      </c>
      <c r="AN110" t="e">
        <f>AND(Bills!#REF!,"AAAAAGL/ryc=")</f>
        <v>#REF!</v>
      </c>
      <c r="AO110" t="e">
        <f>AND(Bills!#REF!,"AAAAAGL/ryg=")</f>
        <v>#REF!</v>
      </c>
      <c r="AP110" t="e">
        <f>AND(Bills!F391,"AAAAAGL/ryk=")</f>
        <v>#VALUE!</v>
      </c>
      <c r="AQ110" t="e">
        <f>AND(Bills!#REF!,"AAAAAGL/ryo=")</f>
        <v>#REF!</v>
      </c>
      <c r="AR110" t="e">
        <f>AND(Bills!G391,"AAAAAGL/rys=")</f>
        <v>#VALUE!</v>
      </c>
      <c r="AS110" t="e">
        <f>AND(Bills!H391,"AAAAAGL/ryw=")</f>
        <v>#VALUE!</v>
      </c>
      <c r="AT110" t="e">
        <f>AND(Bills!I391,"AAAAAGL/ry0=")</f>
        <v>#VALUE!</v>
      </c>
      <c r="AU110" t="e">
        <f>AND(Bills!J391,"AAAAAGL/ry4=")</f>
        <v>#VALUE!</v>
      </c>
      <c r="AV110" t="e">
        <f>AND(Bills!K391,"AAAAAGL/ry8=")</f>
        <v>#VALUE!</v>
      </c>
      <c r="AW110" t="e">
        <f>AND(Bills!L391,"AAAAAGL/rzA=")</f>
        <v>#VALUE!</v>
      </c>
      <c r="AX110" t="e">
        <f>AND(Bills!#REF!,"AAAAAGL/rzE=")</f>
        <v>#REF!</v>
      </c>
      <c r="AY110" t="e">
        <f>AND(Bills!M391,"AAAAAGL/rzI=")</f>
        <v>#VALUE!</v>
      </c>
      <c r="AZ110" t="e">
        <f>AND(Bills!N391,"AAAAAGL/rzM=")</f>
        <v>#VALUE!</v>
      </c>
      <c r="BA110" t="e">
        <f>AND(Bills!O391,"AAAAAGL/rzQ=")</f>
        <v>#VALUE!</v>
      </c>
      <c r="BB110" t="e">
        <f>AND(Bills!P391,"AAAAAGL/rzU=")</f>
        <v>#VALUE!</v>
      </c>
      <c r="BC110" t="e">
        <f>AND(Bills!Q391,"AAAAAGL/rzY=")</f>
        <v>#VALUE!</v>
      </c>
      <c r="BD110" t="e">
        <f>AND(Bills!R391,"AAAAAGL/rzc=")</f>
        <v>#VALUE!</v>
      </c>
      <c r="BE110" t="e">
        <f>AND(Bills!S391,"AAAAAGL/rzg=")</f>
        <v>#VALUE!</v>
      </c>
      <c r="BF110" t="e">
        <f>AND(Bills!T391,"AAAAAGL/rzk=")</f>
        <v>#VALUE!</v>
      </c>
      <c r="BG110" t="e">
        <f>AND(Bills!#REF!,"AAAAAGL/rzo=")</f>
        <v>#REF!</v>
      </c>
      <c r="BH110" t="e">
        <f>AND(Bills!U391,"AAAAAGL/rzs=")</f>
        <v>#VALUE!</v>
      </c>
      <c r="BI110" t="e">
        <f>AND(Bills!V391,"AAAAAGL/rzw=")</f>
        <v>#VALUE!</v>
      </c>
      <c r="BJ110" t="e">
        <f>AND(Bills!W391,"AAAAAGL/rz0=")</f>
        <v>#VALUE!</v>
      </c>
      <c r="BK110" t="e">
        <f>AND(Bills!#REF!,"AAAAAGL/rz4=")</f>
        <v>#REF!</v>
      </c>
      <c r="BL110" t="e">
        <f>AND(Bills!#REF!,"AAAAAGL/rz8=")</f>
        <v>#REF!</v>
      </c>
      <c r="BM110" t="e">
        <f>AND(Bills!Y391,"AAAAAGL/r0A=")</f>
        <v>#VALUE!</v>
      </c>
      <c r="BN110" t="e">
        <f>AND(Bills!Z391,"AAAAAGL/r0E=")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AND(Bills!AA391,"AAAAAGL/r0s=")</f>
        <v>#VALUE!</v>
      </c>
      <c r="BY110" t="e">
        <f>AND(Bills!AB391,"AAAAAGL/r0w=")</f>
        <v>#VALUE!</v>
      </c>
      <c r="BZ110" t="e">
        <f>AND(Bills!#REF!,"AAAAAGL/r00=")</f>
        <v>#REF!</v>
      </c>
      <c r="CA110" t="e">
        <f>AND(Bills!#REF!,"AAAAAGL/r04=")</f>
        <v>#REF!</v>
      </c>
      <c r="CB110" t="e">
        <f>AND(Bills!#REF!,"AAAAAGL/r08=")</f>
        <v>#REF!</v>
      </c>
      <c r="CC110" t="e">
        <f>AND(Bills!AC391,"AAAAAGL/r1A=")</f>
        <v>#VALUE!</v>
      </c>
      <c r="CD110" t="e">
        <f>AND(Bills!AD391,"AAAAAGL/r1E=")</f>
        <v>#VALUE!</v>
      </c>
      <c r="CE110" t="e">
        <f>AND(Bills!#REF!,"AAAAAGL/r1I=")</f>
        <v>#REF!</v>
      </c>
      <c r="CF110">
        <f>IF(Bills!392:392,"AAAAAGL/r1M=",0)</f>
        <v>0</v>
      </c>
      <c r="CG110" t="e">
        <f>AND(Bills!B392,"AAAAAGL/r1Q=")</f>
        <v>#VALUE!</v>
      </c>
      <c r="CH110" t="e">
        <f>AND(Bills!#REF!,"AAAAAGL/r1U=")</f>
        <v>#REF!</v>
      </c>
      <c r="CI110" t="e">
        <f>AND(Bills!C392,"AAAAAGL/r1Y=")</f>
        <v>#VALUE!</v>
      </c>
      <c r="CJ110" t="e">
        <f>AND(Bills!D392,"AAAAAGL/r1c=")</f>
        <v>#VALUE!</v>
      </c>
      <c r="CK110" t="e">
        <f>AND(Bills!E392,"AAAAAGL/r1g=")</f>
        <v>#VALUE!</v>
      </c>
      <c r="CL110" t="e">
        <f>AND(Bills!#REF!,"AAAAAGL/r1k=")</f>
        <v>#REF!</v>
      </c>
      <c r="CM110" t="e">
        <f>AND(Bills!#REF!,"AAAAAGL/r1o=")</f>
        <v>#REF!</v>
      </c>
      <c r="CN110" t="e">
        <f>AND(Bills!#REF!,"AAAAAGL/r1s=")</f>
        <v>#REF!</v>
      </c>
      <c r="CO110" t="e">
        <f>AND(Bills!F392,"AAAAAGL/r1w=")</f>
        <v>#VALUE!</v>
      </c>
      <c r="CP110" t="e">
        <f>AND(Bills!#REF!,"AAAAAGL/r10=")</f>
        <v>#REF!</v>
      </c>
      <c r="CQ110" t="e">
        <f>AND(Bills!G392,"AAAAAGL/r14=")</f>
        <v>#VALUE!</v>
      </c>
      <c r="CR110" t="e">
        <f>AND(Bills!H392,"AAAAAGL/r18=")</f>
        <v>#VALUE!</v>
      </c>
      <c r="CS110" t="e">
        <f>AND(Bills!I392,"AAAAAGL/r2A=")</f>
        <v>#VALUE!</v>
      </c>
      <c r="CT110" t="e">
        <f>AND(Bills!J392,"AAAAAGL/r2E=")</f>
        <v>#VALUE!</v>
      </c>
      <c r="CU110" t="e">
        <f>AND(Bills!K392,"AAAAAGL/r2I=")</f>
        <v>#VALUE!</v>
      </c>
      <c r="CV110" t="e">
        <f>AND(Bills!L392,"AAAAAGL/r2M=")</f>
        <v>#VALUE!</v>
      </c>
      <c r="CW110" t="e">
        <f>AND(Bills!#REF!,"AAAAAGL/r2Q=")</f>
        <v>#REF!</v>
      </c>
      <c r="CX110" t="e">
        <f>AND(Bills!M392,"AAAAAGL/r2U=")</f>
        <v>#VALUE!</v>
      </c>
      <c r="CY110" t="e">
        <f>AND(Bills!N392,"AAAAAGL/r2Y=")</f>
        <v>#VALUE!</v>
      </c>
      <c r="CZ110" t="e">
        <f>AND(Bills!O392,"AAAAAGL/r2c=")</f>
        <v>#VALUE!</v>
      </c>
      <c r="DA110" t="e">
        <f>AND(Bills!P392,"AAAAAGL/r2g=")</f>
        <v>#VALUE!</v>
      </c>
      <c r="DB110" t="e">
        <f>AND(Bills!Q392,"AAAAAGL/r2k=")</f>
        <v>#VALUE!</v>
      </c>
      <c r="DC110" t="e">
        <f>AND(Bills!R392,"AAAAAGL/r2o=")</f>
        <v>#VALUE!</v>
      </c>
      <c r="DD110" t="e">
        <f>AND(Bills!S392,"AAAAAGL/r2s=")</f>
        <v>#VALUE!</v>
      </c>
      <c r="DE110" t="e">
        <f>AND(Bills!T392,"AAAAAGL/r2w=")</f>
        <v>#VALUE!</v>
      </c>
      <c r="DF110" t="e">
        <f>AND(Bills!#REF!,"AAAAAGL/r20=")</f>
        <v>#REF!</v>
      </c>
      <c r="DG110" t="e">
        <f>AND(Bills!U392,"AAAAAGL/r24=")</f>
        <v>#VALUE!</v>
      </c>
      <c r="DH110" t="e">
        <f>AND(Bills!V392,"AAAAAGL/r28=")</f>
        <v>#VALUE!</v>
      </c>
      <c r="DI110" t="e">
        <f>AND(Bills!W392,"AAAAAGL/r3A=")</f>
        <v>#VALUE!</v>
      </c>
      <c r="DJ110" t="e">
        <f>AND(Bills!#REF!,"AAAAAGL/r3E=")</f>
        <v>#REF!</v>
      </c>
      <c r="DK110" t="e">
        <f>AND(Bills!#REF!,"AAAAAGL/r3I=")</f>
        <v>#REF!</v>
      </c>
      <c r="DL110" t="e">
        <f>AND(Bills!Y392,"AAAAAGL/r3M=")</f>
        <v>#VALUE!</v>
      </c>
      <c r="DM110" t="e">
        <f>AND(Bills!Z392,"AAAAAGL/r3Q=")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AND(Bills!AA392,"AAAAAGL/r34=")</f>
        <v>#VALUE!</v>
      </c>
      <c r="DX110" t="e">
        <f>AND(Bills!AB392,"AAAAAGL/r38=")</f>
        <v>#VALUE!</v>
      </c>
      <c r="DY110" t="e">
        <f>AND(Bills!#REF!,"AAAAAGL/r4A=")</f>
        <v>#REF!</v>
      </c>
      <c r="DZ110" t="e">
        <f>AND(Bills!#REF!,"AAAAAGL/r4E=")</f>
        <v>#REF!</v>
      </c>
      <c r="EA110" t="e">
        <f>AND(Bills!#REF!,"AAAAAGL/r4I=")</f>
        <v>#REF!</v>
      </c>
      <c r="EB110" t="e">
        <f>AND(Bills!AC392,"AAAAAGL/r4M=")</f>
        <v>#VALUE!</v>
      </c>
      <c r="EC110" t="e">
        <f>AND(Bills!AD392,"AAAAAGL/r4Q=")</f>
        <v>#VALUE!</v>
      </c>
      <c r="ED110" t="e">
        <f>AND(Bills!#REF!,"AAAAAGL/r4U=")</f>
        <v>#REF!</v>
      </c>
      <c r="EE110">
        <f>IF(Bills!393:393,"AAAAAGL/r4Y=",0)</f>
        <v>0</v>
      </c>
      <c r="EF110" t="e">
        <f>AND(Bills!B393,"AAAAAGL/r4c=")</f>
        <v>#VALUE!</v>
      </c>
      <c r="EG110" t="e">
        <f>AND(Bills!#REF!,"AAAAAGL/r4g=")</f>
        <v>#REF!</v>
      </c>
      <c r="EH110" t="e">
        <f>AND(Bills!C393,"AAAAAGL/r4k=")</f>
        <v>#VALUE!</v>
      </c>
      <c r="EI110" t="e">
        <f>AND(Bills!D393,"AAAAAGL/r4o=")</f>
        <v>#VALUE!</v>
      </c>
      <c r="EJ110" t="e">
        <f>AND(Bills!E393,"AAAAAGL/r4s=")</f>
        <v>#VALUE!</v>
      </c>
      <c r="EK110" t="e">
        <f>AND(Bills!#REF!,"AAAAAGL/r4w=")</f>
        <v>#REF!</v>
      </c>
      <c r="EL110" t="e">
        <f>AND(Bills!#REF!,"AAAAAGL/r40=")</f>
        <v>#REF!</v>
      </c>
      <c r="EM110" t="e">
        <f>AND(Bills!#REF!,"AAAAAGL/r44=")</f>
        <v>#REF!</v>
      </c>
      <c r="EN110" t="e">
        <f>AND(Bills!F393,"AAAAAGL/r48=")</f>
        <v>#VALUE!</v>
      </c>
      <c r="EO110" t="e">
        <f>AND(Bills!#REF!,"AAAAAGL/r5A=")</f>
        <v>#REF!</v>
      </c>
      <c r="EP110" t="e">
        <f>AND(Bills!G393,"AAAAAGL/r5E=")</f>
        <v>#VALUE!</v>
      </c>
      <c r="EQ110" t="e">
        <f>AND(Bills!H393,"AAAAAGL/r5I=")</f>
        <v>#VALUE!</v>
      </c>
      <c r="ER110" t="e">
        <f>AND(Bills!I393,"AAAAAGL/r5M=")</f>
        <v>#VALUE!</v>
      </c>
      <c r="ES110" t="e">
        <f>AND(Bills!J393,"AAAAAGL/r5Q=")</f>
        <v>#VALUE!</v>
      </c>
      <c r="ET110" t="e">
        <f>AND(Bills!K393,"AAAAAGL/r5U=")</f>
        <v>#VALUE!</v>
      </c>
      <c r="EU110" t="e">
        <f>AND(Bills!L393,"AAAAAGL/r5Y=")</f>
        <v>#VALUE!</v>
      </c>
      <c r="EV110" t="e">
        <f>AND(Bills!#REF!,"AAAAAGL/r5c=")</f>
        <v>#REF!</v>
      </c>
      <c r="EW110" t="e">
        <f>AND(Bills!M393,"AAAAAGL/r5g=")</f>
        <v>#VALUE!</v>
      </c>
      <c r="EX110" t="e">
        <f>AND(Bills!N393,"AAAAAGL/r5k=")</f>
        <v>#VALUE!</v>
      </c>
      <c r="EY110" t="e">
        <f>AND(Bills!O393,"AAAAAGL/r5o=")</f>
        <v>#VALUE!</v>
      </c>
      <c r="EZ110" t="e">
        <f>AND(Bills!P393,"AAAAAGL/r5s=")</f>
        <v>#VALUE!</v>
      </c>
      <c r="FA110" t="e">
        <f>AND(Bills!Q393,"AAAAAGL/r5w=")</f>
        <v>#VALUE!</v>
      </c>
      <c r="FB110" t="e">
        <f>AND(Bills!R393,"AAAAAGL/r50=")</f>
        <v>#VALUE!</v>
      </c>
      <c r="FC110" t="e">
        <f>AND(Bills!S393,"AAAAAGL/r54=")</f>
        <v>#VALUE!</v>
      </c>
      <c r="FD110" t="e">
        <f>AND(Bills!T393,"AAAAAGL/r58=")</f>
        <v>#VALUE!</v>
      </c>
      <c r="FE110" t="e">
        <f>AND(Bills!#REF!,"AAAAAGL/r6A=")</f>
        <v>#REF!</v>
      </c>
      <c r="FF110" t="e">
        <f>AND(Bills!U393,"AAAAAGL/r6E=")</f>
        <v>#VALUE!</v>
      </c>
      <c r="FG110" t="e">
        <f>AND(Bills!V393,"AAAAAGL/r6I=")</f>
        <v>#VALUE!</v>
      </c>
      <c r="FH110" t="e">
        <f>AND(Bills!W393,"AAAAAGL/r6M=")</f>
        <v>#VALUE!</v>
      </c>
      <c r="FI110" t="e">
        <f>AND(Bills!#REF!,"AAAAAGL/r6Q=")</f>
        <v>#REF!</v>
      </c>
      <c r="FJ110" t="e">
        <f>AND(Bills!#REF!,"AAAAAGL/r6U=")</f>
        <v>#REF!</v>
      </c>
      <c r="FK110" t="e">
        <f>AND(Bills!Y393,"AAAAAGL/r6Y=")</f>
        <v>#VALUE!</v>
      </c>
      <c r="FL110" t="e">
        <f>AND(Bills!Z393,"AAAAAGL/r6c=")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AND(Bills!AA393,"AAAAAGL/r7E=")</f>
        <v>#VALUE!</v>
      </c>
      <c r="FW110" t="e">
        <f>AND(Bills!AB393,"AAAAAGL/r7I=")</f>
        <v>#VALUE!</v>
      </c>
      <c r="FX110" t="e">
        <f>AND(Bills!#REF!,"AAAAAGL/r7M=")</f>
        <v>#REF!</v>
      </c>
      <c r="FY110" t="e">
        <f>AND(Bills!#REF!,"AAAAAGL/r7Q=")</f>
        <v>#REF!</v>
      </c>
      <c r="FZ110" t="e">
        <f>AND(Bills!#REF!,"AAAAAGL/r7U=")</f>
        <v>#REF!</v>
      </c>
      <c r="GA110" t="e">
        <f>AND(Bills!AC393,"AAAAAGL/r7Y=")</f>
        <v>#VALUE!</v>
      </c>
      <c r="GB110" t="e">
        <f>AND(Bills!AD393,"AAAAAGL/r7c=")</f>
        <v>#VALUE!</v>
      </c>
      <c r="GC110" t="e">
        <f>AND(Bills!#REF!,"AAAAAGL/r7g=")</f>
        <v>#REF!</v>
      </c>
      <c r="GD110">
        <f>IF(Bills!394:394,"AAAAAGL/r7k=",0)</f>
        <v>0</v>
      </c>
      <c r="GE110" t="e">
        <f>AND(Bills!B394,"AAAAAGL/r7o=")</f>
        <v>#VALUE!</v>
      </c>
      <c r="GF110" t="e">
        <f>AND(Bills!#REF!,"AAAAAGL/r7s=")</f>
        <v>#REF!</v>
      </c>
      <c r="GG110" t="e">
        <f>AND(Bills!C394,"AAAAAGL/r7w=")</f>
        <v>#VALUE!</v>
      </c>
      <c r="GH110" t="e">
        <f>AND(Bills!D394,"AAAAAGL/r70=")</f>
        <v>#VALUE!</v>
      </c>
      <c r="GI110" t="e">
        <f>AND(Bills!E394,"AAAAAGL/r74=")</f>
        <v>#VALUE!</v>
      </c>
      <c r="GJ110" t="e">
        <f>AND(Bills!#REF!,"AAAAAGL/r78=")</f>
        <v>#REF!</v>
      </c>
      <c r="GK110" t="e">
        <f>AND(Bills!#REF!,"AAAAAGL/r8A=")</f>
        <v>#REF!</v>
      </c>
      <c r="GL110" t="e">
        <f>AND(Bills!#REF!,"AAAAAGL/r8E=")</f>
        <v>#REF!</v>
      </c>
      <c r="GM110" t="e">
        <f>AND(Bills!F394,"AAAAAGL/r8I=")</f>
        <v>#VALUE!</v>
      </c>
      <c r="GN110" t="e">
        <f>AND(Bills!#REF!,"AAAAAGL/r8M=")</f>
        <v>#REF!</v>
      </c>
      <c r="GO110" t="e">
        <f>AND(Bills!G394,"AAAAAGL/r8Q=")</f>
        <v>#VALUE!</v>
      </c>
      <c r="GP110" t="e">
        <f>AND(Bills!H394,"AAAAAGL/r8U=")</f>
        <v>#VALUE!</v>
      </c>
      <c r="GQ110" t="e">
        <f>AND(Bills!I394,"AAAAAGL/r8Y=")</f>
        <v>#VALUE!</v>
      </c>
      <c r="GR110" t="e">
        <f>AND(Bills!J394,"AAAAAGL/r8c=")</f>
        <v>#VALUE!</v>
      </c>
      <c r="GS110" t="e">
        <f>AND(Bills!K394,"AAAAAGL/r8g=")</f>
        <v>#VALUE!</v>
      </c>
      <c r="GT110" t="e">
        <f>AND(Bills!L394,"AAAAAGL/r8k=")</f>
        <v>#VALUE!</v>
      </c>
      <c r="GU110" t="e">
        <f>AND(Bills!#REF!,"AAAAAGL/r8o=")</f>
        <v>#REF!</v>
      </c>
      <c r="GV110" t="e">
        <f>AND(Bills!M394,"AAAAAGL/r8s=")</f>
        <v>#VALUE!</v>
      </c>
      <c r="GW110" t="e">
        <f>AND(Bills!N394,"AAAAAGL/r8w=")</f>
        <v>#VALUE!</v>
      </c>
      <c r="GX110" t="e">
        <f>AND(Bills!O394,"AAAAAGL/r80=")</f>
        <v>#VALUE!</v>
      </c>
      <c r="GY110" t="e">
        <f>AND(Bills!P394,"AAAAAGL/r84=")</f>
        <v>#VALUE!</v>
      </c>
      <c r="GZ110" t="e">
        <f>AND(Bills!Q394,"AAAAAGL/r88=")</f>
        <v>#VALUE!</v>
      </c>
      <c r="HA110" t="e">
        <f>AND(Bills!R394,"AAAAAGL/r9A=")</f>
        <v>#VALUE!</v>
      </c>
      <c r="HB110" t="e">
        <f>AND(Bills!S394,"AAAAAGL/r9E=")</f>
        <v>#VALUE!</v>
      </c>
      <c r="HC110" t="e">
        <f>AND(Bills!T394,"AAAAAGL/r9I=")</f>
        <v>#VALUE!</v>
      </c>
      <c r="HD110" t="e">
        <f>AND(Bills!#REF!,"AAAAAGL/r9M=")</f>
        <v>#REF!</v>
      </c>
      <c r="HE110" t="e">
        <f>AND(Bills!U394,"AAAAAGL/r9Q=")</f>
        <v>#VALUE!</v>
      </c>
      <c r="HF110" t="e">
        <f>AND(Bills!V394,"AAAAAGL/r9U=")</f>
        <v>#VALUE!</v>
      </c>
      <c r="HG110" t="e">
        <f>AND(Bills!W394,"AAAAAGL/r9Y=")</f>
        <v>#VALUE!</v>
      </c>
      <c r="HH110" t="e">
        <f>AND(Bills!#REF!,"AAAAAGL/r9c=")</f>
        <v>#REF!</v>
      </c>
      <c r="HI110" t="e">
        <f>AND(Bills!#REF!,"AAAAAGL/r9g=")</f>
        <v>#REF!</v>
      </c>
      <c r="HJ110" t="e">
        <f>AND(Bills!Y394,"AAAAAGL/r9k=")</f>
        <v>#VALUE!</v>
      </c>
      <c r="HK110" t="e">
        <f>AND(Bills!Z394,"AAAAAGL/r9o=")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AND(Bills!AA394,"AAAAAGL/r+Q=")</f>
        <v>#VALUE!</v>
      </c>
      <c r="HV110" t="e">
        <f>AND(Bills!AB394,"AAAAAGL/r+U=")</f>
        <v>#VALUE!</v>
      </c>
      <c r="HW110" t="e">
        <f>AND(Bills!#REF!,"AAAAAGL/r+Y=")</f>
        <v>#REF!</v>
      </c>
      <c r="HX110" t="e">
        <f>AND(Bills!#REF!,"AAAAAGL/r+c=")</f>
        <v>#REF!</v>
      </c>
      <c r="HY110" t="e">
        <f>AND(Bills!#REF!,"AAAAAGL/r+g=")</f>
        <v>#REF!</v>
      </c>
      <c r="HZ110" t="e">
        <f>AND(Bills!AC394,"AAAAAGL/r+k=")</f>
        <v>#VALUE!</v>
      </c>
      <c r="IA110" t="e">
        <f>AND(Bills!AD394,"AAAAAGL/r+o=")</f>
        <v>#VALUE!</v>
      </c>
      <c r="IB110" t="e">
        <f>AND(Bills!#REF!,"AAAAAGL/r+s=")</f>
        <v>#REF!</v>
      </c>
      <c r="IC110">
        <f>IF(Bills!395:395,"AAAAAGL/r+w=",0)</f>
        <v>0</v>
      </c>
      <c r="ID110" t="e">
        <f>AND(Bills!B395,"AAAAAGL/r+0=")</f>
        <v>#VALUE!</v>
      </c>
      <c r="IE110" t="e">
        <f>AND(Bills!#REF!,"AAAAAGL/r+4=")</f>
        <v>#REF!</v>
      </c>
      <c r="IF110" t="e">
        <f>AND(Bills!C395,"AAAAAGL/r+8=")</f>
        <v>#VALUE!</v>
      </c>
      <c r="IG110" t="e">
        <f>AND(Bills!D395,"AAAAAGL/r/A=")</f>
        <v>#VALUE!</v>
      </c>
      <c r="IH110" t="e">
        <f>AND(Bills!E395,"AAAAAGL/r/E=")</f>
        <v>#VALUE!</v>
      </c>
      <c r="II110" t="e">
        <f>AND(Bills!#REF!,"AAAAAGL/r/I=")</f>
        <v>#REF!</v>
      </c>
      <c r="IJ110" t="e">
        <f>AND(Bills!#REF!,"AAAAAGL/r/M=")</f>
        <v>#REF!</v>
      </c>
      <c r="IK110" t="e">
        <f>AND(Bills!#REF!,"AAAAAGL/r/Q=")</f>
        <v>#REF!</v>
      </c>
      <c r="IL110" t="e">
        <f>AND(Bills!F395,"AAAAAGL/r/U=")</f>
        <v>#VALUE!</v>
      </c>
      <c r="IM110" t="e">
        <f>AND(Bills!#REF!,"AAAAAGL/r/Y=")</f>
        <v>#REF!</v>
      </c>
      <c r="IN110" t="e">
        <f>AND(Bills!G395,"AAAAAGL/r/c=")</f>
        <v>#VALUE!</v>
      </c>
      <c r="IO110" t="e">
        <f>AND(Bills!H395,"AAAAAGL/r/g=")</f>
        <v>#VALUE!</v>
      </c>
      <c r="IP110" t="e">
        <f>AND(Bills!I395,"AAAAAGL/r/k=")</f>
        <v>#VALUE!</v>
      </c>
      <c r="IQ110" t="e">
        <f>AND(Bills!J395,"AAAAAGL/r/o=")</f>
        <v>#VALUE!</v>
      </c>
      <c r="IR110" t="e">
        <f>AND(Bills!K395,"AAAAAGL/r/s=")</f>
        <v>#VALUE!</v>
      </c>
      <c r="IS110" t="e">
        <f>AND(Bills!L395,"AAAAAGL/r/w=")</f>
        <v>#VALUE!</v>
      </c>
      <c r="IT110" t="e">
        <f>AND(Bills!#REF!,"AAAAAGL/r/0=")</f>
        <v>#REF!</v>
      </c>
      <c r="IU110" t="e">
        <f>AND(Bills!M395,"AAAAAGL/r/4=")</f>
        <v>#VALUE!</v>
      </c>
      <c r="IV110" t="e">
        <f>AND(Bills!N395,"AAAAAGL/r/8=")</f>
        <v>#VALUE!</v>
      </c>
    </row>
    <row r="111" spans="1:256">
      <c r="A111" t="e">
        <f>AND(Bills!O395,"AAAAAF99WQA=")</f>
        <v>#VALUE!</v>
      </c>
      <c r="B111" t="e">
        <f>AND(Bills!P395,"AAAAAF99WQE=")</f>
        <v>#VALUE!</v>
      </c>
      <c r="C111" t="e">
        <f>AND(Bills!Q395,"AAAAAF99WQI=")</f>
        <v>#VALUE!</v>
      </c>
      <c r="D111" t="e">
        <f>AND(Bills!R395,"AAAAAF99WQM=")</f>
        <v>#VALUE!</v>
      </c>
      <c r="E111" t="e">
        <f>AND(Bills!S395,"AAAAAF99WQQ=")</f>
        <v>#VALUE!</v>
      </c>
      <c r="F111" t="e">
        <f>AND(Bills!T395,"AAAAAF99WQU=")</f>
        <v>#VALUE!</v>
      </c>
      <c r="G111" t="e">
        <f>AND(Bills!#REF!,"AAAAAF99WQY=")</f>
        <v>#REF!</v>
      </c>
      <c r="H111" t="e">
        <f>AND(Bills!U395,"AAAAAF99WQc=")</f>
        <v>#VALUE!</v>
      </c>
      <c r="I111" t="e">
        <f>AND(Bills!V395,"AAAAAF99WQg=")</f>
        <v>#VALUE!</v>
      </c>
      <c r="J111" t="e">
        <f>AND(Bills!W395,"AAAAAF99WQk=")</f>
        <v>#VALUE!</v>
      </c>
      <c r="K111" t="e">
        <f>AND(Bills!#REF!,"AAAAAF99WQo=")</f>
        <v>#REF!</v>
      </c>
      <c r="L111" t="e">
        <f>AND(Bills!#REF!,"AAAAAF99WQs=")</f>
        <v>#REF!</v>
      </c>
      <c r="M111" t="e">
        <f>AND(Bills!Y395,"AAAAAF99WQw=")</f>
        <v>#VALUE!</v>
      </c>
      <c r="N111" t="e">
        <f>AND(Bills!Z395,"AAAAAF99WQ0=")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AND(Bills!AA395,"AAAAAF99WRc=")</f>
        <v>#VALUE!</v>
      </c>
      <c r="Y111" t="e">
        <f>AND(Bills!AB395,"AAAAAF99WRg=")</f>
        <v>#VALUE!</v>
      </c>
      <c r="Z111" t="e">
        <f>AND(Bills!#REF!,"AAAAAF99WRk=")</f>
        <v>#REF!</v>
      </c>
      <c r="AA111" t="e">
        <f>AND(Bills!#REF!,"AAAAAF99WRo=")</f>
        <v>#REF!</v>
      </c>
      <c r="AB111" t="e">
        <f>AND(Bills!#REF!,"AAAAAF99WRs=")</f>
        <v>#REF!</v>
      </c>
      <c r="AC111" t="e">
        <f>AND(Bills!AC395,"AAAAAF99WRw=")</f>
        <v>#VALUE!</v>
      </c>
      <c r="AD111" t="e">
        <f>AND(Bills!AD395,"AAAAAF99WR0=")</f>
        <v>#VALUE!</v>
      </c>
      <c r="AE111" t="e">
        <f>AND(Bills!#REF!,"AAAAAF99WR4=")</f>
        <v>#REF!</v>
      </c>
      <c r="AF111">
        <f>IF(Bills!396:396,"AAAAAF99WR8=",0)</f>
        <v>0</v>
      </c>
      <c r="AG111" t="e">
        <f>AND(Bills!B396,"AAAAAF99WSA=")</f>
        <v>#VALUE!</v>
      </c>
      <c r="AH111" t="e">
        <f>AND(Bills!#REF!,"AAAAAF99WSE=")</f>
        <v>#REF!</v>
      </c>
      <c r="AI111" t="e">
        <f>AND(Bills!C396,"AAAAAF99WSI=")</f>
        <v>#VALUE!</v>
      </c>
      <c r="AJ111" t="e">
        <f>AND(Bills!D396,"AAAAAF99WSM=")</f>
        <v>#VALUE!</v>
      </c>
      <c r="AK111" t="e">
        <f>AND(Bills!E396,"AAAAAF99WSQ=")</f>
        <v>#VALUE!</v>
      </c>
      <c r="AL111" t="e">
        <f>AND(Bills!#REF!,"AAAAAF99WSU=")</f>
        <v>#REF!</v>
      </c>
      <c r="AM111" t="e">
        <f>AND(Bills!#REF!,"AAAAAF99WSY=")</f>
        <v>#REF!</v>
      </c>
      <c r="AN111" t="e">
        <f>AND(Bills!#REF!,"AAAAAF99WSc=")</f>
        <v>#REF!</v>
      </c>
      <c r="AO111" t="e">
        <f>AND(Bills!F396,"AAAAAF99WSg=")</f>
        <v>#VALUE!</v>
      </c>
      <c r="AP111" t="e">
        <f>AND(Bills!#REF!,"AAAAAF99WSk=")</f>
        <v>#REF!</v>
      </c>
      <c r="AQ111" t="e">
        <f>AND(Bills!G396,"AAAAAF99WSo=")</f>
        <v>#VALUE!</v>
      </c>
      <c r="AR111" t="e">
        <f>AND(Bills!H396,"AAAAAF99WSs=")</f>
        <v>#VALUE!</v>
      </c>
      <c r="AS111" t="e">
        <f>AND(Bills!I396,"AAAAAF99WSw=")</f>
        <v>#VALUE!</v>
      </c>
      <c r="AT111" t="e">
        <f>AND(Bills!J396,"AAAAAF99WS0=")</f>
        <v>#VALUE!</v>
      </c>
      <c r="AU111" t="e">
        <f>AND(Bills!K396,"AAAAAF99WS4=")</f>
        <v>#VALUE!</v>
      </c>
      <c r="AV111" t="e">
        <f>AND(Bills!L396,"AAAAAF99WS8=")</f>
        <v>#VALUE!</v>
      </c>
      <c r="AW111" t="e">
        <f>AND(Bills!#REF!,"AAAAAF99WTA=")</f>
        <v>#REF!</v>
      </c>
      <c r="AX111" t="e">
        <f>AND(Bills!M396,"AAAAAF99WTE=")</f>
        <v>#VALUE!</v>
      </c>
      <c r="AY111" t="e">
        <f>AND(Bills!N396,"AAAAAF99WTI=")</f>
        <v>#VALUE!</v>
      </c>
      <c r="AZ111" t="e">
        <f>AND(Bills!O396,"AAAAAF99WTM=")</f>
        <v>#VALUE!</v>
      </c>
      <c r="BA111" t="e">
        <f>AND(Bills!P396,"AAAAAF99WTQ=")</f>
        <v>#VALUE!</v>
      </c>
      <c r="BB111" t="e">
        <f>AND(Bills!Q396,"AAAAAF99WTU=")</f>
        <v>#VALUE!</v>
      </c>
      <c r="BC111" t="e">
        <f>AND(Bills!R396,"AAAAAF99WTY=")</f>
        <v>#VALUE!</v>
      </c>
      <c r="BD111" t="e">
        <f>AND(Bills!S396,"AAAAAF99WTc=")</f>
        <v>#VALUE!</v>
      </c>
      <c r="BE111" t="e">
        <f>AND(Bills!T396,"AAAAAF99WTg=")</f>
        <v>#VALUE!</v>
      </c>
      <c r="BF111" t="e">
        <f>AND(Bills!#REF!,"AAAAAF99WTk=")</f>
        <v>#REF!</v>
      </c>
      <c r="BG111" t="e">
        <f>AND(Bills!U396,"AAAAAF99WTo=")</f>
        <v>#VALUE!</v>
      </c>
      <c r="BH111" t="e">
        <f>AND(Bills!V396,"AAAAAF99WTs=")</f>
        <v>#VALUE!</v>
      </c>
      <c r="BI111" t="e">
        <f>AND(Bills!W396,"AAAAAF99WTw=")</f>
        <v>#VALUE!</v>
      </c>
      <c r="BJ111" t="e">
        <f>AND(Bills!#REF!,"AAAAAF99WT0=")</f>
        <v>#REF!</v>
      </c>
      <c r="BK111" t="e">
        <f>AND(Bills!#REF!,"AAAAAF99WT4=")</f>
        <v>#REF!</v>
      </c>
      <c r="BL111" t="e">
        <f>AND(Bills!Y396,"AAAAAF99WT8=")</f>
        <v>#VALUE!</v>
      </c>
      <c r="BM111" t="e">
        <f>AND(Bills!Z396,"AAAAAF99WUA=")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AND(Bills!AA396,"AAAAAF99WUo=")</f>
        <v>#VALUE!</v>
      </c>
      <c r="BX111" t="e">
        <f>AND(Bills!AB396,"AAAAAF99WUs=")</f>
        <v>#VALUE!</v>
      </c>
      <c r="BY111" t="e">
        <f>AND(Bills!#REF!,"AAAAAF99WUw=")</f>
        <v>#REF!</v>
      </c>
      <c r="BZ111" t="e">
        <f>AND(Bills!#REF!,"AAAAAF99WU0=")</f>
        <v>#REF!</v>
      </c>
      <c r="CA111" t="e">
        <f>AND(Bills!#REF!,"AAAAAF99WU4=")</f>
        <v>#REF!</v>
      </c>
      <c r="CB111" t="e">
        <f>AND(Bills!AC396,"AAAAAF99WU8=")</f>
        <v>#VALUE!</v>
      </c>
      <c r="CC111" t="e">
        <f>AND(Bills!AD396,"AAAAAF99WVA=")</f>
        <v>#VALUE!</v>
      </c>
      <c r="CD111" t="e">
        <f>AND(Bills!#REF!,"AAAAAF99WVE=")</f>
        <v>#REF!</v>
      </c>
      <c r="CE111">
        <f>IF(Bills!397:397,"AAAAAF99WVI=",0)</f>
        <v>0</v>
      </c>
      <c r="CF111" t="e">
        <f>AND(Bills!B397,"AAAAAF99WVM=")</f>
        <v>#VALUE!</v>
      </c>
      <c r="CG111" t="e">
        <f>AND(Bills!#REF!,"AAAAAF99WVQ=")</f>
        <v>#REF!</v>
      </c>
      <c r="CH111" t="e">
        <f>AND(Bills!C397,"AAAAAF99WVU=")</f>
        <v>#VALUE!</v>
      </c>
      <c r="CI111" t="e">
        <f>AND(Bills!D397,"AAAAAF99WVY=")</f>
        <v>#VALUE!</v>
      </c>
      <c r="CJ111" t="e">
        <f>AND(Bills!E397,"AAAAAF99WVc=")</f>
        <v>#VALUE!</v>
      </c>
      <c r="CK111" t="e">
        <f>AND(Bills!#REF!,"AAAAAF99WVg=")</f>
        <v>#REF!</v>
      </c>
      <c r="CL111" t="e">
        <f>AND(Bills!#REF!,"AAAAAF99WVk=")</f>
        <v>#REF!</v>
      </c>
      <c r="CM111" t="e">
        <f>AND(Bills!#REF!,"AAAAAF99WVo=")</f>
        <v>#REF!</v>
      </c>
      <c r="CN111" t="e">
        <f>AND(Bills!F397,"AAAAAF99WVs=")</f>
        <v>#VALUE!</v>
      </c>
      <c r="CO111" t="e">
        <f>AND(Bills!#REF!,"AAAAAF99WVw=")</f>
        <v>#REF!</v>
      </c>
      <c r="CP111" t="e">
        <f>AND(Bills!G397,"AAAAAF99WV0=")</f>
        <v>#VALUE!</v>
      </c>
      <c r="CQ111" t="e">
        <f>AND(Bills!H397,"AAAAAF99WV4=")</f>
        <v>#VALUE!</v>
      </c>
      <c r="CR111" t="e">
        <f>AND(Bills!I397,"AAAAAF99WV8=")</f>
        <v>#VALUE!</v>
      </c>
      <c r="CS111" t="e">
        <f>AND(Bills!J397,"AAAAAF99WWA=")</f>
        <v>#VALUE!</v>
      </c>
      <c r="CT111" t="e">
        <f>AND(Bills!K397,"AAAAAF99WWE=")</f>
        <v>#VALUE!</v>
      </c>
      <c r="CU111" t="e">
        <f>AND(Bills!L397,"AAAAAF99WWI=")</f>
        <v>#VALUE!</v>
      </c>
      <c r="CV111" t="e">
        <f>AND(Bills!#REF!,"AAAAAF99WWM=")</f>
        <v>#REF!</v>
      </c>
      <c r="CW111" t="e">
        <f>AND(Bills!M397,"AAAAAF99WWQ=")</f>
        <v>#VALUE!</v>
      </c>
      <c r="CX111" t="e">
        <f>AND(Bills!N397,"AAAAAF99WWU=")</f>
        <v>#VALUE!</v>
      </c>
      <c r="CY111" t="e">
        <f>AND(Bills!O397,"AAAAAF99WWY=")</f>
        <v>#VALUE!</v>
      </c>
      <c r="CZ111" t="e">
        <f>AND(Bills!P397,"AAAAAF99WWc=")</f>
        <v>#VALUE!</v>
      </c>
      <c r="DA111" t="e">
        <f>AND(Bills!Q397,"AAAAAF99WWg=")</f>
        <v>#VALUE!</v>
      </c>
      <c r="DB111" t="e">
        <f>AND(Bills!R397,"AAAAAF99WWk=")</f>
        <v>#VALUE!</v>
      </c>
      <c r="DC111" t="e">
        <f>AND(Bills!S397,"AAAAAF99WWo=")</f>
        <v>#VALUE!</v>
      </c>
      <c r="DD111" t="e">
        <f>AND(Bills!T397,"AAAAAF99WWs=")</f>
        <v>#VALUE!</v>
      </c>
      <c r="DE111" t="e">
        <f>AND(Bills!#REF!,"AAAAAF99WWw=")</f>
        <v>#REF!</v>
      </c>
      <c r="DF111" t="e">
        <f>AND(Bills!U397,"AAAAAF99WW0=")</f>
        <v>#VALUE!</v>
      </c>
      <c r="DG111" t="e">
        <f>AND(Bills!V397,"AAAAAF99WW4=")</f>
        <v>#VALUE!</v>
      </c>
      <c r="DH111" t="e">
        <f>AND(Bills!W397,"AAAAAF99WW8=")</f>
        <v>#VALUE!</v>
      </c>
      <c r="DI111" t="e">
        <f>AND(Bills!#REF!,"AAAAAF99WXA=")</f>
        <v>#REF!</v>
      </c>
      <c r="DJ111" t="e">
        <f>AND(Bills!#REF!,"AAAAAF99WXE=")</f>
        <v>#REF!</v>
      </c>
      <c r="DK111" t="e">
        <f>AND(Bills!Y397,"AAAAAF99WXI=")</f>
        <v>#VALUE!</v>
      </c>
      <c r="DL111" t="e">
        <f>AND(Bills!Z397,"AAAAAF99WXM=")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AND(Bills!AA397,"AAAAAF99WX0=")</f>
        <v>#VALUE!</v>
      </c>
      <c r="DW111" t="e">
        <f>AND(Bills!AB397,"AAAAAF99WX4=")</f>
        <v>#VALUE!</v>
      </c>
      <c r="DX111" t="e">
        <f>AND(Bills!#REF!,"AAAAAF99WX8=")</f>
        <v>#REF!</v>
      </c>
      <c r="DY111" t="e">
        <f>AND(Bills!#REF!,"AAAAAF99WYA=")</f>
        <v>#REF!</v>
      </c>
      <c r="DZ111" t="e">
        <f>AND(Bills!#REF!,"AAAAAF99WYE=")</f>
        <v>#REF!</v>
      </c>
      <c r="EA111" t="e">
        <f>AND(Bills!AC397,"AAAAAF99WYI=")</f>
        <v>#VALUE!</v>
      </c>
      <c r="EB111" t="e">
        <f>AND(Bills!AD397,"AAAAAF99WYM=")</f>
        <v>#VALUE!</v>
      </c>
      <c r="EC111" t="e">
        <f>AND(Bills!#REF!,"AAAAAF99WYQ=")</f>
        <v>#REF!</v>
      </c>
      <c r="ED111">
        <f>IF(Bills!398:398,"AAAAAF99WYU=",0)</f>
        <v>0</v>
      </c>
      <c r="EE111" t="e">
        <f>AND(Bills!B398,"AAAAAF99WYY=")</f>
        <v>#VALUE!</v>
      </c>
      <c r="EF111" t="e">
        <f>AND(Bills!#REF!,"AAAAAF99WYc=")</f>
        <v>#REF!</v>
      </c>
      <c r="EG111" t="e">
        <f>AND(Bills!C398,"AAAAAF99WYg=")</f>
        <v>#VALUE!</v>
      </c>
      <c r="EH111" t="e">
        <f>AND(Bills!D398,"AAAAAF99WYk=")</f>
        <v>#VALUE!</v>
      </c>
      <c r="EI111" t="e">
        <f>AND(Bills!E398,"AAAAAF99WYo=")</f>
        <v>#VALUE!</v>
      </c>
      <c r="EJ111" t="e">
        <f>AND(Bills!#REF!,"AAAAAF99WYs=")</f>
        <v>#REF!</v>
      </c>
      <c r="EK111" t="e">
        <f>AND(Bills!#REF!,"AAAAAF99WYw=")</f>
        <v>#REF!</v>
      </c>
      <c r="EL111" t="e">
        <f>AND(Bills!#REF!,"AAAAAF99WY0=")</f>
        <v>#REF!</v>
      </c>
      <c r="EM111" t="e">
        <f>AND(Bills!F398,"AAAAAF99WY4=")</f>
        <v>#VALUE!</v>
      </c>
      <c r="EN111" t="e">
        <f>AND(Bills!#REF!,"AAAAAF99WY8=")</f>
        <v>#REF!</v>
      </c>
      <c r="EO111" t="e">
        <f>AND(Bills!G398,"AAAAAF99WZA=")</f>
        <v>#VALUE!</v>
      </c>
      <c r="EP111" t="e">
        <f>AND(Bills!H398,"AAAAAF99WZE=")</f>
        <v>#VALUE!</v>
      </c>
      <c r="EQ111" t="e">
        <f>AND(Bills!I398,"AAAAAF99WZI=")</f>
        <v>#VALUE!</v>
      </c>
      <c r="ER111" t="e">
        <f>AND(Bills!J398,"AAAAAF99WZM=")</f>
        <v>#VALUE!</v>
      </c>
      <c r="ES111" t="e">
        <f>AND(Bills!K398,"AAAAAF99WZQ=")</f>
        <v>#VALUE!</v>
      </c>
      <c r="ET111" t="e">
        <f>AND(Bills!L398,"AAAAAF99WZU=")</f>
        <v>#VALUE!</v>
      </c>
      <c r="EU111" t="e">
        <f>AND(Bills!#REF!,"AAAAAF99WZY=")</f>
        <v>#REF!</v>
      </c>
      <c r="EV111" t="e">
        <f>AND(Bills!M398,"AAAAAF99WZc=")</f>
        <v>#VALUE!</v>
      </c>
      <c r="EW111" t="e">
        <f>AND(Bills!N398,"AAAAAF99WZg=")</f>
        <v>#VALUE!</v>
      </c>
      <c r="EX111" t="e">
        <f>AND(Bills!O398,"AAAAAF99WZk=")</f>
        <v>#VALUE!</v>
      </c>
      <c r="EY111" t="e">
        <f>AND(Bills!P398,"AAAAAF99WZo=")</f>
        <v>#VALUE!</v>
      </c>
      <c r="EZ111" t="e">
        <f>AND(Bills!Q398,"AAAAAF99WZs=")</f>
        <v>#VALUE!</v>
      </c>
      <c r="FA111" t="e">
        <f>AND(Bills!R398,"AAAAAF99WZw=")</f>
        <v>#VALUE!</v>
      </c>
      <c r="FB111" t="e">
        <f>AND(Bills!S398,"AAAAAF99WZ0=")</f>
        <v>#VALUE!</v>
      </c>
      <c r="FC111" t="e">
        <f>AND(Bills!T398,"AAAAAF99WZ4=")</f>
        <v>#VALUE!</v>
      </c>
      <c r="FD111" t="e">
        <f>AND(Bills!#REF!,"AAAAAF99WZ8=")</f>
        <v>#REF!</v>
      </c>
      <c r="FE111" t="e">
        <f>AND(Bills!U398,"AAAAAF99WaA=")</f>
        <v>#VALUE!</v>
      </c>
      <c r="FF111" t="e">
        <f>AND(Bills!V398,"AAAAAF99WaE=")</f>
        <v>#VALUE!</v>
      </c>
      <c r="FG111" t="e">
        <f>AND(Bills!W398,"AAAAAF99WaI=")</f>
        <v>#VALUE!</v>
      </c>
      <c r="FH111" t="e">
        <f>AND(Bills!#REF!,"AAAAAF99WaM=")</f>
        <v>#REF!</v>
      </c>
      <c r="FI111" t="e">
        <f>AND(Bills!#REF!,"AAAAAF99WaQ=")</f>
        <v>#REF!</v>
      </c>
      <c r="FJ111" t="e">
        <f>AND(Bills!Y398,"AAAAAF99WaU=")</f>
        <v>#VALUE!</v>
      </c>
      <c r="FK111" t="e">
        <f>AND(Bills!Z398,"AAAAAF99WaY=")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AND(Bills!AA398,"AAAAAF99WbA=")</f>
        <v>#VALUE!</v>
      </c>
      <c r="FV111" t="e">
        <f>AND(Bills!AB398,"AAAAAF99WbE=")</f>
        <v>#VALUE!</v>
      </c>
      <c r="FW111" t="e">
        <f>AND(Bills!#REF!,"AAAAAF99WbI=")</f>
        <v>#REF!</v>
      </c>
      <c r="FX111" t="e">
        <f>AND(Bills!#REF!,"AAAAAF99WbM=")</f>
        <v>#REF!</v>
      </c>
      <c r="FY111" t="e">
        <f>AND(Bills!#REF!,"AAAAAF99WbQ=")</f>
        <v>#REF!</v>
      </c>
      <c r="FZ111" t="e">
        <f>AND(Bills!AC398,"AAAAAF99WbU=")</f>
        <v>#VALUE!</v>
      </c>
      <c r="GA111" t="e">
        <f>AND(Bills!AD398,"AAAAAF99WbY=")</f>
        <v>#VALUE!</v>
      </c>
      <c r="GB111" t="e">
        <f>AND(Bills!#REF!,"AAAAAF99Wbc=")</f>
        <v>#REF!</v>
      </c>
      <c r="GC111">
        <f>IF(Bills!399:399,"AAAAAF99Wbg=",0)</f>
        <v>0</v>
      </c>
      <c r="GD111" t="e">
        <f>AND(Bills!B399,"AAAAAF99Wbk=")</f>
        <v>#VALUE!</v>
      </c>
      <c r="GE111" t="e">
        <f>AND(Bills!#REF!,"AAAAAF99Wbo=")</f>
        <v>#REF!</v>
      </c>
      <c r="GF111" t="e">
        <f>AND(Bills!C399,"AAAAAF99Wbs=")</f>
        <v>#VALUE!</v>
      </c>
      <c r="GG111" t="e">
        <f>AND(Bills!D399,"AAAAAF99Wbw=")</f>
        <v>#VALUE!</v>
      </c>
      <c r="GH111" t="e">
        <f>AND(Bills!E399,"AAAAAF99Wb0=")</f>
        <v>#VALUE!</v>
      </c>
      <c r="GI111" t="e">
        <f>AND(Bills!#REF!,"AAAAAF99Wb4=")</f>
        <v>#REF!</v>
      </c>
      <c r="GJ111" t="e">
        <f>AND(Bills!#REF!,"AAAAAF99Wb8=")</f>
        <v>#REF!</v>
      </c>
      <c r="GK111" t="e">
        <f>AND(Bills!#REF!,"AAAAAF99WcA=")</f>
        <v>#REF!</v>
      </c>
      <c r="GL111" t="e">
        <f>AND(Bills!F399,"AAAAAF99WcE=")</f>
        <v>#VALUE!</v>
      </c>
      <c r="GM111" t="e">
        <f>AND(Bills!#REF!,"AAAAAF99WcI=")</f>
        <v>#REF!</v>
      </c>
      <c r="GN111" t="e">
        <f>AND(Bills!G399,"AAAAAF99WcM=")</f>
        <v>#VALUE!</v>
      </c>
      <c r="GO111" t="e">
        <f>AND(Bills!H399,"AAAAAF99WcQ=")</f>
        <v>#VALUE!</v>
      </c>
      <c r="GP111" t="e">
        <f>AND(Bills!I399,"AAAAAF99WcU=")</f>
        <v>#VALUE!</v>
      </c>
      <c r="GQ111" t="e">
        <f>AND(Bills!J399,"AAAAAF99WcY=")</f>
        <v>#VALUE!</v>
      </c>
      <c r="GR111" t="e">
        <f>AND(Bills!K399,"AAAAAF99Wcc=")</f>
        <v>#VALUE!</v>
      </c>
      <c r="GS111" t="e">
        <f>AND(Bills!L399,"AAAAAF99Wcg=")</f>
        <v>#VALUE!</v>
      </c>
      <c r="GT111" t="e">
        <f>AND(Bills!#REF!,"AAAAAF99Wck=")</f>
        <v>#REF!</v>
      </c>
      <c r="GU111" t="e">
        <f>AND(Bills!M399,"AAAAAF99Wco=")</f>
        <v>#VALUE!</v>
      </c>
      <c r="GV111" t="e">
        <f>AND(Bills!N399,"AAAAAF99Wcs=")</f>
        <v>#VALUE!</v>
      </c>
      <c r="GW111" t="e">
        <f>AND(Bills!O399,"AAAAAF99Wcw=")</f>
        <v>#VALUE!</v>
      </c>
      <c r="GX111" t="e">
        <f>AND(Bills!P399,"AAAAAF99Wc0=")</f>
        <v>#VALUE!</v>
      </c>
      <c r="GY111" t="e">
        <f>AND(Bills!Q399,"AAAAAF99Wc4=")</f>
        <v>#VALUE!</v>
      </c>
      <c r="GZ111" t="e">
        <f>AND(Bills!R399,"AAAAAF99Wc8=")</f>
        <v>#VALUE!</v>
      </c>
      <c r="HA111" t="e">
        <f>AND(Bills!S399,"AAAAAF99WdA=")</f>
        <v>#VALUE!</v>
      </c>
      <c r="HB111" t="e">
        <f>AND(Bills!T399,"AAAAAF99WdE=")</f>
        <v>#VALUE!</v>
      </c>
      <c r="HC111" t="e">
        <f>AND(Bills!#REF!,"AAAAAF99WdI=")</f>
        <v>#REF!</v>
      </c>
      <c r="HD111" t="e">
        <f>AND(Bills!U399,"AAAAAF99WdM=")</f>
        <v>#VALUE!</v>
      </c>
      <c r="HE111" t="e">
        <f>AND(Bills!V399,"AAAAAF99WdQ=")</f>
        <v>#VALUE!</v>
      </c>
      <c r="HF111" t="e">
        <f>AND(Bills!W399,"AAAAAF99WdU=")</f>
        <v>#VALUE!</v>
      </c>
      <c r="HG111" t="e">
        <f>AND(Bills!#REF!,"AAAAAF99WdY=")</f>
        <v>#REF!</v>
      </c>
      <c r="HH111" t="e">
        <f>AND(Bills!#REF!,"AAAAAF99Wdc=")</f>
        <v>#REF!</v>
      </c>
      <c r="HI111" t="e">
        <f>AND(Bills!Y399,"AAAAAF99Wdg=")</f>
        <v>#VALUE!</v>
      </c>
      <c r="HJ111" t="e">
        <f>AND(Bills!Z399,"AAAAAF99Wdk=")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AND(Bills!AA399,"AAAAAF99WeM=")</f>
        <v>#VALUE!</v>
      </c>
      <c r="HU111" t="e">
        <f>AND(Bills!AB399,"AAAAAF99WeQ=")</f>
        <v>#VALUE!</v>
      </c>
      <c r="HV111" t="e">
        <f>AND(Bills!#REF!,"AAAAAF99WeU=")</f>
        <v>#REF!</v>
      </c>
      <c r="HW111" t="e">
        <f>AND(Bills!#REF!,"AAAAAF99WeY=")</f>
        <v>#REF!</v>
      </c>
      <c r="HX111" t="e">
        <f>AND(Bills!#REF!,"AAAAAF99Wec=")</f>
        <v>#REF!</v>
      </c>
      <c r="HY111" t="e">
        <f>AND(Bills!AC399,"AAAAAF99Weg=")</f>
        <v>#VALUE!</v>
      </c>
      <c r="HZ111" t="e">
        <f>AND(Bills!AD399,"AAAAAF99Wek=")</f>
        <v>#VALUE!</v>
      </c>
      <c r="IA111" t="e">
        <f>AND(Bills!#REF!,"AAAAAF99Weo=")</f>
        <v>#REF!</v>
      </c>
      <c r="IB111">
        <f>IF(Bills!400:400,"AAAAAF99Wes=",0)</f>
        <v>0</v>
      </c>
      <c r="IC111" t="e">
        <f>AND(Bills!B400,"AAAAAF99Wew=")</f>
        <v>#VALUE!</v>
      </c>
      <c r="ID111" t="e">
        <f>AND(Bills!#REF!,"AAAAAF99We0=")</f>
        <v>#REF!</v>
      </c>
      <c r="IE111" t="e">
        <f>AND(Bills!C400,"AAAAAF99We4=")</f>
        <v>#VALUE!</v>
      </c>
      <c r="IF111" t="e">
        <f>AND(Bills!D400,"AAAAAF99We8=")</f>
        <v>#VALUE!</v>
      </c>
      <c r="IG111" t="e">
        <f>AND(Bills!E400,"AAAAAF99WfA=")</f>
        <v>#VALUE!</v>
      </c>
      <c r="IH111" t="e">
        <f>AND(Bills!#REF!,"AAAAAF99WfE=")</f>
        <v>#REF!</v>
      </c>
      <c r="II111" t="e">
        <f>AND(Bills!#REF!,"AAAAAF99WfI=")</f>
        <v>#REF!</v>
      </c>
      <c r="IJ111" t="e">
        <f>AND(Bills!#REF!,"AAAAAF99WfM=")</f>
        <v>#REF!</v>
      </c>
      <c r="IK111" t="e">
        <f>AND(Bills!F400,"AAAAAF99WfQ=")</f>
        <v>#VALUE!</v>
      </c>
      <c r="IL111" t="e">
        <f>AND(Bills!#REF!,"AAAAAF99WfU=")</f>
        <v>#REF!</v>
      </c>
      <c r="IM111" t="e">
        <f>AND(Bills!G400,"AAAAAF99WfY=")</f>
        <v>#VALUE!</v>
      </c>
      <c r="IN111" t="e">
        <f>AND(Bills!H400,"AAAAAF99Wfc=")</f>
        <v>#VALUE!</v>
      </c>
      <c r="IO111" t="e">
        <f>AND(Bills!I400,"AAAAAF99Wfg=")</f>
        <v>#VALUE!</v>
      </c>
      <c r="IP111" t="e">
        <f>AND(Bills!J400,"AAAAAF99Wfk=")</f>
        <v>#VALUE!</v>
      </c>
      <c r="IQ111" t="e">
        <f>AND(Bills!K400,"AAAAAF99Wfo=")</f>
        <v>#VALUE!</v>
      </c>
      <c r="IR111" t="e">
        <f>AND(Bills!L400,"AAAAAF99Wfs=")</f>
        <v>#VALUE!</v>
      </c>
      <c r="IS111" t="e">
        <f>AND(Bills!#REF!,"AAAAAF99Wfw=")</f>
        <v>#REF!</v>
      </c>
      <c r="IT111" t="e">
        <f>AND(Bills!M400,"AAAAAF99Wf0=")</f>
        <v>#VALUE!</v>
      </c>
      <c r="IU111" t="e">
        <f>AND(Bills!N400,"AAAAAF99Wf4=")</f>
        <v>#VALUE!</v>
      </c>
      <c r="IV111" t="e">
        <f>AND(Bills!O400,"AAAAAF99Wf8=")</f>
        <v>#VALUE!</v>
      </c>
    </row>
    <row r="112" spans="1:256">
      <c r="A112" t="e">
        <f>AND(Bills!P400,"AAAAAD3/swA=")</f>
        <v>#VALUE!</v>
      </c>
      <c r="B112" t="e">
        <f>AND(Bills!Q400,"AAAAAD3/swE=")</f>
        <v>#VALUE!</v>
      </c>
      <c r="C112" t="e">
        <f>AND(Bills!R400,"AAAAAD3/swI=")</f>
        <v>#VALUE!</v>
      </c>
      <c r="D112" t="e">
        <f>AND(Bills!S400,"AAAAAD3/swM=")</f>
        <v>#VALUE!</v>
      </c>
      <c r="E112" t="e">
        <f>AND(Bills!T400,"AAAAAD3/swQ=")</f>
        <v>#VALUE!</v>
      </c>
      <c r="F112" t="e">
        <f>AND(Bills!#REF!,"AAAAAD3/swU=")</f>
        <v>#REF!</v>
      </c>
      <c r="G112" t="e">
        <f>AND(Bills!U400,"AAAAAD3/swY=")</f>
        <v>#VALUE!</v>
      </c>
      <c r="H112" t="e">
        <f>AND(Bills!V400,"AAAAAD3/swc=")</f>
        <v>#VALUE!</v>
      </c>
      <c r="I112" t="e">
        <f>AND(Bills!W400,"AAAAAD3/swg=")</f>
        <v>#VALUE!</v>
      </c>
      <c r="J112" t="e">
        <f>AND(Bills!#REF!,"AAAAAD3/swk=")</f>
        <v>#REF!</v>
      </c>
      <c r="K112" t="e">
        <f>AND(Bills!#REF!,"AAAAAD3/swo=")</f>
        <v>#REF!</v>
      </c>
      <c r="L112" t="e">
        <f>AND(Bills!Y400,"AAAAAD3/sws=")</f>
        <v>#VALUE!</v>
      </c>
      <c r="M112" t="e">
        <f>AND(Bills!Z400,"AAAAAD3/sww=")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AND(Bills!AA400,"AAAAAD3/sxY=")</f>
        <v>#VALUE!</v>
      </c>
      <c r="X112" t="e">
        <f>AND(Bills!AB400,"AAAAAD3/sxc=")</f>
        <v>#VALUE!</v>
      </c>
      <c r="Y112" t="e">
        <f>AND(Bills!#REF!,"AAAAAD3/sxg=")</f>
        <v>#REF!</v>
      </c>
      <c r="Z112" t="e">
        <f>AND(Bills!#REF!,"AAAAAD3/sxk=")</f>
        <v>#REF!</v>
      </c>
      <c r="AA112" t="e">
        <f>AND(Bills!#REF!,"AAAAAD3/sxo=")</f>
        <v>#REF!</v>
      </c>
      <c r="AB112" t="e">
        <f>AND(Bills!AC400,"AAAAAD3/sxs=")</f>
        <v>#VALUE!</v>
      </c>
      <c r="AC112" t="e">
        <f>AND(Bills!AD400,"AAAAAD3/sxw=")</f>
        <v>#VALUE!</v>
      </c>
      <c r="AD112" t="e">
        <f>AND(Bills!#REF!,"AAAAAD3/sx0=")</f>
        <v>#REF!</v>
      </c>
      <c r="AE112">
        <f>IF(Bills!401:401,"AAAAAD3/sx4=",0)</f>
        <v>0</v>
      </c>
      <c r="AF112" t="e">
        <f>AND(Bills!B401,"AAAAAD3/sx8=")</f>
        <v>#VALUE!</v>
      </c>
      <c r="AG112" t="e">
        <f>AND(Bills!#REF!,"AAAAAD3/syA=")</f>
        <v>#REF!</v>
      </c>
      <c r="AH112" t="e">
        <f>AND(Bills!C401,"AAAAAD3/syE=")</f>
        <v>#VALUE!</v>
      </c>
      <c r="AI112" t="e">
        <f>AND(Bills!D401,"AAAAAD3/syI=")</f>
        <v>#VALUE!</v>
      </c>
      <c r="AJ112" t="e">
        <f>AND(Bills!E401,"AAAAAD3/syM=")</f>
        <v>#VALUE!</v>
      </c>
      <c r="AK112" t="e">
        <f>AND(Bills!#REF!,"AAAAAD3/syQ=")</f>
        <v>#REF!</v>
      </c>
      <c r="AL112" t="e">
        <f>AND(Bills!#REF!,"AAAAAD3/syU=")</f>
        <v>#REF!</v>
      </c>
      <c r="AM112" t="e">
        <f>AND(Bills!#REF!,"AAAAAD3/syY=")</f>
        <v>#REF!</v>
      </c>
      <c r="AN112" t="e">
        <f>AND(Bills!F401,"AAAAAD3/syc=")</f>
        <v>#VALUE!</v>
      </c>
      <c r="AO112" t="e">
        <f>AND(Bills!#REF!,"AAAAAD3/syg=")</f>
        <v>#REF!</v>
      </c>
      <c r="AP112" t="e">
        <f>AND(Bills!G401,"AAAAAD3/syk=")</f>
        <v>#VALUE!</v>
      </c>
      <c r="AQ112" t="e">
        <f>AND(Bills!H401,"AAAAAD3/syo=")</f>
        <v>#VALUE!</v>
      </c>
      <c r="AR112" t="e">
        <f>AND(Bills!I401,"AAAAAD3/sys=")</f>
        <v>#VALUE!</v>
      </c>
      <c r="AS112" t="e">
        <f>AND(Bills!J401,"AAAAAD3/syw=")</f>
        <v>#VALUE!</v>
      </c>
      <c r="AT112" t="e">
        <f>AND(Bills!K401,"AAAAAD3/sy0=")</f>
        <v>#VALUE!</v>
      </c>
      <c r="AU112" t="e">
        <f>AND(Bills!L401,"AAAAAD3/sy4=")</f>
        <v>#VALUE!</v>
      </c>
      <c r="AV112" t="e">
        <f>AND(Bills!#REF!,"AAAAAD3/sy8=")</f>
        <v>#REF!</v>
      </c>
      <c r="AW112" t="e">
        <f>AND(Bills!M401,"AAAAAD3/szA=")</f>
        <v>#VALUE!</v>
      </c>
      <c r="AX112" t="e">
        <f>AND(Bills!N401,"AAAAAD3/szE=")</f>
        <v>#VALUE!</v>
      </c>
      <c r="AY112" t="e">
        <f>AND(Bills!O401,"AAAAAD3/szI=")</f>
        <v>#VALUE!</v>
      </c>
      <c r="AZ112" t="e">
        <f>AND(Bills!P401,"AAAAAD3/szM=")</f>
        <v>#VALUE!</v>
      </c>
      <c r="BA112" t="e">
        <f>AND(Bills!Q401,"AAAAAD3/szQ=")</f>
        <v>#VALUE!</v>
      </c>
      <c r="BB112" t="e">
        <f>AND(Bills!R401,"AAAAAD3/szU=")</f>
        <v>#VALUE!</v>
      </c>
      <c r="BC112" t="e">
        <f>AND(Bills!S401,"AAAAAD3/szY=")</f>
        <v>#VALUE!</v>
      </c>
      <c r="BD112" t="e">
        <f>AND(Bills!T401,"AAAAAD3/szc=")</f>
        <v>#VALUE!</v>
      </c>
      <c r="BE112" t="e">
        <f>AND(Bills!#REF!,"AAAAAD3/szg=")</f>
        <v>#REF!</v>
      </c>
      <c r="BF112" t="e">
        <f>AND(Bills!U401,"AAAAAD3/szk=")</f>
        <v>#VALUE!</v>
      </c>
      <c r="BG112" t="e">
        <f>AND(Bills!V401,"AAAAAD3/szo=")</f>
        <v>#VALUE!</v>
      </c>
      <c r="BH112" t="e">
        <f>AND(Bills!W401,"AAAAAD3/szs=")</f>
        <v>#VALUE!</v>
      </c>
      <c r="BI112" t="e">
        <f>AND(Bills!#REF!,"AAAAAD3/szw=")</f>
        <v>#REF!</v>
      </c>
      <c r="BJ112" t="e">
        <f>AND(Bills!#REF!,"AAAAAD3/sz0=")</f>
        <v>#REF!</v>
      </c>
      <c r="BK112" t="e">
        <f>AND(Bills!Y401,"AAAAAD3/sz4=")</f>
        <v>#VALUE!</v>
      </c>
      <c r="BL112" t="e">
        <f>AND(Bills!Z401,"AAAAAD3/sz8=")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AND(Bills!AA401,"AAAAAD3/s0k=")</f>
        <v>#VALUE!</v>
      </c>
      <c r="BW112" t="e">
        <f>AND(Bills!AB401,"AAAAAD3/s0o=")</f>
        <v>#VALUE!</v>
      </c>
      <c r="BX112" t="e">
        <f>AND(Bills!#REF!,"AAAAAD3/s0s=")</f>
        <v>#REF!</v>
      </c>
      <c r="BY112" t="e">
        <f>AND(Bills!#REF!,"AAAAAD3/s0w=")</f>
        <v>#REF!</v>
      </c>
      <c r="BZ112" t="e">
        <f>AND(Bills!#REF!,"AAAAAD3/s00=")</f>
        <v>#REF!</v>
      </c>
      <c r="CA112" t="e">
        <f>AND(Bills!AC401,"AAAAAD3/s04=")</f>
        <v>#VALUE!</v>
      </c>
      <c r="CB112" t="e">
        <f>AND(Bills!AD401,"AAAAAD3/s08=")</f>
        <v>#VALUE!</v>
      </c>
      <c r="CC112" t="e">
        <f>AND(Bills!#REF!,"AAAAAD3/s1A=")</f>
        <v>#REF!</v>
      </c>
      <c r="CD112">
        <f>IF(Bills!402:402,"AAAAAD3/s1E=",0)</f>
        <v>0</v>
      </c>
      <c r="CE112" t="e">
        <f>AND(Bills!B402,"AAAAAD3/s1I=")</f>
        <v>#VALUE!</v>
      </c>
      <c r="CF112" t="e">
        <f>AND(Bills!#REF!,"AAAAAD3/s1M=")</f>
        <v>#REF!</v>
      </c>
      <c r="CG112" t="e">
        <f>AND(Bills!C402,"AAAAAD3/s1Q=")</f>
        <v>#VALUE!</v>
      </c>
      <c r="CH112" t="e">
        <f>AND(Bills!D402,"AAAAAD3/s1U=")</f>
        <v>#VALUE!</v>
      </c>
      <c r="CI112" t="e">
        <f>AND(Bills!E402,"AAAAAD3/s1Y=")</f>
        <v>#VALUE!</v>
      </c>
      <c r="CJ112" t="e">
        <f>AND(Bills!#REF!,"AAAAAD3/s1c=")</f>
        <v>#REF!</v>
      </c>
      <c r="CK112" t="e">
        <f>AND(Bills!#REF!,"AAAAAD3/s1g=")</f>
        <v>#REF!</v>
      </c>
      <c r="CL112" t="e">
        <f>AND(Bills!#REF!,"AAAAAD3/s1k=")</f>
        <v>#REF!</v>
      </c>
      <c r="CM112" t="e">
        <f>AND(Bills!F402,"AAAAAD3/s1o=")</f>
        <v>#VALUE!</v>
      </c>
      <c r="CN112" t="e">
        <f>AND(Bills!#REF!,"AAAAAD3/s1s=")</f>
        <v>#REF!</v>
      </c>
      <c r="CO112" t="e">
        <f>AND(Bills!G402,"AAAAAD3/s1w=")</f>
        <v>#VALUE!</v>
      </c>
      <c r="CP112" t="e">
        <f>AND(Bills!H402,"AAAAAD3/s10=")</f>
        <v>#VALUE!</v>
      </c>
      <c r="CQ112" t="e">
        <f>AND(Bills!I402,"AAAAAD3/s14=")</f>
        <v>#VALUE!</v>
      </c>
      <c r="CR112" t="e">
        <f>AND(Bills!J402,"AAAAAD3/s18=")</f>
        <v>#VALUE!</v>
      </c>
      <c r="CS112" t="e">
        <f>AND(Bills!K402,"AAAAAD3/s2A=")</f>
        <v>#VALUE!</v>
      </c>
      <c r="CT112" t="e">
        <f>AND(Bills!L402,"AAAAAD3/s2E=")</f>
        <v>#VALUE!</v>
      </c>
      <c r="CU112" t="e">
        <f>AND(Bills!#REF!,"AAAAAD3/s2I=")</f>
        <v>#REF!</v>
      </c>
      <c r="CV112" t="e">
        <f>AND(Bills!M402,"AAAAAD3/s2M=")</f>
        <v>#VALUE!</v>
      </c>
      <c r="CW112" t="e">
        <f>AND(Bills!N402,"AAAAAD3/s2Q=")</f>
        <v>#VALUE!</v>
      </c>
      <c r="CX112" t="e">
        <f>AND(Bills!O402,"AAAAAD3/s2U=")</f>
        <v>#VALUE!</v>
      </c>
      <c r="CY112" t="e">
        <f>AND(Bills!P402,"AAAAAD3/s2Y=")</f>
        <v>#VALUE!</v>
      </c>
      <c r="CZ112" t="e">
        <f>AND(Bills!Q402,"AAAAAD3/s2c=")</f>
        <v>#VALUE!</v>
      </c>
      <c r="DA112" t="e">
        <f>AND(Bills!R402,"AAAAAD3/s2g=")</f>
        <v>#VALUE!</v>
      </c>
      <c r="DB112" t="e">
        <f>AND(Bills!S402,"AAAAAD3/s2k=")</f>
        <v>#VALUE!</v>
      </c>
      <c r="DC112" t="e">
        <f>AND(Bills!T402,"AAAAAD3/s2o=")</f>
        <v>#VALUE!</v>
      </c>
      <c r="DD112" t="e">
        <f>AND(Bills!#REF!,"AAAAAD3/s2s=")</f>
        <v>#REF!</v>
      </c>
      <c r="DE112" t="e">
        <f>AND(Bills!U402,"AAAAAD3/s2w=")</f>
        <v>#VALUE!</v>
      </c>
      <c r="DF112" t="e">
        <f>AND(Bills!V402,"AAAAAD3/s20=")</f>
        <v>#VALUE!</v>
      </c>
      <c r="DG112" t="e">
        <f>AND(Bills!W402,"AAAAAD3/s24=")</f>
        <v>#VALUE!</v>
      </c>
      <c r="DH112" t="e">
        <f>AND(Bills!#REF!,"AAAAAD3/s28=")</f>
        <v>#REF!</v>
      </c>
      <c r="DI112" t="e">
        <f>AND(Bills!#REF!,"AAAAAD3/s3A=")</f>
        <v>#REF!</v>
      </c>
      <c r="DJ112" t="e">
        <f>AND(Bills!Y402,"AAAAAD3/s3E=")</f>
        <v>#VALUE!</v>
      </c>
      <c r="DK112" t="e">
        <f>AND(Bills!Z402,"AAAAAD3/s3I=")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AND(Bills!AA402,"AAAAAD3/s3w=")</f>
        <v>#VALUE!</v>
      </c>
      <c r="DV112" t="e">
        <f>AND(Bills!AB402,"AAAAAD3/s30=")</f>
        <v>#VALUE!</v>
      </c>
      <c r="DW112" t="e">
        <f>AND(Bills!#REF!,"AAAAAD3/s34=")</f>
        <v>#REF!</v>
      </c>
      <c r="DX112" t="e">
        <f>AND(Bills!#REF!,"AAAAAD3/s38=")</f>
        <v>#REF!</v>
      </c>
      <c r="DY112" t="e">
        <f>AND(Bills!#REF!,"AAAAAD3/s4A=")</f>
        <v>#REF!</v>
      </c>
      <c r="DZ112" t="e">
        <f>AND(Bills!AC402,"AAAAAD3/s4E=")</f>
        <v>#VALUE!</v>
      </c>
      <c r="EA112" t="e">
        <f>AND(Bills!AD402,"AAAAAD3/s4I=")</f>
        <v>#VALUE!</v>
      </c>
      <c r="EB112" t="e">
        <f>AND(Bills!#REF!,"AAAAAD3/s4M=")</f>
        <v>#REF!</v>
      </c>
      <c r="EC112">
        <f>IF(Bills!403:403,"AAAAAD3/s4Q=",0)</f>
        <v>0</v>
      </c>
      <c r="ED112" t="e">
        <f>AND(Bills!B403,"AAAAAD3/s4U=")</f>
        <v>#VALUE!</v>
      </c>
      <c r="EE112" t="e">
        <f>AND(Bills!#REF!,"AAAAAD3/s4Y=")</f>
        <v>#REF!</v>
      </c>
      <c r="EF112" t="e">
        <f>AND(Bills!C403,"AAAAAD3/s4c=")</f>
        <v>#VALUE!</v>
      </c>
      <c r="EG112" t="e">
        <f>AND(Bills!D403,"AAAAAD3/s4g=")</f>
        <v>#VALUE!</v>
      </c>
      <c r="EH112" t="e">
        <f>AND(Bills!E403,"AAAAAD3/s4k=")</f>
        <v>#VALUE!</v>
      </c>
      <c r="EI112" t="e">
        <f>AND(Bills!#REF!,"AAAAAD3/s4o=")</f>
        <v>#REF!</v>
      </c>
      <c r="EJ112" t="e">
        <f>AND(Bills!#REF!,"AAAAAD3/s4s=")</f>
        <v>#REF!</v>
      </c>
      <c r="EK112" t="e">
        <f>AND(Bills!#REF!,"AAAAAD3/s4w=")</f>
        <v>#REF!</v>
      </c>
      <c r="EL112" t="e">
        <f>AND(Bills!F403,"AAAAAD3/s40=")</f>
        <v>#VALUE!</v>
      </c>
      <c r="EM112" t="e">
        <f>AND(Bills!#REF!,"AAAAAD3/s44=")</f>
        <v>#REF!</v>
      </c>
      <c r="EN112" t="e">
        <f>AND(Bills!G403,"AAAAAD3/s48=")</f>
        <v>#VALUE!</v>
      </c>
      <c r="EO112" t="e">
        <f>AND(Bills!H403,"AAAAAD3/s5A=")</f>
        <v>#VALUE!</v>
      </c>
      <c r="EP112" t="e">
        <f>AND(Bills!I403,"AAAAAD3/s5E=")</f>
        <v>#VALUE!</v>
      </c>
      <c r="EQ112" t="e">
        <f>AND(Bills!J403,"AAAAAD3/s5I=")</f>
        <v>#VALUE!</v>
      </c>
      <c r="ER112" t="e">
        <f>AND(Bills!K403,"AAAAAD3/s5M=")</f>
        <v>#VALUE!</v>
      </c>
      <c r="ES112" t="e">
        <f>AND(Bills!L403,"AAAAAD3/s5Q=")</f>
        <v>#VALUE!</v>
      </c>
      <c r="ET112" t="e">
        <f>AND(Bills!#REF!,"AAAAAD3/s5U=")</f>
        <v>#REF!</v>
      </c>
      <c r="EU112" t="e">
        <f>AND(Bills!M403,"AAAAAD3/s5Y=")</f>
        <v>#VALUE!</v>
      </c>
      <c r="EV112" t="e">
        <f>AND(Bills!N403,"AAAAAD3/s5c=")</f>
        <v>#VALUE!</v>
      </c>
      <c r="EW112" t="e">
        <f>AND(Bills!O403,"AAAAAD3/s5g=")</f>
        <v>#VALUE!</v>
      </c>
      <c r="EX112" t="e">
        <f>AND(Bills!P403,"AAAAAD3/s5k=")</f>
        <v>#VALUE!</v>
      </c>
      <c r="EY112" t="e">
        <f>AND(Bills!Q403,"AAAAAD3/s5o=")</f>
        <v>#VALUE!</v>
      </c>
      <c r="EZ112" t="e">
        <f>AND(Bills!R403,"AAAAAD3/s5s=")</f>
        <v>#VALUE!</v>
      </c>
      <c r="FA112" t="e">
        <f>AND(Bills!S403,"AAAAAD3/s5w=")</f>
        <v>#VALUE!</v>
      </c>
      <c r="FB112" t="e">
        <f>AND(Bills!T403,"AAAAAD3/s50=")</f>
        <v>#VALUE!</v>
      </c>
      <c r="FC112" t="e">
        <f>AND(Bills!#REF!,"AAAAAD3/s54=")</f>
        <v>#REF!</v>
      </c>
      <c r="FD112" t="e">
        <f>AND(Bills!U403,"AAAAAD3/s58=")</f>
        <v>#VALUE!</v>
      </c>
      <c r="FE112" t="e">
        <f>AND(Bills!V403,"AAAAAD3/s6A=")</f>
        <v>#VALUE!</v>
      </c>
      <c r="FF112" t="e">
        <f>AND(Bills!W403,"AAAAAD3/s6E=")</f>
        <v>#VALUE!</v>
      </c>
      <c r="FG112" t="e">
        <f>AND(Bills!#REF!,"AAAAAD3/s6I=")</f>
        <v>#REF!</v>
      </c>
      <c r="FH112" t="e">
        <f>AND(Bills!#REF!,"AAAAAD3/s6M=")</f>
        <v>#REF!</v>
      </c>
      <c r="FI112" t="e">
        <f>AND(Bills!Y403,"AAAAAD3/s6Q=")</f>
        <v>#VALUE!</v>
      </c>
      <c r="FJ112" t="e">
        <f>AND(Bills!Z403,"AAAAAD3/s6U=")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AND(Bills!AA403,"AAAAAD3/s68=")</f>
        <v>#VALUE!</v>
      </c>
      <c r="FU112" t="e">
        <f>AND(Bills!AB403,"AAAAAD3/s7A=")</f>
        <v>#VALUE!</v>
      </c>
      <c r="FV112" t="e">
        <f>AND(Bills!#REF!,"AAAAAD3/s7E=")</f>
        <v>#REF!</v>
      </c>
      <c r="FW112" t="e">
        <f>AND(Bills!#REF!,"AAAAAD3/s7I=")</f>
        <v>#REF!</v>
      </c>
      <c r="FX112" t="e">
        <f>AND(Bills!#REF!,"AAAAAD3/s7M=")</f>
        <v>#REF!</v>
      </c>
      <c r="FY112" t="e">
        <f>AND(Bills!AC403,"AAAAAD3/s7Q=")</f>
        <v>#VALUE!</v>
      </c>
      <c r="FZ112" t="e">
        <f>AND(Bills!AD403,"AAAAAD3/s7U=")</f>
        <v>#VALUE!</v>
      </c>
      <c r="GA112" t="e">
        <f>AND(Bills!#REF!,"AAAAAD3/s7Y=")</f>
        <v>#REF!</v>
      </c>
      <c r="GB112">
        <f>IF(Bills!404:404,"AAAAAD3/s7c=",0)</f>
        <v>0</v>
      </c>
      <c r="GC112" t="e">
        <f>AND(Bills!B404,"AAAAAD3/s7g=")</f>
        <v>#VALUE!</v>
      </c>
      <c r="GD112" t="e">
        <f>AND(Bills!#REF!,"AAAAAD3/s7k=")</f>
        <v>#REF!</v>
      </c>
      <c r="GE112" t="e">
        <f>AND(Bills!C404,"AAAAAD3/s7o=")</f>
        <v>#VALUE!</v>
      </c>
      <c r="GF112" t="e">
        <f>AND(Bills!D404,"AAAAAD3/s7s=")</f>
        <v>#VALUE!</v>
      </c>
      <c r="GG112" t="e">
        <f>AND(Bills!E404,"AAAAAD3/s7w=")</f>
        <v>#VALUE!</v>
      </c>
      <c r="GH112" t="e">
        <f>AND(Bills!#REF!,"AAAAAD3/s70=")</f>
        <v>#REF!</v>
      </c>
      <c r="GI112" t="e">
        <f>AND(Bills!#REF!,"AAAAAD3/s74=")</f>
        <v>#REF!</v>
      </c>
      <c r="GJ112" t="e">
        <f>AND(Bills!#REF!,"AAAAAD3/s78=")</f>
        <v>#REF!</v>
      </c>
      <c r="GK112" t="e">
        <f>AND(Bills!F404,"AAAAAD3/s8A=")</f>
        <v>#VALUE!</v>
      </c>
      <c r="GL112" t="e">
        <f>AND(Bills!#REF!,"AAAAAD3/s8E=")</f>
        <v>#REF!</v>
      </c>
      <c r="GM112" t="e">
        <f>AND(Bills!G404,"AAAAAD3/s8I=")</f>
        <v>#VALUE!</v>
      </c>
      <c r="GN112" t="e">
        <f>AND(Bills!H404,"AAAAAD3/s8M=")</f>
        <v>#VALUE!</v>
      </c>
      <c r="GO112" t="e">
        <f>AND(Bills!I404,"AAAAAD3/s8Q=")</f>
        <v>#VALUE!</v>
      </c>
      <c r="GP112" t="e">
        <f>AND(Bills!J404,"AAAAAD3/s8U=")</f>
        <v>#VALUE!</v>
      </c>
      <c r="GQ112" t="e">
        <f>AND(Bills!K404,"AAAAAD3/s8Y=")</f>
        <v>#VALUE!</v>
      </c>
      <c r="GR112" t="e">
        <f>AND(Bills!L404,"AAAAAD3/s8c=")</f>
        <v>#VALUE!</v>
      </c>
      <c r="GS112" t="e">
        <f>AND(Bills!#REF!,"AAAAAD3/s8g=")</f>
        <v>#REF!</v>
      </c>
      <c r="GT112" t="e">
        <f>AND(Bills!M404,"AAAAAD3/s8k=")</f>
        <v>#VALUE!</v>
      </c>
      <c r="GU112" t="e">
        <f>AND(Bills!N404,"AAAAAD3/s8o=")</f>
        <v>#VALUE!</v>
      </c>
      <c r="GV112" t="e">
        <f>AND(Bills!O404,"AAAAAD3/s8s=")</f>
        <v>#VALUE!</v>
      </c>
      <c r="GW112" t="e">
        <f>AND(Bills!P404,"AAAAAD3/s8w=")</f>
        <v>#VALUE!</v>
      </c>
      <c r="GX112" t="e">
        <f>AND(Bills!Q404,"AAAAAD3/s80=")</f>
        <v>#VALUE!</v>
      </c>
      <c r="GY112" t="e">
        <f>AND(Bills!R404,"AAAAAD3/s84=")</f>
        <v>#VALUE!</v>
      </c>
      <c r="GZ112" t="e">
        <f>AND(Bills!S404,"AAAAAD3/s88=")</f>
        <v>#VALUE!</v>
      </c>
      <c r="HA112" t="e">
        <f>AND(Bills!T404,"AAAAAD3/s9A=")</f>
        <v>#VALUE!</v>
      </c>
      <c r="HB112" t="e">
        <f>AND(Bills!#REF!,"AAAAAD3/s9E=")</f>
        <v>#REF!</v>
      </c>
      <c r="HC112" t="e">
        <f>AND(Bills!U404,"AAAAAD3/s9I=")</f>
        <v>#VALUE!</v>
      </c>
      <c r="HD112" t="e">
        <f>AND(Bills!V404,"AAAAAD3/s9M=")</f>
        <v>#VALUE!</v>
      </c>
      <c r="HE112" t="e">
        <f>AND(Bills!W404,"AAAAAD3/s9Q=")</f>
        <v>#VALUE!</v>
      </c>
      <c r="HF112" t="e">
        <f>AND(Bills!#REF!,"AAAAAD3/s9U=")</f>
        <v>#REF!</v>
      </c>
      <c r="HG112" t="e">
        <f>AND(Bills!#REF!,"AAAAAD3/s9Y=")</f>
        <v>#REF!</v>
      </c>
      <c r="HH112" t="e">
        <f>AND(Bills!Y404,"AAAAAD3/s9c=")</f>
        <v>#VALUE!</v>
      </c>
      <c r="HI112" t="e">
        <f>AND(Bills!Z404,"AAAAAD3/s9g=")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AND(Bills!AA404,"AAAAAD3/s+I=")</f>
        <v>#VALUE!</v>
      </c>
      <c r="HT112" t="e">
        <f>AND(Bills!AB404,"AAAAAD3/s+M=")</f>
        <v>#VALUE!</v>
      </c>
      <c r="HU112" t="e">
        <f>AND(Bills!#REF!,"AAAAAD3/s+Q=")</f>
        <v>#REF!</v>
      </c>
      <c r="HV112" t="e">
        <f>AND(Bills!#REF!,"AAAAAD3/s+U=")</f>
        <v>#REF!</v>
      </c>
      <c r="HW112" t="e">
        <f>AND(Bills!#REF!,"AAAAAD3/s+Y=")</f>
        <v>#REF!</v>
      </c>
      <c r="HX112" t="e">
        <f>AND(Bills!AC404,"AAAAAD3/s+c=")</f>
        <v>#VALUE!</v>
      </c>
      <c r="HY112" t="e">
        <f>AND(Bills!AD404,"AAAAAD3/s+g=")</f>
        <v>#VALUE!</v>
      </c>
      <c r="HZ112" t="e">
        <f>AND(Bills!#REF!,"AAAAAD3/s+k=")</f>
        <v>#REF!</v>
      </c>
      <c r="IA112">
        <f>IF(Bills!405:405,"AAAAAD3/s+o=",0)</f>
        <v>0</v>
      </c>
      <c r="IB112" t="e">
        <f>AND(Bills!B405,"AAAAAD3/s+s=")</f>
        <v>#VALUE!</v>
      </c>
      <c r="IC112" t="e">
        <f>AND(Bills!#REF!,"AAAAAD3/s+w=")</f>
        <v>#REF!</v>
      </c>
      <c r="ID112" t="e">
        <f>AND(Bills!C405,"AAAAAD3/s+0=")</f>
        <v>#VALUE!</v>
      </c>
      <c r="IE112" t="e">
        <f>AND(Bills!D405,"AAAAAD3/s+4=")</f>
        <v>#VALUE!</v>
      </c>
      <c r="IF112" t="e">
        <f>AND(Bills!E405,"AAAAAD3/s+8=")</f>
        <v>#VALUE!</v>
      </c>
      <c r="IG112" t="e">
        <f>AND(Bills!#REF!,"AAAAAD3/s/A=")</f>
        <v>#REF!</v>
      </c>
      <c r="IH112" t="e">
        <f>AND(Bills!#REF!,"AAAAAD3/s/E=")</f>
        <v>#REF!</v>
      </c>
      <c r="II112" t="e">
        <f>AND(Bills!#REF!,"AAAAAD3/s/I=")</f>
        <v>#REF!</v>
      </c>
      <c r="IJ112" t="e">
        <f>AND(Bills!F405,"AAAAAD3/s/M=")</f>
        <v>#VALUE!</v>
      </c>
      <c r="IK112" t="e">
        <f>AND(Bills!#REF!,"AAAAAD3/s/Q=")</f>
        <v>#REF!</v>
      </c>
      <c r="IL112" t="e">
        <f>AND(Bills!G405,"AAAAAD3/s/U=")</f>
        <v>#VALUE!</v>
      </c>
      <c r="IM112" t="e">
        <f>AND(Bills!H405,"AAAAAD3/s/Y=")</f>
        <v>#VALUE!</v>
      </c>
      <c r="IN112" t="e">
        <f>AND(Bills!I405,"AAAAAD3/s/c=")</f>
        <v>#VALUE!</v>
      </c>
      <c r="IO112" t="e">
        <f>AND(Bills!J405,"AAAAAD3/s/g=")</f>
        <v>#VALUE!</v>
      </c>
      <c r="IP112" t="e">
        <f>AND(Bills!K405,"AAAAAD3/s/k=")</f>
        <v>#VALUE!</v>
      </c>
      <c r="IQ112" t="e">
        <f>AND(Bills!L405,"AAAAAD3/s/o=")</f>
        <v>#VALUE!</v>
      </c>
      <c r="IR112" t="e">
        <f>AND(Bills!#REF!,"AAAAAD3/s/s=")</f>
        <v>#REF!</v>
      </c>
      <c r="IS112" t="e">
        <f>AND(Bills!M405,"AAAAAD3/s/w=")</f>
        <v>#VALUE!</v>
      </c>
      <c r="IT112" t="e">
        <f>AND(Bills!N405,"AAAAAD3/s/0=")</f>
        <v>#VALUE!</v>
      </c>
      <c r="IU112" t="e">
        <f>AND(Bills!O405,"AAAAAD3/s/4=")</f>
        <v>#VALUE!</v>
      </c>
      <c r="IV112" t="e">
        <f>AND(Bills!P405,"AAAAAD3/s/8=")</f>
        <v>#VALUE!</v>
      </c>
    </row>
    <row r="113" spans="1:256">
      <c r="A113" t="e">
        <f>AND(Bills!Q405,"AAAAAF9/7wA=")</f>
        <v>#VALUE!</v>
      </c>
      <c r="B113" t="e">
        <f>AND(Bills!R405,"AAAAAF9/7wE=")</f>
        <v>#VALUE!</v>
      </c>
      <c r="C113" t="e">
        <f>AND(Bills!S405,"AAAAAF9/7wI=")</f>
        <v>#VALUE!</v>
      </c>
      <c r="D113" t="e">
        <f>AND(Bills!T405,"AAAAAF9/7wM=")</f>
        <v>#VALUE!</v>
      </c>
      <c r="E113" t="e">
        <f>AND(Bills!#REF!,"AAAAAF9/7wQ=")</f>
        <v>#REF!</v>
      </c>
      <c r="F113" t="e">
        <f>AND(Bills!U405,"AAAAAF9/7wU=")</f>
        <v>#VALUE!</v>
      </c>
      <c r="G113" t="e">
        <f>AND(Bills!V405,"AAAAAF9/7wY=")</f>
        <v>#VALUE!</v>
      </c>
      <c r="H113" t="e">
        <f>AND(Bills!W405,"AAAAAF9/7wc=")</f>
        <v>#VALUE!</v>
      </c>
      <c r="I113" t="e">
        <f>AND(Bills!#REF!,"AAAAAF9/7wg=")</f>
        <v>#REF!</v>
      </c>
      <c r="J113" t="e">
        <f>AND(Bills!#REF!,"AAAAAF9/7wk=")</f>
        <v>#REF!</v>
      </c>
      <c r="K113" t="e">
        <f>AND(Bills!Y405,"AAAAAF9/7wo=")</f>
        <v>#VALUE!</v>
      </c>
      <c r="L113" t="e">
        <f>AND(Bills!Z405,"AAAAAF9/7ws=")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AND(Bills!AA405,"AAAAAF9/7xU=")</f>
        <v>#VALUE!</v>
      </c>
      <c r="W113" t="e">
        <f>AND(Bills!AB405,"AAAAAF9/7xY=")</f>
        <v>#VALUE!</v>
      </c>
      <c r="X113" t="e">
        <f>AND(Bills!#REF!,"AAAAAF9/7xc=")</f>
        <v>#REF!</v>
      </c>
      <c r="Y113" t="e">
        <f>AND(Bills!#REF!,"AAAAAF9/7xg=")</f>
        <v>#REF!</v>
      </c>
      <c r="Z113" t="e">
        <f>AND(Bills!#REF!,"AAAAAF9/7xk=")</f>
        <v>#REF!</v>
      </c>
      <c r="AA113" t="e">
        <f>AND(Bills!AC405,"AAAAAF9/7xo=")</f>
        <v>#VALUE!</v>
      </c>
      <c r="AB113" t="e">
        <f>AND(Bills!AD405,"AAAAAF9/7xs=")</f>
        <v>#VALUE!</v>
      </c>
      <c r="AC113" t="e">
        <f>AND(Bills!#REF!,"AAAAAF9/7xw=")</f>
        <v>#REF!</v>
      </c>
      <c r="AD113">
        <f>IF(Bills!406:406,"AAAAAF9/7x0=",0)</f>
        <v>0</v>
      </c>
      <c r="AE113" t="e">
        <f>AND(Bills!B406,"AAAAAF9/7x4=")</f>
        <v>#VALUE!</v>
      </c>
      <c r="AF113" t="e">
        <f>AND(Bills!#REF!,"AAAAAF9/7x8=")</f>
        <v>#REF!</v>
      </c>
      <c r="AG113" t="e">
        <f>AND(Bills!C406,"AAAAAF9/7yA=")</f>
        <v>#VALUE!</v>
      </c>
      <c r="AH113" t="e">
        <f>AND(Bills!D406,"AAAAAF9/7yE=")</f>
        <v>#VALUE!</v>
      </c>
      <c r="AI113" t="e">
        <f>AND(Bills!E406,"AAAAAF9/7yI=")</f>
        <v>#VALUE!</v>
      </c>
      <c r="AJ113" t="e">
        <f>AND(Bills!#REF!,"AAAAAF9/7yM=")</f>
        <v>#REF!</v>
      </c>
      <c r="AK113" t="e">
        <f>AND(Bills!#REF!,"AAAAAF9/7yQ=")</f>
        <v>#REF!</v>
      </c>
      <c r="AL113" t="e">
        <f>AND(Bills!#REF!,"AAAAAF9/7yU=")</f>
        <v>#REF!</v>
      </c>
      <c r="AM113" t="e">
        <f>AND(Bills!F406,"AAAAAF9/7yY=")</f>
        <v>#VALUE!</v>
      </c>
      <c r="AN113" t="e">
        <f>AND(Bills!#REF!,"AAAAAF9/7yc=")</f>
        <v>#REF!</v>
      </c>
      <c r="AO113" t="e">
        <f>AND(Bills!G406,"AAAAAF9/7yg=")</f>
        <v>#VALUE!</v>
      </c>
      <c r="AP113" t="e">
        <f>AND(Bills!H406,"AAAAAF9/7yk=")</f>
        <v>#VALUE!</v>
      </c>
      <c r="AQ113" t="e">
        <f>AND(Bills!I406,"AAAAAF9/7yo=")</f>
        <v>#VALUE!</v>
      </c>
      <c r="AR113" t="e">
        <f>AND(Bills!J406,"AAAAAF9/7ys=")</f>
        <v>#VALUE!</v>
      </c>
      <c r="AS113" t="e">
        <f>AND(Bills!K406,"AAAAAF9/7yw=")</f>
        <v>#VALUE!</v>
      </c>
      <c r="AT113" t="e">
        <f>AND(Bills!L406,"AAAAAF9/7y0=")</f>
        <v>#VALUE!</v>
      </c>
      <c r="AU113" t="e">
        <f>AND(Bills!#REF!,"AAAAAF9/7y4=")</f>
        <v>#REF!</v>
      </c>
      <c r="AV113" t="e">
        <f>AND(Bills!M406,"AAAAAF9/7y8=")</f>
        <v>#VALUE!</v>
      </c>
      <c r="AW113" t="e">
        <f>AND(Bills!N406,"AAAAAF9/7zA=")</f>
        <v>#VALUE!</v>
      </c>
      <c r="AX113" t="e">
        <f>AND(Bills!O406,"AAAAAF9/7zE=")</f>
        <v>#VALUE!</v>
      </c>
      <c r="AY113" t="e">
        <f>AND(Bills!P406,"AAAAAF9/7zI=")</f>
        <v>#VALUE!</v>
      </c>
      <c r="AZ113" t="e">
        <f>AND(Bills!Q406,"AAAAAF9/7zM=")</f>
        <v>#VALUE!</v>
      </c>
      <c r="BA113" t="e">
        <f>AND(Bills!R406,"AAAAAF9/7zQ=")</f>
        <v>#VALUE!</v>
      </c>
      <c r="BB113" t="e">
        <f>AND(Bills!S406,"AAAAAF9/7zU=")</f>
        <v>#VALUE!</v>
      </c>
      <c r="BC113" t="e">
        <f>AND(Bills!T406,"AAAAAF9/7zY=")</f>
        <v>#VALUE!</v>
      </c>
      <c r="BD113" t="e">
        <f>AND(Bills!#REF!,"AAAAAF9/7zc=")</f>
        <v>#REF!</v>
      </c>
      <c r="BE113" t="e">
        <f>AND(Bills!U406,"AAAAAF9/7zg=")</f>
        <v>#VALUE!</v>
      </c>
      <c r="BF113" t="e">
        <f>AND(Bills!V406,"AAAAAF9/7zk=")</f>
        <v>#VALUE!</v>
      </c>
      <c r="BG113" t="e">
        <f>AND(Bills!W406,"AAAAAF9/7zo=")</f>
        <v>#VALUE!</v>
      </c>
      <c r="BH113" t="e">
        <f>AND(Bills!#REF!,"AAAAAF9/7zs=")</f>
        <v>#REF!</v>
      </c>
      <c r="BI113" t="e">
        <f>AND(Bills!#REF!,"AAAAAF9/7zw=")</f>
        <v>#REF!</v>
      </c>
      <c r="BJ113" t="e">
        <f>AND(Bills!Y406,"AAAAAF9/7z0=")</f>
        <v>#VALUE!</v>
      </c>
      <c r="BK113" t="e">
        <f>AND(Bills!Z406,"AAAAAF9/7z4=")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AND(Bills!AA406,"AAAAAF9/70g=")</f>
        <v>#VALUE!</v>
      </c>
      <c r="BV113" t="e">
        <f>AND(Bills!AB406,"AAAAAF9/70k=")</f>
        <v>#VALUE!</v>
      </c>
      <c r="BW113" t="e">
        <f>AND(Bills!#REF!,"AAAAAF9/70o=")</f>
        <v>#REF!</v>
      </c>
      <c r="BX113" t="e">
        <f>AND(Bills!#REF!,"AAAAAF9/70s=")</f>
        <v>#REF!</v>
      </c>
      <c r="BY113" t="e">
        <f>AND(Bills!#REF!,"AAAAAF9/70w=")</f>
        <v>#REF!</v>
      </c>
      <c r="BZ113" t="e">
        <f>AND(Bills!AC406,"AAAAAF9/700=")</f>
        <v>#VALUE!</v>
      </c>
      <c r="CA113" t="e">
        <f>AND(Bills!AD406,"AAAAAF9/704=")</f>
        <v>#VALUE!</v>
      </c>
      <c r="CB113" t="e">
        <f>AND(Bills!#REF!,"AAAAAF9/708=")</f>
        <v>#REF!</v>
      </c>
      <c r="CC113">
        <f>IF(Bills!407:407,"AAAAAF9/71A=",0)</f>
        <v>0</v>
      </c>
      <c r="CD113" t="e">
        <f>AND(Bills!B407,"AAAAAF9/71E=")</f>
        <v>#VALUE!</v>
      </c>
      <c r="CE113" t="e">
        <f>AND(Bills!#REF!,"AAAAAF9/71I=")</f>
        <v>#REF!</v>
      </c>
      <c r="CF113" t="e">
        <f>AND(Bills!C407,"AAAAAF9/71M=")</f>
        <v>#VALUE!</v>
      </c>
      <c r="CG113" t="e">
        <f>AND(Bills!D407,"AAAAAF9/71Q=")</f>
        <v>#VALUE!</v>
      </c>
      <c r="CH113" t="e">
        <f>AND(Bills!E407,"AAAAAF9/71U=")</f>
        <v>#VALUE!</v>
      </c>
      <c r="CI113" t="e">
        <f>AND(Bills!#REF!,"AAAAAF9/71Y=")</f>
        <v>#REF!</v>
      </c>
      <c r="CJ113" t="e">
        <f>AND(Bills!#REF!,"AAAAAF9/71c=")</f>
        <v>#REF!</v>
      </c>
      <c r="CK113" t="e">
        <f>AND(Bills!#REF!,"AAAAAF9/71g=")</f>
        <v>#REF!</v>
      </c>
      <c r="CL113" t="e">
        <f>AND(Bills!F407,"AAAAAF9/71k=")</f>
        <v>#VALUE!</v>
      </c>
      <c r="CM113" t="e">
        <f>AND(Bills!#REF!,"AAAAAF9/71o=")</f>
        <v>#REF!</v>
      </c>
      <c r="CN113" t="e">
        <f>AND(Bills!G407,"AAAAAF9/71s=")</f>
        <v>#VALUE!</v>
      </c>
      <c r="CO113" t="e">
        <f>AND(Bills!H407,"AAAAAF9/71w=")</f>
        <v>#VALUE!</v>
      </c>
      <c r="CP113" t="e">
        <f>AND(Bills!I407,"AAAAAF9/710=")</f>
        <v>#VALUE!</v>
      </c>
      <c r="CQ113" t="e">
        <f>AND(Bills!J407,"AAAAAF9/714=")</f>
        <v>#VALUE!</v>
      </c>
      <c r="CR113" t="e">
        <f>AND(Bills!K407,"AAAAAF9/718=")</f>
        <v>#VALUE!</v>
      </c>
      <c r="CS113" t="e">
        <f>AND(Bills!L407,"AAAAAF9/72A=")</f>
        <v>#VALUE!</v>
      </c>
      <c r="CT113" t="e">
        <f>AND(Bills!#REF!,"AAAAAF9/72E=")</f>
        <v>#REF!</v>
      </c>
      <c r="CU113" t="e">
        <f>AND(Bills!M407,"AAAAAF9/72I=")</f>
        <v>#VALUE!</v>
      </c>
      <c r="CV113" t="e">
        <f>AND(Bills!N407,"AAAAAF9/72M=")</f>
        <v>#VALUE!</v>
      </c>
      <c r="CW113" t="e">
        <f>AND(Bills!O407,"AAAAAF9/72Q=")</f>
        <v>#VALUE!</v>
      </c>
      <c r="CX113" t="e">
        <f>AND(Bills!P407,"AAAAAF9/72U=")</f>
        <v>#VALUE!</v>
      </c>
      <c r="CY113" t="e">
        <f>AND(Bills!Q407,"AAAAAF9/72Y=")</f>
        <v>#VALUE!</v>
      </c>
      <c r="CZ113" t="e">
        <f>AND(Bills!R407,"AAAAAF9/72c=")</f>
        <v>#VALUE!</v>
      </c>
      <c r="DA113" t="e">
        <f>AND(Bills!S407,"AAAAAF9/72g=")</f>
        <v>#VALUE!</v>
      </c>
      <c r="DB113" t="e">
        <f>AND(Bills!T407,"AAAAAF9/72k=")</f>
        <v>#VALUE!</v>
      </c>
      <c r="DC113" t="e">
        <f>AND(Bills!#REF!,"AAAAAF9/72o=")</f>
        <v>#REF!</v>
      </c>
      <c r="DD113" t="e">
        <f>AND(Bills!U407,"AAAAAF9/72s=")</f>
        <v>#VALUE!</v>
      </c>
      <c r="DE113" t="e">
        <f>AND(Bills!V407,"AAAAAF9/72w=")</f>
        <v>#VALUE!</v>
      </c>
      <c r="DF113" t="e">
        <f>AND(Bills!W407,"AAAAAF9/720=")</f>
        <v>#VALUE!</v>
      </c>
      <c r="DG113" t="e">
        <f>AND(Bills!#REF!,"AAAAAF9/724=")</f>
        <v>#REF!</v>
      </c>
      <c r="DH113" t="e">
        <f>AND(Bills!#REF!,"AAAAAF9/728=")</f>
        <v>#REF!</v>
      </c>
      <c r="DI113" t="e">
        <f>AND(Bills!Y407,"AAAAAF9/73A=")</f>
        <v>#VALUE!</v>
      </c>
      <c r="DJ113" t="e">
        <f>AND(Bills!Z407,"AAAAAF9/73E=")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AND(Bills!AA407,"AAAAAF9/73s=")</f>
        <v>#VALUE!</v>
      </c>
      <c r="DU113" t="e">
        <f>AND(Bills!AB407,"AAAAAF9/73w=")</f>
        <v>#VALUE!</v>
      </c>
      <c r="DV113" t="e">
        <f>AND(Bills!#REF!,"AAAAAF9/730=")</f>
        <v>#REF!</v>
      </c>
      <c r="DW113" t="e">
        <f>AND(Bills!#REF!,"AAAAAF9/734=")</f>
        <v>#REF!</v>
      </c>
      <c r="DX113" t="e">
        <f>AND(Bills!#REF!,"AAAAAF9/738=")</f>
        <v>#REF!</v>
      </c>
      <c r="DY113" t="e">
        <f>AND(Bills!AC407,"AAAAAF9/74A=")</f>
        <v>#VALUE!</v>
      </c>
      <c r="DZ113" t="e">
        <f>AND(Bills!AD407,"AAAAAF9/74E=")</f>
        <v>#VALUE!</v>
      </c>
      <c r="EA113" t="e">
        <f>AND(Bills!#REF!,"AAAAAF9/74I=")</f>
        <v>#REF!</v>
      </c>
      <c r="EB113">
        <f>IF(Bills!408:408,"AAAAAF9/74M=",0)</f>
        <v>0</v>
      </c>
      <c r="EC113" t="e">
        <f>AND(Bills!B408,"AAAAAF9/74Q=")</f>
        <v>#VALUE!</v>
      </c>
      <c r="ED113" t="e">
        <f>AND(Bills!#REF!,"AAAAAF9/74U=")</f>
        <v>#REF!</v>
      </c>
      <c r="EE113" t="e">
        <f>AND(Bills!C408,"AAAAAF9/74Y=")</f>
        <v>#VALUE!</v>
      </c>
      <c r="EF113" t="e">
        <f>AND(Bills!D408,"AAAAAF9/74c=")</f>
        <v>#VALUE!</v>
      </c>
      <c r="EG113" t="e">
        <f>AND(Bills!E408,"AAAAAF9/74g=")</f>
        <v>#VALUE!</v>
      </c>
      <c r="EH113" t="e">
        <f>AND(Bills!#REF!,"AAAAAF9/74k=")</f>
        <v>#REF!</v>
      </c>
      <c r="EI113" t="e">
        <f>AND(Bills!#REF!,"AAAAAF9/74o=")</f>
        <v>#REF!</v>
      </c>
      <c r="EJ113" t="e">
        <f>AND(Bills!#REF!,"AAAAAF9/74s=")</f>
        <v>#REF!</v>
      </c>
      <c r="EK113" t="e">
        <f>AND(Bills!F408,"AAAAAF9/74w=")</f>
        <v>#VALUE!</v>
      </c>
      <c r="EL113" t="e">
        <f>AND(Bills!#REF!,"AAAAAF9/740=")</f>
        <v>#REF!</v>
      </c>
      <c r="EM113" t="e">
        <f>AND(Bills!G408,"AAAAAF9/744=")</f>
        <v>#VALUE!</v>
      </c>
      <c r="EN113" t="e">
        <f>AND(Bills!H408,"AAAAAF9/748=")</f>
        <v>#VALUE!</v>
      </c>
      <c r="EO113" t="e">
        <f>AND(Bills!I408,"AAAAAF9/75A=")</f>
        <v>#VALUE!</v>
      </c>
      <c r="EP113" t="e">
        <f>AND(Bills!J408,"AAAAAF9/75E=")</f>
        <v>#VALUE!</v>
      </c>
      <c r="EQ113" t="e">
        <f>AND(Bills!K408,"AAAAAF9/75I=")</f>
        <v>#VALUE!</v>
      </c>
      <c r="ER113" t="e">
        <f>AND(Bills!L408,"AAAAAF9/75M=")</f>
        <v>#VALUE!</v>
      </c>
      <c r="ES113" t="e">
        <f>AND(Bills!#REF!,"AAAAAF9/75Q=")</f>
        <v>#REF!</v>
      </c>
      <c r="ET113" t="e">
        <f>AND(Bills!M408,"AAAAAF9/75U=")</f>
        <v>#VALUE!</v>
      </c>
      <c r="EU113" t="e">
        <f>AND(Bills!N408,"AAAAAF9/75Y=")</f>
        <v>#VALUE!</v>
      </c>
      <c r="EV113" t="e">
        <f>AND(Bills!O408,"AAAAAF9/75c=")</f>
        <v>#VALUE!</v>
      </c>
      <c r="EW113" t="e">
        <f>AND(Bills!P408,"AAAAAF9/75g=")</f>
        <v>#VALUE!</v>
      </c>
      <c r="EX113" t="e">
        <f>AND(Bills!Q408,"AAAAAF9/75k=")</f>
        <v>#VALUE!</v>
      </c>
      <c r="EY113" t="e">
        <f>AND(Bills!R408,"AAAAAF9/75o=")</f>
        <v>#VALUE!</v>
      </c>
      <c r="EZ113" t="e">
        <f>AND(Bills!S408,"AAAAAF9/75s=")</f>
        <v>#VALUE!</v>
      </c>
      <c r="FA113" t="e">
        <f>AND(Bills!T408,"AAAAAF9/75w=")</f>
        <v>#VALUE!</v>
      </c>
      <c r="FB113" t="e">
        <f>AND(Bills!#REF!,"AAAAAF9/750=")</f>
        <v>#REF!</v>
      </c>
      <c r="FC113" t="e">
        <f>AND(Bills!U408,"AAAAAF9/754=")</f>
        <v>#VALUE!</v>
      </c>
      <c r="FD113" t="e">
        <f>AND(Bills!V408,"AAAAAF9/758=")</f>
        <v>#VALUE!</v>
      </c>
      <c r="FE113" t="e">
        <f>AND(Bills!W408,"AAAAAF9/76A=")</f>
        <v>#VALUE!</v>
      </c>
      <c r="FF113" t="e">
        <f>AND(Bills!#REF!,"AAAAAF9/76E=")</f>
        <v>#REF!</v>
      </c>
      <c r="FG113" t="e">
        <f>AND(Bills!#REF!,"AAAAAF9/76I=")</f>
        <v>#REF!</v>
      </c>
      <c r="FH113" t="e">
        <f>AND(Bills!Y408,"AAAAAF9/76M=")</f>
        <v>#VALUE!</v>
      </c>
      <c r="FI113" t="e">
        <f>AND(Bills!Z408,"AAAAAF9/76Q=")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AND(Bills!AA408,"AAAAAF9/764=")</f>
        <v>#VALUE!</v>
      </c>
      <c r="FT113" t="e">
        <f>AND(Bills!AB408,"AAAAAF9/768=")</f>
        <v>#VALUE!</v>
      </c>
      <c r="FU113" t="e">
        <f>AND(Bills!#REF!,"AAAAAF9/77A=")</f>
        <v>#REF!</v>
      </c>
      <c r="FV113" t="e">
        <f>AND(Bills!#REF!,"AAAAAF9/77E=")</f>
        <v>#REF!</v>
      </c>
      <c r="FW113" t="e">
        <f>AND(Bills!#REF!,"AAAAAF9/77I=")</f>
        <v>#REF!</v>
      </c>
      <c r="FX113" t="e">
        <f>AND(Bills!AC408,"AAAAAF9/77M=")</f>
        <v>#VALUE!</v>
      </c>
      <c r="FY113" t="e">
        <f>AND(Bills!AD408,"AAAAAF9/77Q=")</f>
        <v>#VALUE!</v>
      </c>
      <c r="FZ113" t="e">
        <f>AND(Bills!#REF!,"AAAAAF9/77U=")</f>
        <v>#REF!</v>
      </c>
      <c r="GA113">
        <f>IF(Bills!409:409,"AAAAAF9/77Y=",0)</f>
        <v>0</v>
      </c>
      <c r="GB113" t="e">
        <f>AND(Bills!B409,"AAAAAF9/77c=")</f>
        <v>#VALUE!</v>
      </c>
      <c r="GC113" t="e">
        <f>AND(Bills!#REF!,"AAAAAF9/77g=")</f>
        <v>#REF!</v>
      </c>
      <c r="GD113" t="e">
        <f>AND(Bills!C409,"AAAAAF9/77k=")</f>
        <v>#VALUE!</v>
      </c>
      <c r="GE113" t="e">
        <f>AND(Bills!D409,"AAAAAF9/77o=")</f>
        <v>#VALUE!</v>
      </c>
      <c r="GF113" t="e">
        <f>AND(Bills!E409,"AAAAAF9/77s=")</f>
        <v>#VALUE!</v>
      </c>
      <c r="GG113" t="e">
        <f>AND(Bills!#REF!,"AAAAAF9/77w=")</f>
        <v>#REF!</v>
      </c>
      <c r="GH113" t="e">
        <f>AND(Bills!#REF!,"AAAAAF9/770=")</f>
        <v>#REF!</v>
      </c>
      <c r="GI113" t="e">
        <f>AND(Bills!#REF!,"AAAAAF9/774=")</f>
        <v>#REF!</v>
      </c>
      <c r="GJ113" t="e">
        <f>AND(Bills!F409,"AAAAAF9/778=")</f>
        <v>#VALUE!</v>
      </c>
      <c r="GK113" t="e">
        <f>AND(Bills!#REF!,"AAAAAF9/78A=")</f>
        <v>#REF!</v>
      </c>
      <c r="GL113" t="e">
        <f>AND(Bills!G409,"AAAAAF9/78E=")</f>
        <v>#VALUE!</v>
      </c>
      <c r="GM113" t="e">
        <f>AND(Bills!H409,"AAAAAF9/78I=")</f>
        <v>#VALUE!</v>
      </c>
      <c r="GN113" t="e">
        <f>AND(Bills!I409,"AAAAAF9/78M=")</f>
        <v>#VALUE!</v>
      </c>
      <c r="GO113" t="e">
        <f>AND(Bills!J409,"AAAAAF9/78Q=")</f>
        <v>#VALUE!</v>
      </c>
      <c r="GP113" t="e">
        <f>AND(Bills!K409,"AAAAAF9/78U=")</f>
        <v>#VALUE!</v>
      </c>
      <c r="GQ113" t="e">
        <f>AND(Bills!L409,"AAAAAF9/78Y=")</f>
        <v>#VALUE!</v>
      </c>
      <c r="GR113" t="e">
        <f>AND(Bills!#REF!,"AAAAAF9/78c=")</f>
        <v>#REF!</v>
      </c>
      <c r="GS113" t="e">
        <f>AND(Bills!M409,"AAAAAF9/78g=")</f>
        <v>#VALUE!</v>
      </c>
      <c r="GT113" t="e">
        <f>AND(Bills!N409,"AAAAAF9/78k=")</f>
        <v>#VALUE!</v>
      </c>
      <c r="GU113" t="e">
        <f>AND(Bills!O409,"AAAAAF9/78o=")</f>
        <v>#VALUE!</v>
      </c>
      <c r="GV113" t="e">
        <f>AND(Bills!P409,"AAAAAF9/78s=")</f>
        <v>#VALUE!</v>
      </c>
      <c r="GW113" t="e">
        <f>AND(Bills!Q409,"AAAAAF9/78w=")</f>
        <v>#VALUE!</v>
      </c>
      <c r="GX113" t="e">
        <f>AND(Bills!R409,"AAAAAF9/780=")</f>
        <v>#VALUE!</v>
      </c>
      <c r="GY113" t="e">
        <f>AND(Bills!S409,"AAAAAF9/784=")</f>
        <v>#VALUE!</v>
      </c>
      <c r="GZ113" t="e">
        <f>AND(Bills!T409,"AAAAAF9/788=")</f>
        <v>#VALUE!</v>
      </c>
      <c r="HA113" t="e">
        <f>AND(Bills!#REF!,"AAAAAF9/79A=")</f>
        <v>#REF!</v>
      </c>
      <c r="HB113" t="e">
        <f>AND(Bills!U409,"AAAAAF9/79E=")</f>
        <v>#VALUE!</v>
      </c>
      <c r="HC113" t="e">
        <f>AND(Bills!V409,"AAAAAF9/79I=")</f>
        <v>#VALUE!</v>
      </c>
      <c r="HD113" t="e">
        <f>AND(Bills!W409,"AAAAAF9/79M=")</f>
        <v>#VALUE!</v>
      </c>
      <c r="HE113" t="e">
        <f>AND(Bills!#REF!,"AAAAAF9/79Q=")</f>
        <v>#REF!</v>
      </c>
      <c r="HF113" t="e">
        <f>AND(Bills!#REF!,"AAAAAF9/79U=")</f>
        <v>#REF!</v>
      </c>
      <c r="HG113" t="e">
        <f>AND(Bills!Y409,"AAAAAF9/79Y=")</f>
        <v>#VALUE!</v>
      </c>
      <c r="HH113" t="e">
        <f>AND(Bills!Z409,"AAAAAF9/79c=")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AND(Bills!AA409,"AAAAAF9/7+E=")</f>
        <v>#VALUE!</v>
      </c>
      <c r="HS113" t="e">
        <f>AND(Bills!AB409,"AAAAAF9/7+I=")</f>
        <v>#VALUE!</v>
      </c>
      <c r="HT113" t="e">
        <f>AND(Bills!#REF!,"AAAAAF9/7+M=")</f>
        <v>#REF!</v>
      </c>
      <c r="HU113" t="e">
        <f>AND(Bills!#REF!,"AAAAAF9/7+Q=")</f>
        <v>#REF!</v>
      </c>
      <c r="HV113" t="e">
        <f>AND(Bills!#REF!,"AAAAAF9/7+U=")</f>
        <v>#REF!</v>
      </c>
      <c r="HW113" t="e">
        <f>AND(Bills!AC409,"AAAAAF9/7+Y=")</f>
        <v>#VALUE!</v>
      </c>
      <c r="HX113" t="e">
        <f>AND(Bills!AD409,"AAAAAF9/7+c=")</f>
        <v>#VALUE!</v>
      </c>
      <c r="HY113" t="e">
        <f>AND(Bills!#REF!,"AAAAAF9/7+g=")</f>
        <v>#REF!</v>
      </c>
      <c r="HZ113">
        <f>IF(Bills!410:410,"AAAAAF9/7+k=",0)</f>
        <v>0</v>
      </c>
      <c r="IA113" t="e">
        <f>AND(Bills!B410,"AAAAAF9/7+o=")</f>
        <v>#VALUE!</v>
      </c>
      <c r="IB113" t="e">
        <f>AND(Bills!#REF!,"AAAAAF9/7+s=")</f>
        <v>#REF!</v>
      </c>
      <c r="IC113" t="e">
        <f>AND(Bills!C410,"AAAAAF9/7+w=")</f>
        <v>#VALUE!</v>
      </c>
      <c r="ID113" t="e">
        <f>AND(Bills!D410,"AAAAAF9/7+0=")</f>
        <v>#VALUE!</v>
      </c>
      <c r="IE113" t="e">
        <f>AND(Bills!E410,"AAAAAF9/7+4=")</f>
        <v>#VALUE!</v>
      </c>
      <c r="IF113" t="e">
        <f>AND(Bills!#REF!,"AAAAAF9/7+8=")</f>
        <v>#REF!</v>
      </c>
      <c r="IG113" t="e">
        <f>AND(Bills!#REF!,"AAAAAF9/7/A=")</f>
        <v>#REF!</v>
      </c>
      <c r="IH113" t="e">
        <f>AND(Bills!#REF!,"AAAAAF9/7/E=")</f>
        <v>#REF!</v>
      </c>
      <c r="II113" t="e">
        <f>AND(Bills!F410,"AAAAAF9/7/I=")</f>
        <v>#VALUE!</v>
      </c>
      <c r="IJ113" t="e">
        <f>AND(Bills!#REF!,"AAAAAF9/7/M=")</f>
        <v>#REF!</v>
      </c>
      <c r="IK113" t="e">
        <f>AND(Bills!G410,"AAAAAF9/7/Q=")</f>
        <v>#VALUE!</v>
      </c>
      <c r="IL113" t="e">
        <f>AND(Bills!H410,"AAAAAF9/7/U=")</f>
        <v>#VALUE!</v>
      </c>
      <c r="IM113" t="e">
        <f>AND(Bills!I410,"AAAAAF9/7/Y=")</f>
        <v>#VALUE!</v>
      </c>
      <c r="IN113" t="e">
        <f>AND(Bills!J410,"AAAAAF9/7/c=")</f>
        <v>#VALUE!</v>
      </c>
      <c r="IO113" t="e">
        <f>AND(Bills!K410,"AAAAAF9/7/g=")</f>
        <v>#VALUE!</v>
      </c>
      <c r="IP113" t="e">
        <f>AND(Bills!L410,"AAAAAF9/7/k=")</f>
        <v>#VALUE!</v>
      </c>
      <c r="IQ113" t="e">
        <f>AND(Bills!#REF!,"AAAAAF9/7/o=")</f>
        <v>#REF!</v>
      </c>
      <c r="IR113" t="e">
        <f>AND(Bills!M410,"AAAAAF9/7/s=")</f>
        <v>#VALUE!</v>
      </c>
      <c r="IS113" t="e">
        <f>AND(Bills!N410,"AAAAAF9/7/w=")</f>
        <v>#VALUE!</v>
      </c>
      <c r="IT113" t="e">
        <f>AND(Bills!O410,"AAAAAF9/7/0=")</f>
        <v>#VALUE!</v>
      </c>
      <c r="IU113" t="e">
        <f>AND(Bills!P410,"AAAAAF9/7/4=")</f>
        <v>#VALUE!</v>
      </c>
      <c r="IV113" t="e">
        <f>AND(Bills!Q410,"AAAAAF9/7/8=")</f>
        <v>#VALUE!</v>
      </c>
    </row>
    <row r="114" spans="1:256">
      <c r="A114" t="e">
        <f>AND(Bills!R410,"AAAAAH886wA=")</f>
        <v>#VALUE!</v>
      </c>
      <c r="B114" t="e">
        <f>AND(Bills!S410,"AAAAAH886wE=")</f>
        <v>#VALUE!</v>
      </c>
      <c r="C114" t="e">
        <f>AND(Bills!T410,"AAAAAH886wI=")</f>
        <v>#VALUE!</v>
      </c>
      <c r="D114" t="e">
        <f>AND(Bills!#REF!,"AAAAAH886wM=")</f>
        <v>#REF!</v>
      </c>
      <c r="E114" t="e">
        <f>AND(Bills!U410,"AAAAAH886wQ=")</f>
        <v>#VALUE!</v>
      </c>
      <c r="F114" t="e">
        <f>AND(Bills!V410,"AAAAAH886wU=")</f>
        <v>#VALUE!</v>
      </c>
      <c r="G114" t="e">
        <f>AND(Bills!W410,"AAAAAH886wY=")</f>
        <v>#VALUE!</v>
      </c>
      <c r="H114" t="e">
        <f>AND(Bills!#REF!,"AAAAAH886wc=")</f>
        <v>#REF!</v>
      </c>
      <c r="I114" t="e">
        <f>AND(Bills!#REF!,"AAAAAH886wg=")</f>
        <v>#REF!</v>
      </c>
      <c r="J114" t="e">
        <f>AND(Bills!Y410,"AAAAAH886wk=")</f>
        <v>#VALUE!</v>
      </c>
      <c r="K114" t="e">
        <f>AND(Bills!Z410,"AAAAAH886wo=")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AND(Bills!AA410,"AAAAAH886xQ=")</f>
        <v>#VALUE!</v>
      </c>
      <c r="V114" t="e">
        <f>AND(Bills!AB410,"AAAAAH886xU=")</f>
        <v>#VALUE!</v>
      </c>
      <c r="W114" t="e">
        <f>AND(Bills!#REF!,"AAAAAH886xY=")</f>
        <v>#REF!</v>
      </c>
      <c r="X114" t="e">
        <f>AND(Bills!#REF!,"AAAAAH886xc=")</f>
        <v>#REF!</v>
      </c>
      <c r="Y114" t="e">
        <f>AND(Bills!#REF!,"AAAAAH886xg=")</f>
        <v>#REF!</v>
      </c>
      <c r="Z114" t="e">
        <f>AND(Bills!AC410,"AAAAAH886xk=")</f>
        <v>#VALUE!</v>
      </c>
      <c r="AA114" t="e">
        <f>AND(Bills!AD410,"AAAAAH886xo=")</f>
        <v>#VALUE!</v>
      </c>
      <c r="AB114" t="e">
        <f>AND(Bills!#REF!,"AAAAAH886xs=")</f>
        <v>#REF!</v>
      </c>
      <c r="AC114">
        <f>IF(Bills!411:411,"AAAAAH886xw=",0)</f>
        <v>0</v>
      </c>
      <c r="AD114" t="e">
        <f>AND(Bills!B411,"AAAAAH886x0=")</f>
        <v>#VALUE!</v>
      </c>
      <c r="AE114" t="e">
        <f>AND(Bills!#REF!,"AAAAAH886x4=")</f>
        <v>#REF!</v>
      </c>
      <c r="AF114" t="e">
        <f>AND(Bills!C411,"AAAAAH886x8=")</f>
        <v>#VALUE!</v>
      </c>
      <c r="AG114" t="e">
        <f>AND(Bills!D411,"AAAAAH886yA=")</f>
        <v>#VALUE!</v>
      </c>
      <c r="AH114" t="e">
        <f>AND(Bills!E411,"AAAAAH886yE=")</f>
        <v>#VALUE!</v>
      </c>
      <c r="AI114" t="e">
        <f>AND(Bills!#REF!,"AAAAAH886yI=")</f>
        <v>#REF!</v>
      </c>
      <c r="AJ114" t="e">
        <f>AND(Bills!#REF!,"AAAAAH886yM=")</f>
        <v>#REF!</v>
      </c>
      <c r="AK114" t="e">
        <f>AND(Bills!#REF!,"AAAAAH886yQ=")</f>
        <v>#REF!</v>
      </c>
      <c r="AL114" t="e">
        <f>AND(Bills!F411,"AAAAAH886yU=")</f>
        <v>#VALUE!</v>
      </c>
      <c r="AM114" t="e">
        <f>AND(Bills!#REF!,"AAAAAH886yY=")</f>
        <v>#REF!</v>
      </c>
      <c r="AN114" t="e">
        <f>AND(Bills!G411,"AAAAAH886yc=")</f>
        <v>#VALUE!</v>
      </c>
      <c r="AO114" t="e">
        <f>AND(Bills!H411,"AAAAAH886yg=")</f>
        <v>#VALUE!</v>
      </c>
      <c r="AP114" t="e">
        <f>AND(Bills!I411,"AAAAAH886yk=")</f>
        <v>#VALUE!</v>
      </c>
      <c r="AQ114" t="e">
        <f>AND(Bills!J411,"AAAAAH886yo=")</f>
        <v>#VALUE!</v>
      </c>
      <c r="AR114" t="e">
        <f>AND(Bills!K411,"AAAAAH886ys=")</f>
        <v>#VALUE!</v>
      </c>
      <c r="AS114" t="e">
        <f>AND(Bills!L411,"AAAAAH886yw=")</f>
        <v>#VALUE!</v>
      </c>
      <c r="AT114" t="e">
        <f>AND(Bills!#REF!,"AAAAAH886y0=")</f>
        <v>#REF!</v>
      </c>
      <c r="AU114" t="e">
        <f>AND(Bills!M411,"AAAAAH886y4=")</f>
        <v>#VALUE!</v>
      </c>
      <c r="AV114" t="e">
        <f>AND(Bills!N411,"AAAAAH886y8=")</f>
        <v>#VALUE!</v>
      </c>
      <c r="AW114" t="e">
        <f>AND(Bills!O411,"AAAAAH886zA=")</f>
        <v>#VALUE!</v>
      </c>
      <c r="AX114" t="e">
        <f>AND(Bills!P411,"AAAAAH886zE=")</f>
        <v>#VALUE!</v>
      </c>
      <c r="AY114" t="e">
        <f>AND(Bills!Q411,"AAAAAH886zI=")</f>
        <v>#VALUE!</v>
      </c>
      <c r="AZ114" t="e">
        <f>AND(Bills!R411,"AAAAAH886zM=")</f>
        <v>#VALUE!</v>
      </c>
      <c r="BA114" t="e">
        <f>AND(Bills!S411,"AAAAAH886zQ=")</f>
        <v>#VALUE!</v>
      </c>
      <c r="BB114" t="e">
        <f>AND(Bills!T411,"AAAAAH886zU=")</f>
        <v>#VALUE!</v>
      </c>
      <c r="BC114" t="e">
        <f>AND(Bills!#REF!,"AAAAAH886zY=")</f>
        <v>#REF!</v>
      </c>
      <c r="BD114" t="e">
        <f>AND(Bills!U411,"AAAAAH886zc=")</f>
        <v>#VALUE!</v>
      </c>
      <c r="BE114" t="e">
        <f>AND(Bills!V411,"AAAAAH886zg=")</f>
        <v>#VALUE!</v>
      </c>
      <c r="BF114" t="e">
        <f>AND(Bills!W411,"AAAAAH886zk=")</f>
        <v>#VALUE!</v>
      </c>
      <c r="BG114" t="e">
        <f>AND(Bills!#REF!,"AAAAAH886zo=")</f>
        <v>#REF!</v>
      </c>
      <c r="BH114" t="e">
        <f>AND(Bills!#REF!,"AAAAAH886zs=")</f>
        <v>#REF!</v>
      </c>
      <c r="BI114" t="e">
        <f>AND(Bills!Y411,"AAAAAH886zw=")</f>
        <v>#VALUE!</v>
      </c>
      <c r="BJ114" t="e">
        <f>AND(Bills!Z411,"AAAAAH886z0=")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AND(Bills!AA411,"AAAAAH8860c=")</f>
        <v>#VALUE!</v>
      </c>
      <c r="BU114" t="e">
        <f>AND(Bills!AB411,"AAAAAH8860g=")</f>
        <v>#VALUE!</v>
      </c>
      <c r="BV114" t="e">
        <f>AND(Bills!#REF!,"AAAAAH8860k=")</f>
        <v>#REF!</v>
      </c>
      <c r="BW114" t="e">
        <f>AND(Bills!#REF!,"AAAAAH8860o=")</f>
        <v>#REF!</v>
      </c>
      <c r="BX114" t="e">
        <f>AND(Bills!#REF!,"AAAAAH8860s=")</f>
        <v>#REF!</v>
      </c>
      <c r="BY114" t="e">
        <f>AND(Bills!AC411,"AAAAAH8860w=")</f>
        <v>#VALUE!</v>
      </c>
      <c r="BZ114" t="e">
        <f>AND(Bills!AD411,"AAAAAH88600=")</f>
        <v>#VALUE!</v>
      </c>
      <c r="CA114" t="e">
        <f>AND(Bills!#REF!,"AAAAAH88604=")</f>
        <v>#REF!</v>
      </c>
      <c r="CB114">
        <f>IF(Bills!412:412,"AAAAAH88608=",0)</f>
        <v>0</v>
      </c>
      <c r="CC114" t="e">
        <f>AND(Bills!B412,"AAAAAH8861A=")</f>
        <v>#VALUE!</v>
      </c>
      <c r="CD114" t="e">
        <f>AND(Bills!#REF!,"AAAAAH8861E=")</f>
        <v>#REF!</v>
      </c>
      <c r="CE114" t="e">
        <f>AND(Bills!C412,"AAAAAH8861I=")</f>
        <v>#VALUE!</v>
      </c>
      <c r="CF114" t="e">
        <f>AND(Bills!D412,"AAAAAH8861M=")</f>
        <v>#VALUE!</v>
      </c>
      <c r="CG114" t="e">
        <f>AND(Bills!E412,"AAAAAH8861Q=")</f>
        <v>#VALUE!</v>
      </c>
      <c r="CH114" t="e">
        <f>AND(Bills!#REF!,"AAAAAH8861U=")</f>
        <v>#REF!</v>
      </c>
      <c r="CI114" t="e">
        <f>AND(Bills!#REF!,"AAAAAH8861Y=")</f>
        <v>#REF!</v>
      </c>
      <c r="CJ114" t="e">
        <f>AND(Bills!#REF!,"AAAAAH8861c=")</f>
        <v>#REF!</v>
      </c>
      <c r="CK114" t="e">
        <f>AND(Bills!F412,"AAAAAH8861g=")</f>
        <v>#VALUE!</v>
      </c>
      <c r="CL114" t="e">
        <f>AND(Bills!#REF!,"AAAAAH8861k=")</f>
        <v>#REF!</v>
      </c>
      <c r="CM114" t="e">
        <f>AND(Bills!G412,"AAAAAH8861o=")</f>
        <v>#VALUE!</v>
      </c>
      <c r="CN114" t="e">
        <f>AND(Bills!H412,"AAAAAH8861s=")</f>
        <v>#VALUE!</v>
      </c>
      <c r="CO114" t="e">
        <f>AND(Bills!I412,"AAAAAH8861w=")</f>
        <v>#VALUE!</v>
      </c>
      <c r="CP114" t="e">
        <f>AND(Bills!J412,"AAAAAH88610=")</f>
        <v>#VALUE!</v>
      </c>
      <c r="CQ114" t="e">
        <f>AND(Bills!K412,"AAAAAH88614=")</f>
        <v>#VALUE!</v>
      </c>
      <c r="CR114" t="e">
        <f>AND(Bills!L412,"AAAAAH88618=")</f>
        <v>#VALUE!</v>
      </c>
      <c r="CS114" t="e">
        <f>AND(Bills!#REF!,"AAAAAH8862A=")</f>
        <v>#REF!</v>
      </c>
      <c r="CT114" t="e">
        <f>AND(Bills!M412,"AAAAAH8862E=")</f>
        <v>#VALUE!</v>
      </c>
      <c r="CU114" t="e">
        <f>AND(Bills!N412,"AAAAAH8862I=")</f>
        <v>#VALUE!</v>
      </c>
      <c r="CV114" t="e">
        <f>AND(Bills!O412,"AAAAAH8862M=")</f>
        <v>#VALUE!</v>
      </c>
      <c r="CW114" t="e">
        <f>AND(Bills!P412,"AAAAAH8862Q=")</f>
        <v>#VALUE!</v>
      </c>
      <c r="CX114" t="e">
        <f>AND(Bills!Q412,"AAAAAH8862U=")</f>
        <v>#VALUE!</v>
      </c>
      <c r="CY114" t="e">
        <f>AND(Bills!R412,"AAAAAH8862Y=")</f>
        <v>#VALUE!</v>
      </c>
      <c r="CZ114" t="e">
        <f>AND(Bills!S412,"AAAAAH8862c=")</f>
        <v>#VALUE!</v>
      </c>
      <c r="DA114" t="e">
        <f>AND(Bills!T412,"AAAAAH8862g=")</f>
        <v>#VALUE!</v>
      </c>
      <c r="DB114" t="e">
        <f>AND(Bills!#REF!,"AAAAAH8862k=")</f>
        <v>#REF!</v>
      </c>
      <c r="DC114" t="e">
        <f>AND(Bills!U412,"AAAAAH8862o=")</f>
        <v>#VALUE!</v>
      </c>
      <c r="DD114" t="e">
        <f>AND(Bills!V412,"AAAAAH8862s=")</f>
        <v>#VALUE!</v>
      </c>
      <c r="DE114" t="e">
        <f>AND(Bills!W412,"AAAAAH8862w=")</f>
        <v>#VALUE!</v>
      </c>
      <c r="DF114" t="e">
        <f>AND(Bills!#REF!,"AAAAAH88620=")</f>
        <v>#REF!</v>
      </c>
      <c r="DG114" t="e">
        <f>AND(Bills!#REF!,"AAAAAH88624=")</f>
        <v>#REF!</v>
      </c>
      <c r="DH114" t="e">
        <f>AND(Bills!Y412,"AAAAAH88628=")</f>
        <v>#VALUE!</v>
      </c>
      <c r="DI114" t="e">
        <f>AND(Bills!Z412,"AAAAAH8863A=")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AND(Bills!AA412,"AAAAAH8863o=")</f>
        <v>#VALUE!</v>
      </c>
      <c r="DT114" t="e">
        <f>AND(Bills!AB412,"AAAAAH8863s=")</f>
        <v>#VALUE!</v>
      </c>
      <c r="DU114" t="e">
        <f>AND(Bills!#REF!,"AAAAAH8863w=")</f>
        <v>#REF!</v>
      </c>
      <c r="DV114" t="e">
        <f>AND(Bills!#REF!,"AAAAAH88630=")</f>
        <v>#REF!</v>
      </c>
      <c r="DW114" t="e">
        <f>AND(Bills!#REF!,"AAAAAH88634=")</f>
        <v>#REF!</v>
      </c>
      <c r="DX114" t="e">
        <f>AND(Bills!AC412,"AAAAAH88638=")</f>
        <v>#VALUE!</v>
      </c>
      <c r="DY114" t="e">
        <f>AND(Bills!AD412,"AAAAAH8864A=")</f>
        <v>#VALUE!</v>
      </c>
      <c r="DZ114" t="e">
        <f>AND(Bills!#REF!,"AAAAAH8864E=")</f>
        <v>#REF!</v>
      </c>
      <c r="EA114">
        <f>IF(Bills!413:413,"AAAAAH8864I=",0)</f>
        <v>0</v>
      </c>
      <c r="EB114" t="e">
        <f>AND(Bills!B413,"AAAAAH8864M=")</f>
        <v>#VALUE!</v>
      </c>
      <c r="EC114" t="e">
        <f>AND(Bills!#REF!,"AAAAAH8864Q=")</f>
        <v>#REF!</v>
      </c>
      <c r="ED114" t="e">
        <f>AND(Bills!C413,"AAAAAH8864U=")</f>
        <v>#VALUE!</v>
      </c>
      <c r="EE114" t="e">
        <f>AND(Bills!D413,"AAAAAH8864Y=")</f>
        <v>#VALUE!</v>
      </c>
      <c r="EF114" t="e">
        <f>AND(Bills!E413,"AAAAAH8864c=")</f>
        <v>#VALUE!</v>
      </c>
      <c r="EG114" t="e">
        <f>AND(Bills!#REF!,"AAAAAH8864g=")</f>
        <v>#REF!</v>
      </c>
      <c r="EH114" t="e">
        <f>AND(Bills!#REF!,"AAAAAH8864k=")</f>
        <v>#REF!</v>
      </c>
      <c r="EI114" t="e">
        <f>AND(Bills!#REF!,"AAAAAH8864o=")</f>
        <v>#REF!</v>
      </c>
      <c r="EJ114" t="e">
        <f>AND(Bills!F413,"AAAAAH8864s=")</f>
        <v>#VALUE!</v>
      </c>
      <c r="EK114" t="e">
        <f>AND(Bills!#REF!,"AAAAAH8864w=")</f>
        <v>#REF!</v>
      </c>
      <c r="EL114" t="e">
        <f>AND(Bills!G413,"AAAAAH88640=")</f>
        <v>#VALUE!</v>
      </c>
      <c r="EM114" t="e">
        <f>AND(Bills!H413,"AAAAAH88644=")</f>
        <v>#VALUE!</v>
      </c>
      <c r="EN114" t="e">
        <f>AND(Bills!I413,"AAAAAH88648=")</f>
        <v>#VALUE!</v>
      </c>
      <c r="EO114" t="e">
        <f>AND(Bills!J413,"AAAAAH8865A=")</f>
        <v>#VALUE!</v>
      </c>
      <c r="EP114" t="e">
        <f>AND(Bills!K413,"AAAAAH8865E=")</f>
        <v>#VALUE!</v>
      </c>
      <c r="EQ114" t="e">
        <f>AND(Bills!L413,"AAAAAH8865I=")</f>
        <v>#VALUE!</v>
      </c>
      <c r="ER114" t="e">
        <f>AND(Bills!#REF!,"AAAAAH8865M=")</f>
        <v>#REF!</v>
      </c>
      <c r="ES114" t="e">
        <f>AND(Bills!M413,"AAAAAH8865Q=")</f>
        <v>#VALUE!</v>
      </c>
      <c r="ET114" t="e">
        <f>AND(Bills!N413,"AAAAAH8865U=")</f>
        <v>#VALUE!</v>
      </c>
      <c r="EU114" t="e">
        <f>AND(Bills!O413,"AAAAAH8865Y=")</f>
        <v>#VALUE!</v>
      </c>
      <c r="EV114" t="e">
        <f>AND(Bills!P413,"AAAAAH8865c=")</f>
        <v>#VALUE!</v>
      </c>
      <c r="EW114" t="e">
        <f>AND(Bills!Q413,"AAAAAH8865g=")</f>
        <v>#VALUE!</v>
      </c>
      <c r="EX114" t="e">
        <f>AND(Bills!R413,"AAAAAH8865k=")</f>
        <v>#VALUE!</v>
      </c>
      <c r="EY114" t="e">
        <f>AND(Bills!S413,"AAAAAH8865o=")</f>
        <v>#VALUE!</v>
      </c>
      <c r="EZ114" t="e">
        <f>AND(Bills!T413,"AAAAAH8865s=")</f>
        <v>#VALUE!</v>
      </c>
      <c r="FA114" t="e">
        <f>AND(Bills!#REF!,"AAAAAH8865w=")</f>
        <v>#REF!</v>
      </c>
      <c r="FB114" t="e">
        <f>AND(Bills!U413,"AAAAAH88650=")</f>
        <v>#VALUE!</v>
      </c>
      <c r="FC114" t="e">
        <f>AND(Bills!V413,"AAAAAH88654=")</f>
        <v>#VALUE!</v>
      </c>
      <c r="FD114" t="e">
        <f>AND(Bills!W413,"AAAAAH88658=")</f>
        <v>#VALUE!</v>
      </c>
      <c r="FE114" t="e">
        <f>AND(Bills!#REF!,"AAAAAH8866A=")</f>
        <v>#REF!</v>
      </c>
      <c r="FF114" t="e">
        <f>AND(Bills!#REF!,"AAAAAH8866E=")</f>
        <v>#REF!</v>
      </c>
      <c r="FG114" t="e">
        <f>AND(Bills!Y413,"AAAAAH8866I=")</f>
        <v>#VALUE!</v>
      </c>
      <c r="FH114" t="e">
        <f>AND(Bills!Z413,"AAAAAH8866M=")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AND(Bills!AA413,"AAAAAH88660=")</f>
        <v>#VALUE!</v>
      </c>
      <c r="FS114" t="e">
        <f>AND(Bills!AB413,"AAAAAH88664=")</f>
        <v>#VALUE!</v>
      </c>
      <c r="FT114" t="e">
        <f>AND(Bills!#REF!,"AAAAAH88668=")</f>
        <v>#REF!</v>
      </c>
      <c r="FU114" t="e">
        <f>AND(Bills!#REF!,"AAAAAH8867A=")</f>
        <v>#REF!</v>
      </c>
      <c r="FV114" t="e">
        <f>AND(Bills!#REF!,"AAAAAH8867E=")</f>
        <v>#REF!</v>
      </c>
      <c r="FW114" t="e">
        <f>AND(Bills!AC413,"AAAAAH8867I=")</f>
        <v>#VALUE!</v>
      </c>
      <c r="FX114" t="e">
        <f>AND(Bills!AD413,"AAAAAH8867M=")</f>
        <v>#VALUE!</v>
      </c>
      <c r="FY114" t="e">
        <f>AND(Bills!#REF!,"AAAAAH8867Q=")</f>
        <v>#REF!</v>
      </c>
      <c r="FZ114">
        <f>IF(Bills!414:414,"AAAAAH8867U=",0)</f>
        <v>0</v>
      </c>
      <c r="GA114" t="e">
        <f>AND(Bills!B414,"AAAAAH8867Y=")</f>
        <v>#VALUE!</v>
      </c>
      <c r="GB114" t="e">
        <f>AND(Bills!#REF!,"AAAAAH8867c=")</f>
        <v>#REF!</v>
      </c>
      <c r="GC114" t="e">
        <f>AND(Bills!C414,"AAAAAH8867g=")</f>
        <v>#VALUE!</v>
      </c>
      <c r="GD114" t="e">
        <f>AND(Bills!D414,"AAAAAH8867k=")</f>
        <v>#VALUE!</v>
      </c>
      <c r="GE114" t="e">
        <f>AND(Bills!E414,"AAAAAH8867o=")</f>
        <v>#VALUE!</v>
      </c>
      <c r="GF114" t="e">
        <f>AND(Bills!#REF!,"AAAAAH8867s=")</f>
        <v>#REF!</v>
      </c>
      <c r="GG114" t="e">
        <f>AND(Bills!#REF!,"AAAAAH8867w=")</f>
        <v>#REF!</v>
      </c>
      <c r="GH114" t="e">
        <f>AND(Bills!#REF!,"AAAAAH88670=")</f>
        <v>#REF!</v>
      </c>
      <c r="GI114" t="e">
        <f>AND(Bills!F414,"AAAAAH88674=")</f>
        <v>#VALUE!</v>
      </c>
      <c r="GJ114" t="e">
        <f>AND(Bills!#REF!,"AAAAAH88678=")</f>
        <v>#REF!</v>
      </c>
      <c r="GK114" t="e">
        <f>AND(Bills!G414,"AAAAAH8868A=")</f>
        <v>#VALUE!</v>
      </c>
      <c r="GL114" t="e">
        <f>AND(Bills!H414,"AAAAAH8868E=")</f>
        <v>#VALUE!</v>
      </c>
      <c r="GM114" t="e">
        <f>AND(Bills!I414,"AAAAAH8868I=")</f>
        <v>#VALUE!</v>
      </c>
      <c r="GN114" t="e">
        <f>AND(Bills!J414,"AAAAAH8868M=")</f>
        <v>#VALUE!</v>
      </c>
      <c r="GO114" t="e">
        <f>AND(Bills!K414,"AAAAAH8868Q=")</f>
        <v>#VALUE!</v>
      </c>
      <c r="GP114" t="e">
        <f>AND(Bills!L414,"AAAAAH8868U=")</f>
        <v>#VALUE!</v>
      </c>
      <c r="GQ114" t="e">
        <f>AND(Bills!#REF!,"AAAAAH8868Y=")</f>
        <v>#REF!</v>
      </c>
      <c r="GR114" t="e">
        <f>AND(Bills!M414,"AAAAAH8868c=")</f>
        <v>#VALUE!</v>
      </c>
      <c r="GS114" t="e">
        <f>AND(Bills!N414,"AAAAAH8868g=")</f>
        <v>#VALUE!</v>
      </c>
      <c r="GT114" t="e">
        <f>AND(Bills!O414,"AAAAAH8868k=")</f>
        <v>#VALUE!</v>
      </c>
      <c r="GU114" t="e">
        <f>AND(Bills!P414,"AAAAAH8868o=")</f>
        <v>#VALUE!</v>
      </c>
      <c r="GV114" t="e">
        <f>AND(Bills!Q414,"AAAAAH8868s=")</f>
        <v>#VALUE!</v>
      </c>
      <c r="GW114" t="e">
        <f>AND(Bills!R414,"AAAAAH8868w=")</f>
        <v>#VALUE!</v>
      </c>
      <c r="GX114" t="e">
        <f>AND(Bills!S414,"AAAAAH88680=")</f>
        <v>#VALUE!</v>
      </c>
      <c r="GY114" t="e">
        <f>AND(Bills!T414,"AAAAAH88684=")</f>
        <v>#VALUE!</v>
      </c>
      <c r="GZ114" t="e">
        <f>AND(Bills!#REF!,"AAAAAH88688=")</f>
        <v>#REF!</v>
      </c>
      <c r="HA114" t="e">
        <f>AND(Bills!U414,"AAAAAH8869A=")</f>
        <v>#VALUE!</v>
      </c>
      <c r="HB114" t="e">
        <f>AND(Bills!V414,"AAAAAH8869E=")</f>
        <v>#VALUE!</v>
      </c>
      <c r="HC114" t="e">
        <f>AND(Bills!W414,"AAAAAH8869I=")</f>
        <v>#VALUE!</v>
      </c>
      <c r="HD114" t="e">
        <f>AND(Bills!#REF!,"AAAAAH8869M=")</f>
        <v>#REF!</v>
      </c>
      <c r="HE114" t="e">
        <f>AND(Bills!#REF!,"AAAAAH8869Q=")</f>
        <v>#REF!</v>
      </c>
      <c r="HF114" t="e">
        <f>AND(Bills!Y414,"AAAAAH8869U=")</f>
        <v>#VALUE!</v>
      </c>
      <c r="HG114" t="e">
        <f>AND(Bills!Z414,"AAAAAH8869Y=")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AND(Bills!AA414,"AAAAAH886+A=")</f>
        <v>#VALUE!</v>
      </c>
      <c r="HR114" t="e">
        <f>AND(Bills!AB414,"AAAAAH886+E=")</f>
        <v>#VALUE!</v>
      </c>
      <c r="HS114" t="e">
        <f>AND(Bills!#REF!,"AAAAAH886+I=")</f>
        <v>#REF!</v>
      </c>
      <c r="HT114" t="e">
        <f>AND(Bills!#REF!,"AAAAAH886+M=")</f>
        <v>#REF!</v>
      </c>
      <c r="HU114" t="e">
        <f>AND(Bills!#REF!,"AAAAAH886+Q=")</f>
        <v>#REF!</v>
      </c>
      <c r="HV114" t="e">
        <f>AND(Bills!AC414,"AAAAAH886+U=")</f>
        <v>#VALUE!</v>
      </c>
      <c r="HW114" t="e">
        <f>AND(Bills!AD414,"AAAAAH886+Y=")</f>
        <v>#VALUE!</v>
      </c>
      <c r="HX114" t="e">
        <f>AND(Bills!#REF!,"AAAAAH886+c=")</f>
        <v>#REF!</v>
      </c>
      <c r="HY114">
        <f>IF(Bills!415:415,"AAAAAH886+g=",0)</f>
        <v>0</v>
      </c>
      <c r="HZ114" t="e">
        <f>AND(Bills!B415,"AAAAAH886+k=")</f>
        <v>#VALUE!</v>
      </c>
      <c r="IA114" t="e">
        <f>AND(Bills!#REF!,"AAAAAH886+o=")</f>
        <v>#REF!</v>
      </c>
      <c r="IB114" t="e">
        <f>AND(Bills!C415,"AAAAAH886+s=")</f>
        <v>#VALUE!</v>
      </c>
      <c r="IC114" t="e">
        <f>AND(Bills!D415,"AAAAAH886+w=")</f>
        <v>#VALUE!</v>
      </c>
      <c r="ID114" t="e">
        <f>AND(Bills!E415,"AAAAAH886+0=")</f>
        <v>#VALUE!</v>
      </c>
      <c r="IE114" t="e">
        <f>AND(Bills!#REF!,"AAAAAH886+4=")</f>
        <v>#REF!</v>
      </c>
      <c r="IF114" t="e">
        <f>AND(Bills!#REF!,"AAAAAH886+8=")</f>
        <v>#REF!</v>
      </c>
      <c r="IG114" t="e">
        <f>AND(Bills!#REF!,"AAAAAH886/A=")</f>
        <v>#REF!</v>
      </c>
      <c r="IH114" t="e">
        <f>AND(Bills!F415,"AAAAAH886/E=")</f>
        <v>#VALUE!</v>
      </c>
      <c r="II114" t="e">
        <f>AND(Bills!#REF!,"AAAAAH886/I=")</f>
        <v>#REF!</v>
      </c>
      <c r="IJ114" t="e">
        <f>AND(Bills!G415,"AAAAAH886/M=")</f>
        <v>#VALUE!</v>
      </c>
      <c r="IK114" t="e">
        <f>AND(Bills!H415,"AAAAAH886/Q=")</f>
        <v>#VALUE!</v>
      </c>
      <c r="IL114" t="e">
        <f>AND(Bills!I415,"AAAAAH886/U=")</f>
        <v>#VALUE!</v>
      </c>
      <c r="IM114" t="e">
        <f>AND(Bills!J415,"AAAAAH886/Y=")</f>
        <v>#VALUE!</v>
      </c>
      <c r="IN114" t="e">
        <f>AND(Bills!K415,"AAAAAH886/c=")</f>
        <v>#VALUE!</v>
      </c>
      <c r="IO114" t="e">
        <f>AND(Bills!L415,"AAAAAH886/g=")</f>
        <v>#VALUE!</v>
      </c>
      <c r="IP114" t="e">
        <f>AND(Bills!#REF!,"AAAAAH886/k=")</f>
        <v>#REF!</v>
      </c>
      <c r="IQ114" t="e">
        <f>AND(Bills!M415,"AAAAAH886/o=")</f>
        <v>#VALUE!</v>
      </c>
      <c r="IR114" t="e">
        <f>AND(Bills!N415,"AAAAAH886/s=")</f>
        <v>#VALUE!</v>
      </c>
      <c r="IS114" t="e">
        <f>AND(Bills!O415,"AAAAAH886/w=")</f>
        <v>#VALUE!</v>
      </c>
      <c r="IT114" t="e">
        <f>AND(Bills!P415,"AAAAAH886/0=")</f>
        <v>#VALUE!</v>
      </c>
      <c r="IU114" t="e">
        <f>AND(Bills!Q415,"AAAAAH886/4=")</f>
        <v>#VALUE!</v>
      </c>
      <c r="IV114" t="e">
        <f>AND(Bills!R415,"AAAAAH886/8=")</f>
        <v>#VALUE!</v>
      </c>
    </row>
    <row r="115" spans="1:256">
      <c r="A115" t="e">
        <f>AND(Bills!S415,"AAAAAF35/gA=")</f>
        <v>#VALUE!</v>
      </c>
      <c r="B115" t="e">
        <f>AND(Bills!T415,"AAAAAF35/gE=")</f>
        <v>#VALUE!</v>
      </c>
      <c r="C115" t="e">
        <f>AND(Bills!#REF!,"AAAAAF35/gI=")</f>
        <v>#REF!</v>
      </c>
      <c r="D115" t="e">
        <f>AND(Bills!U415,"AAAAAF35/gM=")</f>
        <v>#VALUE!</v>
      </c>
      <c r="E115" t="e">
        <f>AND(Bills!V415,"AAAAAF35/gQ=")</f>
        <v>#VALUE!</v>
      </c>
      <c r="F115" t="e">
        <f>AND(Bills!W415,"AAAAAF35/gU=")</f>
        <v>#VALUE!</v>
      </c>
      <c r="G115" t="e">
        <f>AND(Bills!#REF!,"AAAAAF35/gY=")</f>
        <v>#REF!</v>
      </c>
      <c r="H115" t="e">
        <f>AND(Bills!#REF!,"AAAAAF35/gc=")</f>
        <v>#REF!</v>
      </c>
      <c r="I115" t="e">
        <f>AND(Bills!Y415,"AAAAAF35/gg=")</f>
        <v>#VALUE!</v>
      </c>
      <c r="J115" t="e">
        <f>AND(Bills!Z415,"AAAAAF35/gk=")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AND(Bills!AA415,"AAAAAF35/hM=")</f>
        <v>#VALUE!</v>
      </c>
      <c r="U115" t="e">
        <f>AND(Bills!AB415,"AAAAAF35/hQ=")</f>
        <v>#VALUE!</v>
      </c>
      <c r="V115" t="e">
        <f>AND(Bills!#REF!,"AAAAAF35/hU=")</f>
        <v>#REF!</v>
      </c>
      <c r="W115" t="e">
        <f>AND(Bills!#REF!,"AAAAAF35/hY=")</f>
        <v>#REF!</v>
      </c>
      <c r="X115" t="e">
        <f>AND(Bills!#REF!,"AAAAAF35/hc=")</f>
        <v>#REF!</v>
      </c>
      <c r="Y115" t="e">
        <f>AND(Bills!AC415,"AAAAAF35/hg=")</f>
        <v>#VALUE!</v>
      </c>
      <c r="Z115" t="e">
        <f>AND(Bills!AD415,"AAAAAF35/hk=")</f>
        <v>#VALUE!</v>
      </c>
      <c r="AA115" t="e">
        <f>AND(Bills!#REF!,"AAAAAF35/ho=")</f>
        <v>#REF!</v>
      </c>
      <c r="AB115">
        <f>IF(Bills!416:416,"AAAAAF35/hs=",0)</f>
        <v>0</v>
      </c>
      <c r="AC115" t="e">
        <f>AND(Bills!B416,"AAAAAF35/hw=")</f>
        <v>#VALUE!</v>
      </c>
      <c r="AD115" t="e">
        <f>AND(Bills!#REF!,"AAAAAF35/h0=")</f>
        <v>#REF!</v>
      </c>
      <c r="AE115" t="e">
        <f>AND(Bills!C416,"AAAAAF35/h4=")</f>
        <v>#VALUE!</v>
      </c>
      <c r="AF115" t="e">
        <f>AND(Bills!D416,"AAAAAF35/h8=")</f>
        <v>#VALUE!</v>
      </c>
      <c r="AG115" t="e">
        <f>AND(Bills!E416,"AAAAAF35/iA=")</f>
        <v>#VALUE!</v>
      </c>
      <c r="AH115" t="e">
        <f>AND(Bills!#REF!,"AAAAAF35/iE=")</f>
        <v>#REF!</v>
      </c>
      <c r="AI115" t="e">
        <f>AND(Bills!#REF!,"AAAAAF35/iI=")</f>
        <v>#REF!</v>
      </c>
      <c r="AJ115" t="e">
        <f>AND(Bills!#REF!,"AAAAAF35/iM=")</f>
        <v>#REF!</v>
      </c>
      <c r="AK115" t="e">
        <f>AND(Bills!F416,"AAAAAF35/iQ=")</f>
        <v>#VALUE!</v>
      </c>
      <c r="AL115" t="e">
        <f>AND(Bills!#REF!,"AAAAAF35/iU=")</f>
        <v>#REF!</v>
      </c>
      <c r="AM115" t="e">
        <f>AND(Bills!G416,"AAAAAF35/iY=")</f>
        <v>#VALUE!</v>
      </c>
      <c r="AN115" t="e">
        <f>AND(Bills!H416,"AAAAAF35/ic=")</f>
        <v>#VALUE!</v>
      </c>
      <c r="AO115" t="e">
        <f>AND(Bills!I416,"AAAAAF35/ig=")</f>
        <v>#VALUE!</v>
      </c>
      <c r="AP115" t="e">
        <f>AND(Bills!J416,"AAAAAF35/ik=")</f>
        <v>#VALUE!</v>
      </c>
      <c r="AQ115" t="e">
        <f>AND(Bills!K416,"AAAAAF35/io=")</f>
        <v>#VALUE!</v>
      </c>
      <c r="AR115" t="e">
        <f>AND(Bills!L416,"AAAAAF35/is=")</f>
        <v>#VALUE!</v>
      </c>
      <c r="AS115" t="e">
        <f>AND(Bills!#REF!,"AAAAAF35/iw=")</f>
        <v>#REF!</v>
      </c>
      <c r="AT115" t="e">
        <f>AND(Bills!M416,"AAAAAF35/i0=")</f>
        <v>#VALUE!</v>
      </c>
      <c r="AU115" t="e">
        <f>AND(Bills!N416,"AAAAAF35/i4=")</f>
        <v>#VALUE!</v>
      </c>
      <c r="AV115" t="e">
        <f>AND(Bills!O416,"AAAAAF35/i8=")</f>
        <v>#VALUE!</v>
      </c>
      <c r="AW115" t="e">
        <f>AND(Bills!P416,"AAAAAF35/jA=")</f>
        <v>#VALUE!</v>
      </c>
      <c r="AX115" t="e">
        <f>AND(Bills!Q416,"AAAAAF35/jE=")</f>
        <v>#VALUE!</v>
      </c>
      <c r="AY115" t="e">
        <f>AND(Bills!R416,"AAAAAF35/jI=")</f>
        <v>#VALUE!</v>
      </c>
      <c r="AZ115" t="e">
        <f>AND(Bills!S416,"AAAAAF35/jM=")</f>
        <v>#VALUE!</v>
      </c>
      <c r="BA115" t="e">
        <f>AND(Bills!T416,"AAAAAF35/jQ=")</f>
        <v>#VALUE!</v>
      </c>
      <c r="BB115" t="e">
        <f>AND(Bills!#REF!,"AAAAAF35/jU=")</f>
        <v>#REF!</v>
      </c>
      <c r="BC115" t="e">
        <f>AND(Bills!U416,"AAAAAF35/jY=")</f>
        <v>#VALUE!</v>
      </c>
      <c r="BD115" t="e">
        <f>AND(Bills!V416,"AAAAAF35/jc=")</f>
        <v>#VALUE!</v>
      </c>
      <c r="BE115" t="e">
        <f>AND(Bills!W416,"AAAAAF35/jg=")</f>
        <v>#VALUE!</v>
      </c>
      <c r="BF115" t="e">
        <f>AND(Bills!#REF!,"AAAAAF35/jk=")</f>
        <v>#REF!</v>
      </c>
      <c r="BG115" t="e">
        <f>AND(Bills!#REF!,"AAAAAF35/jo=")</f>
        <v>#REF!</v>
      </c>
      <c r="BH115" t="e">
        <f>AND(Bills!Y416,"AAAAAF35/js=")</f>
        <v>#VALUE!</v>
      </c>
      <c r="BI115" t="e">
        <f>AND(Bills!Z416,"AAAAAF35/jw=")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AND(Bills!AA416,"AAAAAF35/kY=")</f>
        <v>#VALUE!</v>
      </c>
      <c r="BT115" t="e">
        <f>AND(Bills!AB416,"AAAAAF35/kc=")</f>
        <v>#VALUE!</v>
      </c>
      <c r="BU115" t="e">
        <f>AND(Bills!#REF!,"AAAAAF35/kg=")</f>
        <v>#REF!</v>
      </c>
      <c r="BV115" t="e">
        <f>AND(Bills!#REF!,"AAAAAF35/kk=")</f>
        <v>#REF!</v>
      </c>
      <c r="BW115" t="e">
        <f>AND(Bills!#REF!,"AAAAAF35/ko=")</f>
        <v>#REF!</v>
      </c>
      <c r="BX115" t="e">
        <f>AND(Bills!AC416,"AAAAAF35/ks=")</f>
        <v>#VALUE!</v>
      </c>
      <c r="BY115" t="e">
        <f>AND(Bills!AD416,"AAAAAF35/kw=")</f>
        <v>#VALUE!</v>
      </c>
      <c r="BZ115" t="e">
        <f>AND(Bills!#REF!,"AAAAAF35/k0=")</f>
        <v>#REF!</v>
      </c>
      <c r="CA115">
        <f>IF(Bills!417:417,"AAAAAF35/k4=",0)</f>
        <v>0</v>
      </c>
      <c r="CB115" t="e">
        <f>AND(Bills!B417,"AAAAAF35/k8=")</f>
        <v>#VALUE!</v>
      </c>
      <c r="CC115" t="e">
        <f>AND(Bills!#REF!,"AAAAAF35/lA=")</f>
        <v>#REF!</v>
      </c>
      <c r="CD115" t="e">
        <f>AND(Bills!C417,"AAAAAF35/lE=")</f>
        <v>#VALUE!</v>
      </c>
      <c r="CE115" t="e">
        <f>AND(Bills!D417,"AAAAAF35/lI=")</f>
        <v>#VALUE!</v>
      </c>
      <c r="CF115" t="e">
        <f>AND(Bills!E417,"AAAAAF35/lM=")</f>
        <v>#VALUE!</v>
      </c>
      <c r="CG115" t="e">
        <f>AND(Bills!#REF!,"AAAAAF35/lQ=")</f>
        <v>#REF!</v>
      </c>
      <c r="CH115" t="e">
        <f>AND(Bills!#REF!,"AAAAAF35/lU=")</f>
        <v>#REF!</v>
      </c>
      <c r="CI115" t="e">
        <f>AND(Bills!#REF!,"AAAAAF35/lY=")</f>
        <v>#REF!</v>
      </c>
      <c r="CJ115" t="e">
        <f>AND(Bills!F417,"AAAAAF35/lc=")</f>
        <v>#VALUE!</v>
      </c>
      <c r="CK115" t="e">
        <f>AND(Bills!#REF!,"AAAAAF35/lg=")</f>
        <v>#REF!</v>
      </c>
      <c r="CL115" t="e">
        <f>AND(Bills!G417,"AAAAAF35/lk=")</f>
        <v>#VALUE!</v>
      </c>
      <c r="CM115" t="e">
        <f>AND(Bills!H417,"AAAAAF35/lo=")</f>
        <v>#VALUE!</v>
      </c>
      <c r="CN115" t="e">
        <f>AND(Bills!I417,"AAAAAF35/ls=")</f>
        <v>#VALUE!</v>
      </c>
      <c r="CO115" t="e">
        <f>AND(Bills!J417,"AAAAAF35/lw=")</f>
        <v>#VALUE!</v>
      </c>
      <c r="CP115" t="e">
        <f>AND(Bills!K417,"AAAAAF35/l0=")</f>
        <v>#VALUE!</v>
      </c>
      <c r="CQ115" t="e">
        <f>AND(Bills!L417,"AAAAAF35/l4=")</f>
        <v>#VALUE!</v>
      </c>
      <c r="CR115" t="e">
        <f>AND(Bills!#REF!,"AAAAAF35/l8=")</f>
        <v>#REF!</v>
      </c>
      <c r="CS115" t="e">
        <f>AND(Bills!M417,"AAAAAF35/mA=")</f>
        <v>#VALUE!</v>
      </c>
      <c r="CT115" t="e">
        <f>AND(Bills!N417,"AAAAAF35/mE=")</f>
        <v>#VALUE!</v>
      </c>
      <c r="CU115" t="e">
        <f>AND(Bills!O417,"AAAAAF35/mI=")</f>
        <v>#VALUE!</v>
      </c>
      <c r="CV115" t="e">
        <f>AND(Bills!P417,"AAAAAF35/mM=")</f>
        <v>#VALUE!</v>
      </c>
      <c r="CW115" t="e">
        <f>AND(Bills!Q417,"AAAAAF35/mQ=")</f>
        <v>#VALUE!</v>
      </c>
      <c r="CX115" t="e">
        <f>AND(Bills!R417,"AAAAAF35/mU=")</f>
        <v>#VALUE!</v>
      </c>
      <c r="CY115" t="e">
        <f>AND(Bills!S417,"AAAAAF35/mY=")</f>
        <v>#VALUE!</v>
      </c>
      <c r="CZ115" t="e">
        <f>AND(Bills!T417,"AAAAAF35/mc=")</f>
        <v>#VALUE!</v>
      </c>
      <c r="DA115" t="e">
        <f>AND(Bills!#REF!,"AAAAAF35/mg=")</f>
        <v>#REF!</v>
      </c>
      <c r="DB115" t="e">
        <f>AND(Bills!U417,"AAAAAF35/mk=")</f>
        <v>#VALUE!</v>
      </c>
      <c r="DC115" t="e">
        <f>AND(Bills!V417,"AAAAAF35/mo=")</f>
        <v>#VALUE!</v>
      </c>
      <c r="DD115" t="e">
        <f>AND(Bills!W417,"AAAAAF35/ms=")</f>
        <v>#VALUE!</v>
      </c>
      <c r="DE115" t="e">
        <f>AND(Bills!#REF!,"AAAAAF35/mw=")</f>
        <v>#REF!</v>
      </c>
      <c r="DF115" t="e">
        <f>AND(Bills!#REF!,"AAAAAF35/m0=")</f>
        <v>#REF!</v>
      </c>
      <c r="DG115" t="e">
        <f>AND(Bills!Y417,"AAAAAF35/m4=")</f>
        <v>#VALUE!</v>
      </c>
      <c r="DH115" t="e">
        <f>AND(Bills!Z417,"AAAAAF35/m8=")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AND(Bills!AA417,"AAAAAF35/nk=")</f>
        <v>#VALUE!</v>
      </c>
      <c r="DS115" t="e">
        <f>AND(Bills!AB417,"AAAAAF35/no=")</f>
        <v>#VALUE!</v>
      </c>
      <c r="DT115" t="e">
        <f>AND(Bills!#REF!,"AAAAAF35/ns=")</f>
        <v>#REF!</v>
      </c>
      <c r="DU115" t="e">
        <f>AND(Bills!#REF!,"AAAAAF35/nw=")</f>
        <v>#REF!</v>
      </c>
      <c r="DV115" t="e">
        <f>AND(Bills!#REF!,"AAAAAF35/n0=")</f>
        <v>#REF!</v>
      </c>
      <c r="DW115" t="e">
        <f>AND(Bills!AC417,"AAAAAF35/n4=")</f>
        <v>#VALUE!</v>
      </c>
      <c r="DX115" t="e">
        <f>AND(Bills!AD417,"AAAAAF35/n8=")</f>
        <v>#VALUE!</v>
      </c>
      <c r="DY115" t="e">
        <f>AND(Bills!#REF!,"AAAAAF35/oA=")</f>
        <v>#REF!</v>
      </c>
      <c r="DZ115">
        <f>IF(Bills!418:418,"AAAAAF35/oE=",0)</f>
        <v>0</v>
      </c>
      <c r="EA115" t="e">
        <f>AND(Bills!B418,"AAAAAF35/oI=")</f>
        <v>#VALUE!</v>
      </c>
      <c r="EB115" t="e">
        <f>AND(Bills!#REF!,"AAAAAF35/oM=")</f>
        <v>#REF!</v>
      </c>
      <c r="EC115" t="e">
        <f>AND(Bills!C418,"AAAAAF35/oQ=")</f>
        <v>#VALUE!</v>
      </c>
      <c r="ED115" t="e">
        <f>AND(Bills!D418,"AAAAAF35/oU=")</f>
        <v>#VALUE!</v>
      </c>
      <c r="EE115" t="e">
        <f>AND(Bills!E418,"AAAAAF35/oY=")</f>
        <v>#VALUE!</v>
      </c>
      <c r="EF115" t="e">
        <f>AND(Bills!#REF!,"AAAAAF35/oc=")</f>
        <v>#REF!</v>
      </c>
      <c r="EG115" t="e">
        <f>AND(Bills!#REF!,"AAAAAF35/og=")</f>
        <v>#REF!</v>
      </c>
      <c r="EH115" t="e">
        <f>AND(Bills!#REF!,"AAAAAF35/ok=")</f>
        <v>#REF!</v>
      </c>
      <c r="EI115" t="e">
        <f>AND(Bills!F418,"AAAAAF35/oo=")</f>
        <v>#VALUE!</v>
      </c>
      <c r="EJ115" t="e">
        <f>AND(Bills!#REF!,"AAAAAF35/os=")</f>
        <v>#REF!</v>
      </c>
      <c r="EK115" t="e">
        <f>AND(Bills!G418,"AAAAAF35/ow=")</f>
        <v>#VALUE!</v>
      </c>
      <c r="EL115" t="e">
        <f>AND(Bills!H418,"AAAAAF35/o0=")</f>
        <v>#VALUE!</v>
      </c>
      <c r="EM115" t="e">
        <f>AND(Bills!I418,"AAAAAF35/o4=")</f>
        <v>#VALUE!</v>
      </c>
      <c r="EN115" t="e">
        <f>AND(Bills!J418,"AAAAAF35/o8=")</f>
        <v>#VALUE!</v>
      </c>
      <c r="EO115" t="e">
        <f>AND(Bills!K418,"AAAAAF35/pA=")</f>
        <v>#VALUE!</v>
      </c>
      <c r="EP115" t="e">
        <f>AND(Bills!L418,"AAAAAF35/pE=")</f>
        <v>#VALUE!</v>
      </c>
      <c r="EQ115" t="e">
        <f>AND(Bills!#REF!,"AAAAAF35/pI=")</f>
        <v>#REF!</v>
      </c>
      <c r="ER115" t="e">
        <f>AND(Bills!M418,"AAAAAF35/pM=")</f>
        <v>#VALUE!</v>
      </c>
      <c r="ES115" t="e">
        <f>AND(Bills!N418,"AAAAAF35/pQ=")</f>
        <v>#VALUE!</v>
      </c>
      <c r="ET115" t="e">
        <f>AND(Bills!O418,"AAAAAF35/pU=")</f>
        <v>#VALUE!</v>
      </c>
      <c r="EU115" t="e">
        <f>AND(Bills!P418,"AAAAAF35/pY=")</f>
        <v>#VALUE!</v>
      </c>
      <c r="EV115" t="e">
        <f>AND(Bills!Q418,"AAAAAF35/pc=")</f>
        <v>#VALUE!</v>
      </c>
      <c r="EW115" t="e">
        <f>AND(Bills!R418,"AAAAAF35/pg=")</f>
        <v>#VALUE!</v>
      </c>
      <c r="EX115" t="e">
        <f>AND(Bills!S418,"AAAAAF35/pk=")</f>
        <v>#VALUE!</v>
      </c>
      <c r="EY115" t="e">
        <f>AND(Bills!T418,"AAAAAF35/po=")</f>
        <v>#VALUE!</v>
      </c>
      <c r="EZ115" t="e">
        <f>AND(Bills!#REF!,"AAAAAF35/ps=")</f>
        <v>#REF!</v>
      </c>
      <c r="FA115" t="e">
        <f>AND(Bills!U418,"AAAAAF35/pw=")</f>
        <v>#VALUE!</v>
      </c>
      <c r="FB115" t="e">
        <f>AND(Bills!V418,"AAAAAF35/p0=")</f>
        <v>#VALUE!</v>
      </c>
      <c r="FC115" t="e">
        <f>AND(Bills!W418,"AAAAAF35/p4=")</f>
        <v>#VALUE!</v>
      </c>
      <c r="FD115" t="e">
        <f>AND(Bills!#REF!,"AAAAAF35/p8=")</f>
        <v>#REF!</v>
      </c>
      <c r="FE115" t="e">
        <f>AND(Bills!#REF!,"AAAAAF35/qA=")</f>
        <v>#REF!</v>
      </c>
      <c r="FF115" t="e">
        <f>AND(Bills!Y418,"AAAAAF35/qE=")</f>
        <v>#VALUE!</v>
      </c>
      <c r="FG115" t="e">
        <f>AND(Bills!Z418,"AAAAAF35/qI=")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AND(Bills!AA418,"AAAAAF35/qw=")</f>
        <v>#VALUE!</v>
      </c>
      <c r="FR115" t="e">
        <f>AND(Bills!AB418,"AAAAAF35/q0=")</f>
        <v>#VALUE!</v>
      </c>
      <c r="FS115" t="e">
        <f>AND(Bills!#REF!,"AAAAAF35/q4=")</f>
        <v>#REF!</v>
      </c>
      <c r="FT115" t="e">
        <f>AND(Bills!#REF!,"AAAAAF35/q8=")</f>
        <v>#REF!</v>
      </c>
      <c r="FU115" t="e">
        <f>AND(Bills!#REF!,"AAAAAF35/rA=")</f>
        <v>#REF!</v>
      </c>
      <c r="FV115" t="e">
        <f>AND(Bills!AC418,"AAAAAF35/rE=")</f>
        <v>#VALUE!</v>
      </c>
      <c r="FW115" t="e">
        <f>AND(Bills!AD418,"AAAAAF35/rI=")</f>
        <v>#VALUE!</v>
      </c>
      <c r="FX115" t="e">
        <f>AND(Bills!#REF!,"AAAAAF35/rM=")</f>
        <v>#REF!</v>
      </c>
      <c r="FY115">
        <f>IF(Bills!419:419,"AAAAAF35/rQ=",0)</f>
        <v>0</v>
      </c>
      <c r="FZ115" t="e">
        <f>AND(Bills!B419,"AAAAAF35/rU=")</f>
        <v>#VALUE!</v>
      </c>
      <c r="GA115" t="e">
        <f>AND(Bills!#REF!,"AAAAAF35/rY=")</f>
        <v>#REF!</v>
      </c>
      <c r="GB115" t="e">
        <f>AND(Bills!C419,"AAAAAF35/rc=")</f>
        <v>#VALUE!</v>
      </c>
      <c r="GC115" t="e">
        <f>AND(Bills!D419,"AAAAAF35/rg=")</f>
        <v>#VALUE!</v>
      </c>
      <c r="GD115" t="e">
        <f>AND(Bills!E419,"AAAAAF35/rk=")</f>
        <v>#VALUE!</v>
      </c>
      <c r="GE115" t="e">
        <f>AND(Bills!#REF!,"AAAAAF35/ro=")</f>
        <v>#REF!</v>
      </c>
      <c r="GF115" t="e">
        <f>AND(Bills!#REF!,"AAAAAF35/rs=")</f>
        <v>#REF!</v>
      </c>
      <c r="GG115" t="e">
        <f>AND(Bills!#REF!,"AAAAAF35/rw=")</f>
        <v>#REF!</v>
      </c>
      <c r="GH115" t="e">
        <f>AND(Bills!F419,"AAAAAF35/r0=")</f>
        <v>#VALUE!</v>
      </c>
      <c r="GI115" t="e">
        <f>AND(Bills!#REF!,"AAAAAF35/r4=")</f>
        <v>#REF!</v>
      </c>
      <c r="GJ115" t="e">
        <f>AND(Bills!G419,"AAAAAF35/r8=")</f>
        <v>#VALUE!</v>
      </c>
      <c r="GK115" t="e">
        <f>AND(Bills!H419,"AAAAAF35/sA=")</f>
        <v>#VALUE!</v>
      </c>
      <c r="GL115" t="e">
        <f>AND(Bills!I419,"AAAAAF35/sE=")</f>
        <v>#VALUE!</v>
      </c>
      <c r="GM115" t="e">
        <f>AND(Bills!J419,"AAAAAF35/sI=")</f>
        <v>#VALUE!</v>
      </c>
      <c r="GN115" t="e">
        <f>AND(Bills!K419,"AAAAAF35/sM=")</f>
        <v>#VALUE!</v>
      </c>
      <c r="GO115" t="e">
        <f>AND(Bills!L419,"AAAAAF35/sQ=")</f>
        <v>#VALUE!</v>
      </c>
      <c r="GP115" t="e">
        <f>AND(Bills!#REF!,"AAAAAF35/sU=")</f>
        <v>#REF!</v>
      </c>
      <c r="GQ115" t="e">
        <f>AND(Bills!M419,"AAAAAF35/sY=")</f>
        <v>#VALUE!</v>
      </c>
      <c r="GR115" t="e">
        <f>AND(Bills!N419,"AAAAAF35/sc=")</f>
        <v>#VALUE!</v>
      </c>
      <c r="GS115" t="e">
        <f>AND(Bills!O419,"AAAAAF35/sg=")</f>
        <v>#VALUE!</v>
      </c>
      <c r="GT115" t="e">
        <f>AND(Bills!P419,"AAAAAF35/sk=")</f>
        <v>#VALUE!</v>
      </c>
      <c r="GU115" t="e">
        <f>AND(Bills!Q419,"AAAAAF35/so=")</f>
        <v>#VALUE!</v>
      </c>
      <c r="GV115" t="e">
        <f>AND(Bills!R419,"AAAAAF35/ss=")</f>
        <v>#VALUE!</v>
      </c>
      <c r="GW115" t="e">
        <f>AND(Bills!S419,"AAAAAF35/sw=")</f>
        <v>#VALUE!</v>
      </c>
      <c r="GX115" t="e">
        <f>AND(Bills!T419,"AAAAAF35/s0=")</f>
        <v>#VALUE!</v>
      </c>
      <c r="GY115" t="e">
        <f>AND(Bills!#REF!,"AAAAAF35/s4=")</f>
        <v>#REF!</v>
      </c>
      <c r="GZ115" t="e">
        <f>AND(Bills!U419,"AAAAAF35/s8=")</f>
        <v>#VALUE!</v>
      </c>
      <c r="HA115" t="e">
        <f>AND(Bills!V419,"AAAAAF35/tA=")</f>
        <v>#VALUE!</v>
      </c>
      <c r="HB115" t="e">
        <f>AND(Bills!W419,"AAAAAF35/tE=")</f>
        <v>#VALUE!</v>
      </c>
      <c r="HC115" t="e">
        <f>AND(Bills!#REF!,"AAAAAF35/tI=")</f>
        <v>#REF!</v>
      </c>
      <c r="HD115" t="e">
        <f>AND(Bills!#REF!,"AAAAAF35/tM=")</f>
        <v>#REF!</v>
      </c>
      <c r="HE115" t="e">
        <f>AND(Bills!Y419,"AAAAAF35/tQ=")</f>
        <v>#VALUE!</v>
      </c>
      <c r="HF115" t="e">
        <f>AND(Bills!Z419,"AAAAAF35/tU=")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AND(Bills!AA419,"AAAAAF35/t8=")</f>
        <v>#VALUE!</v>
      </c>
      <c r="HQ115" t="e">
        <f>AND(Bills!AB419,"AAAAAF35/uA=")</f>
        <v>#VALUE!</v>
      </c>
      <c r="HR115" t="e">
        <f>AND(Bills!#REF!,"AAAAAF35/uE=")</f>
        <v>#REF!</v>
      </c>
      <c r="HS115" t="e">
        <f>AND(Bills!#REF!,"AAAAAF35/uI=")</f>
        <v>#REF!</v>
      </c>
      <c r="HT115" t="e">
        <f>AND(Bills!#REF!,"AAAAAF35/uM=")</f>
        <v>#REF!</v>
      </c>
      <c r="HU115" t="e">
        <f>AND(Bills!AC419,"AAAAAF35/uQ=")</f>
        <v>#VALUE!</v>
      </c>
      <c r="HV115" t="e">
        <f>AND(Bills!AD419,"AAAAAF35/uU=")</f>
        <v>#VALUE!</v>
      </c>
      <c r="HW115" t="e">
        <f>AND(Bills!#REF!,"AAAAAF35/uY=")</f>
        <v>#REF!</v>
      </c>
      <c r="HX115">
        <f>IF(Bills!420:420,"AAAAAF35/uc=",0)</f>
        <v>0</v>
      </c>
      <c r="HY115" t="e">
        <f>AND(Bills!B420,"AAAAAF35/ug=")</f>
        <v>#VALUE!</v>
      </c>
      <c r="HZ115" t="e">
        <f>AND(Bills!#REF!,"AAAAAF35/uk=")</f>
        <v>#REF!</v>
      </c>
      <c r="IA115" t="e">
        <f>AND(Bills!C420,"AAAAAF35/uo=")</f>
        <v>#VALUE!</v>
      </c>
      <c r="IB115" t="e">
        <f>AND(Bills!D420,"AAAAAF35/us=")</f>
        <v>#VALUE!</v>
      </c>
      <c r="IC115" t="e">
        <f>AND(Bills!E420,"AAAAAF35/uw=")</f>
        <v>#VALUE!</v>
      </c>
      <c r="ID115" t="e">
        <f>AND(Bills!#REF!,"AAAAAF35/u0=")</f>
        <v>#REF!</v>
      </c>
      <c r="IE115" t="e">
        <f>AND(Bills!#REF!,"AAAAAF35/u4=")</f>
        <v>#REF!</v>
      </c>
      <c r="IF115" t="e">
        <f>AND(Bills!#REF!,"AAAAAF35/u8=")</f>
        <v>#REF!</v>
      </c>
      <c r="IG115" t="e">
        <f>AND(Bills!F420,"AAAAAF35/vA=")</f>
        <v>#VALUE!</v>
      </c>
      <c r="IH115" t="e">
        <f>AND(Bills!#REF!,"AAAAAF35/vE=")</f>
        <v>#REF!</v>
      </c>
      <c r="II115" t="e">
        <f>AND(Bills!G420,"AAAAAF35/vI=")</f>
        <v>#VALUE!</v>
      </c>
      <c r="IJ115" t="e">
        <f>AND(Bills!H420,"AAAAAF35/vM=")</f>
        <v>#VALUE!</v>
      </c>
      <c r="IK115" t="e">
        <f>AND(Bills!I420,"AAAAAF35/vQ=")</f>
        <v>#VALUE!</v>
      </c>
      <c r="IL115" t="e">
        <f>AND(Bills!J420,"AAAAAF35/vU=")</f>
        <v>#VALUE!</v>
      </c>
      <c r="IM115" t="e">
        <f>AND(Bills!K420,"AAAAAF35/vY=")</f>
        <v>#VALUE!</v>
      </c>
      <c r="IN115" t="e">
        <f>AND(Bills!L420,"AAAAAF35/vc=")</f>
        <v>#VALUE!</v>
      </c>
      <c r="IO115" t="e">
        <f>AND(Bills!#REF!,"AAAAAF35/vg=")</f>
        <v>#REF!</v>
      </c>
      <c r="IP115" t="e">
        <f>AND(Bills!M420,"AAAAAF35/vk=")</f>
        <v>#VALUE!</v>
      </c>
      <c r="IQ115" t="e">
        <f>AND(Bills!N420,"AAAAAF35/vo=")</f>
        <v>#VALUE!</v>
      </c>
      <c r="IR115" t="e">
        <f>AND(Bills!O420,"AAAAAF35/vs=")</f>
        <v>#VALUE!</v>
      </c>
      <c r="IS115" t="e">
        <f>AND(Bills!P420,"AAAAAF35/vw=")</f>
        <v>#VALUE!</v>
      </c>
      <c r="IT115" t="e">
        <f>AND(Bills!Q420,"AAAAAF35/v0=")</f>
        <v>#VALUE!</v>
      </c>
      <c r="IU115" t="e">
        <f>AND(Bills!R420,"AAAAAF35/v4=")</f>
        <v>#VALUE!</v>
      </c>
      <c r="IV115" t="e">
        <f>AND(Bills!S420,"AAAAAF35/v8=")</f>
        <v>#VALUE!</v>
      </c>
    </row>
    <row r="116" spans="1:256">
      <c r="A116" t="e">
        <f>AND(Bills!T420,"AAAAAFL/+wA=")</f>
        <v>#VALUE!</v>
      </c>
      <c r="B116" t="e">
        <f>AND(Bills!#REF!,"AAAAAFL/+wE=")</f>
        <v>#REF!</v>
      </c>
      <c r="C116" t="e">
        <f>AND(Bills!U420,"AAAAAFL/+wI=")</f>
        <v>#VALUE!</v>
      </c>
      <c r="D116" t="e">
        <f>AND(Bills!V420,"AAAAAFL/+wM=")</f>
        <v>#VALUE!</v>
      </c>
      <c r="E116" t="e">
        <f>AND(Bills!W420,"AAAAAFL/+wQ=")</f>
        <v>#VALUE!</v>
      </c>
      <c r="F116" t="e">
        <f>AND(Bills!#REF!,"AAAAAFL/+wU=")</f>
        <v>#REF!</v>
      </c>
      <c r="G116" t="e">
        <f>AND(Bills!#REF!,"AAAAAFL/+wY=")</f>
        <v>#REF!</v>
      </c>
      <c r="H116" t="e">
        <f>AND(Bills!Y420,"AAAAAFL/+wc=")</f>
        <v>#VALUE!</v>
      </c>
      <c r="I116" t="e">
        <f>AND(Bills!Z420,"AAAAAFL/+wg=")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AND(Bills!AA420,"AAAAAFL/+xI=")</f>
        <v>#VALUE!</v>
      </c>
      <c r="T116" t="e">
        <f>AND(Bills!AB420,"AAAAAFL/+xM=")</f>
        <v>#VALUE!</v>
      </c>
      <c r="U116" t="e">
        <f>AND(Bills!#REF!,"AAAAAFL/+xQ=")</f>
        <v>#REF!</v>
      </c>
      <c r="V116" t="e">
        <f>AND(Bills!#REF!,"AAAAAFL/+xU=")</f>
        <v>#REF!</v>
      </c>
      <c r="W116" t="e">
        <f>AND(Bills!#REF!,"AAAAAFL/+xY=")</f>
        <v>#REF!</v>
      </c>
      <c r="X116" t="e">
        <f>AND(Bills!AC420,"AAAAAFL/+xc=")</f>
        <v>#VALUE!</v>
      </c>
      <c r="Y116" t="e">
        <f>AND(Bills!AD420,"AAAAAFL/+xg=")</f>
        <v>#VALUE!</v>
      </c>
      <c r="Z116" t="e">
        <f>AND(Bills!#REF!,"AAAAAFL/+xk=")</f>
        <v>#REF!</v>
      </c>
      <c r="AA116">
        <f>IF(Bills!421:421,"AAAAAFL/+xo=",0)</f>
        <v>0</v>
      </c>
      <c r="AB116" t="e">
        <f>AND(Bills!B421,"AAAAAFL/+xs=")</f>
        <v>#VALUE!</v>
      </c>
      <c r="AC116" t="e">
        <f>AND(Bills!#REF!,"AAAAAFL/+xw=")</f>
        <v>#REF!</v>
      </c>
      <c r="AD116" t="e">
        <f>AND(Bills!C421,"AAAAAFL/+x0=")</f>
        <v>#VALUE!</v>
      </c>
      <c r="AE116" t="e">
        <f>AND(Bills!D421,"AAAAAFL/+x4=")</f>
        <v>#VALUE!</v>
      </c>
      <c r="AF116" t="e">
        <f>AND(Bills!E421,"AAAAAFL/+x8=")</f>
        <v>#VALUE!</v>
      </c>
      <c r="AG116" t="e">
        <f>AND(Bills!#REF!,"AAAAAFL/+yA=")</f>
        <v>#REF!</v>
      </c>
      <c r="AH116" t="e">
        <f>AND(Bills!#REF!,"AAAAAFL/+yE=")</f>
        <v>#REF!</v>
      </c>
      <c r="AI116" t="e">
        <f>AND(Bills!#REF!,"AAAAAFL/+yI=")</f>
        <v>#REF!</v>
      </c>
      <c r="AJ116" t="e">
        <f>AND(Bills!F421,"AAAAAFL/+yM=")</f>
        <v>#VALUE!</v>
      </c>
      <c r="AK116" t="e">
        <f>AND(Bills!#REF!,"AAAAAFL/+yQ=")</f>
        <v>#REF!</v>
      </c>
      <c r="AL116" t="e">
        <f>AND(Bills!G421,"AAAAAFL/+yU=")</f>
        <v>#VALUE!</v>
      </c>
      <c r="AM116" t="e">
        <f>AND(Bills!H421,"AAAAAFL/+yY=")</f>
        <v>#VALUE!</v>
      </c>
      <c r="AN116" t="e">
        <f>AND(Bills!I421,"AAAAAFL/+yc=")</f>
        <v>#VALUE!</v>
      </c>
      <c r="AO116" t="e">
        <f>AND(Bills!J421,"AAAAAFL/+yg=")</f>
        <v>#VALUE!</v>
      </c>
      <c r="AP116" t="e">
        <f>AND(Bills!K421,"AAAAAFL/+yk=")</f>
        <v>#VALUE!</v>
      </c>
      <c r="AQ116" t="e">
        <f>AND(Bills!L421,"AAAAAFL/+yo=")</f>
        <v>#VALUE!</v>
      </c>
      <c r="AR116" t="e">
        <f>AND(Bills!#REF!,"AAAAAFL/+ys=")</f>
        <v>#REF!</v>
      </c>
      <c r="AS116" t="e">
        <f>AND(Bills!M421,"AAAAAFL/+yw=")</f>
        <v>#VALUE!</v>
      </c>
      <c r="AT116" t="e">
        <f>AND(Bills!N421,"AAAAAFL/+y0=")</f>
        <v>#VALUE!</v>
      </c>
      <c r="AU116" t="e">
        <f>AND(Bills!O421,"AAAAAFL/+y4=")</f>
        <v>#VALUE!</v>
      </c>
      <c r="AV116" t="e">
        <f>AND(Bills!P421,"AAAAAFL/+y8=")</f>
        <v>#VALUE!</v>
      </c>
      <c r="AW116" t="e">
        <f>AND(Bills!Q421,"AAAAAFL/+zA=")</f>
        <v>#VALUE!</v>
      </c>
      <c r="AX116" t="e">
        <f>AND(Bills!R421,"AAAAAFL/+zE=")</f>
        <v>#VALUE!</v>
      </c>
      <c r="AY116" t="e">
        <f>AND(Bills!S421,"AAAAAFL/+zI=")</f>
        <v>#VALUE!</v>
      </c>
      <c r="AZ116" t="e">
        <f>AND(Bills!T421,"AAAAAFL/+zM=")</f>
        <v>#VALUE!</v>
      </c>
      <c r="BA116" t="e">
        <f>AND(Bills!#REF!,"AAAAAFL/+zQ=")</f>
        <v>#REF!</v>
      </c>
      <c r="BB116" t="e">
        <f>AND(Bills!U421,"AAAAAFL/+zU=")</f>
        <v>#VALUE!</v>
      </c>
      <c r="BC116" t="e">
        <f>AND(Bills!V421,"AAAAAFL/+zY=")</f>
        <v>#VALUE!</v>
      </c>
      <c r="BD116" t="e">
        <f>AND(Bills!W421,"AAAAAFL/+zc=")</f>
        <v>#VALUE!</v>
      </c>
      <c r="BE116" t="e">
        <f>AND(Bills!#REF!,"AAAAAFL/+zg=")</f>
        <v>#REF!</v>
      </c>
      <c r="BF116" t="e">
        <f>AND(Bills!#REF!,"AAAAAFL/+zk=")</f>
        <v>#REF!</v>
      </c>
      <c r="BG116" t="e">
        <f>AND(Bills!Y421,"AAAAAFL/+zo=")</f>
        <v>#VALUE!</v>
      </c>
      <c r="BH116" t="e">
        <f>AND(Bills!Z421,"AAAAAFL/+zs=")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AND(Bills!AA421,"AAAAAFL/+0U=")</f>
        <v>#VALUE!</v>
      </c>
      <c r="BS116" t="e">
        <f>AND(Bills!AB421,"AAAAAFL/+0Y=")</f>
        <v>#VALUE!</v>
      </c>
      <c r="BT116" t="e">
        <f>AND(Bills!#REF!,"AAAAAFL/+0c=")</f>
        <v>#REF!</v>
      </c>
      <c r="BU116" t="e">
        <f>AND(Bills!#REF!,"AAAAAFL/+0g=")</f>
        <v>#REF!</v>
      </c>
      <c r="BV116" t="e">
        <f>AND(Bills!#REF!,"AAAAAFL/+0k=")</f>
        <v>#REF!</v>
      </c>
      <c r="BW116" t="e">
        <f>AND(Bills!AC421,"AAAAAFL/+0o=")</f>
        <v>#VALUE!</v>
      </c>
      <c r="BX116" t="e">
        <f>AND(Bills!AD421,"AAAAAFL/+0s=")</f>
        <v>#VALUE!</v>
      </c>
      <c r="BY116" t="e">
        <f>AND(Bills!#REF!,"AAAAAFL/+0w=")</f>
        <v>#REF!</v>
      </c>
      <c r="BZ116">
        <f>IF(Bills!422:422,"AAAAAFL/+00=",0)</f>
        <v>0</v>
      </c>
      <c r="CA116" t="e">
        <f>AND(Bills!B422,"AAAAAFL/+04=")</f>
        <v>#VALUE!</v>
      </c>
      <c r="CB116" t="e">
        <f>AND(Bills!#REF!,"AAAAAFL/+08=")</f>
        <v>#REF!</v>
      </c>
      <c r="CC116" t="e">
        <f>AND(Bills!C422,"AAAAAFL/+1A=")</f>
        <v>#VALUE!</v>
      </c>
      <c r="CD116" t="e">
        <f>AND(Bills!D422,"AAAAAFL/+1E=")</f>
        <v>#VALUE!</v>
      </c>
      <c r="CE116" t="e">
        <f>AND(Bills!E422,"AAAAAFL/+1I=")</f>
        <v>#VALUE!</v>
      </c>
      <c r="CF116" t="e">
        <f>AND(Bills!#REF!,"AAAAAFL/+1M=")</f>
        <v>#REF!</v>
      </c>
      <c r="CG116" t="e">
        <f>AND(Bills!#REF!,"AAAAAFL/+1Q=")</f>
        <v>#REF!</v>
      </c>
      <c r="CH116" t="e">
        <f>AND(Bills!#REF!,"AAAAAFL/+1U=")</f>
        <v>#REF!</v>
      </c>
      <c r="CI116" t="e">
        <f>AND(Bills!F422,"AAAAAFL/+1Y=")</f>
        <v>#VALUE!</v>
      </c>
      <c r="CJ116" t="e">
        <f>AND(Bills!#REF!,"AAAAAFL/+1c=")</f>
        <v>#REF!</v>
      </c>
      <c r="CK116" t="e">
        <f>AND(Bills!G422,"AAAAAFL/+1g=")</f>
        <v>#VALUE!</v>
      </c>
      <c r="CL116" t="e">
        <f>AND(Bills!H422,"AAAAAFL/+1k=")</f>
        <v>#VALUE!</v>
      </c>
      <c r="CM116" t="e">
        <f>AND(Bills!I422,"AAAAAFL/+1o=")</f>
        <v>#VALUE!</v>
      </c>
      <c r="CN116" t="e">
        <f>AND(Bills!J422,"AAAAAFL/+1s=")</f>
        <v>#VALUE!</v>
      </c>
      <c r="CO116" t="e">
        <f>AND(Bills!K422,"AAAAAFL/+1w=")</f>
        <v>#VALUE!</v>
      </c>
      <c r="CP116" t="e">
        <f>AND(Bills!L422,"AAAAAFL/+10=")</f>
        <v>#VALUE!</v>
      </c>
      <c r="CQ116" t="e">
        <f>AND(Bills!#REF!,"AAAAAFL/+14=")</f>
        <v>#REF!</v>
      </c>
      <c r="CR116" t="e">
        <f>AND(Bills!M422,"AAAAAFL/+18=")</f>
        <v>#VALUE!</v>
      </c>
      <c r="CS116" t="e">
        <f>AND(Bills!N422,"AAAAAFL/+2A=")</f>
        <v>#VALUE!</v>
      </c>
      <c r="CT116" t="e">
        <f>AND(Bills!O422,"AAAAAFL/+2E=")</f>
        <v>#VALUE!</v>
      </c>
      <c r="CU116" t="e">
        <f>AND(Bills!P422,"AAAAAFL/+2I=")</f>
        <v>#VALUE!</v>
      </c>
      <c r="CV116" t="e">
        <f>AND(Bills!Q422,"AAAAAFL/+2M=")</f>
        <v>#VALUE!</v>
      </c>
      <c r="CW116" t="e">
        <f>AND(Bills!R422,"AAAAAFL/+2Q=")</f>
        <v>#VALUE!</v>
      </c>
      <c r="CX116" t="e">
        <f>AND(Bills!S422,"AAAAAFL/+2U=")</f>
        <v>#VALUE!</v>
      </c>
      <c r="CY116" t="e">
        <f>AND(Bills!T422,"AAAAAFL/+2Y=")</f>
        <v>#VALUE!</v>
      </c>
      <c r="CZ116" t="e">
        <f>AND(Bills!#REF!,"AAAAAFL/+2c=")</f>
        <v>#REF!</v>
      </c>
      <c r="DA116" t="e">
        <f>AND(Bills!U422,"AAAAAFL/+2g=")</f>
        <v>#VALUE!</v>
      </c>
      <c r="DB116" t="e">
        <f>AND(Bills!V422,"AAAAAFL/+2k=")</f>
        <v>#VALUE!</v>
      </c>
      <c r="DC116" t="e">
        <f>AND(Bills!W422,"AAAAAFL/+2o=")</f>
        <v>#VALUE!</v>
      </c>
      <c r="DD116" t="e">
        <f>AND(Bills!#REF!,"AAAAAFL/+2s=")</f>
        <v>#REF!</v>
      </c>
      <c r="DE116" t="e">
        <f>AND(Bills!#REF!,"AAAAAFL/+2w=")</f>
        <v>#REF!</v>
      </c>
      <c r="DF116" t="e">
        <f>AND(Bills!Y422,"AAAAAFL/+20=")</f>
        <v>#VALUE!</v>
      </c>
      <c r="DG116" t="e">
        <f>AND(Bills!Z422,"AAAAAFL/+24=")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AND(Bills!AA422,"AAAAAFL/+3g=")</f>
        <v>#VALUE!</v>
      </c>
      <c r="DR116" t="e">
        <f>AND(Bills!AB422,"AAAAAFL/+3k=")</f>
        <v>#VALUE!</v>
      </c>
      <c r="DS116" t="e">
        <f>AND(Bills!#REF!,"AAAAAFL/+3o=")</f>
        <v>#REF!</v>
      </c>
      <c r="DT116" t="e">
        <f>AND(Bills!#REF!,"AAAAAFL/+3s=")</f>
        <v>#REF!</v>
      </c>
      <c r="DU116" t="e">
        <f>AND(Bills!#REF!,"AAAAAFL/+3w=")</f>
        <v>#REF!</v>
      </c>
      <c r="DV116" t="e">
        <f>AND(Bills!AC422,"AAAAAFL/+30=")</f>
        <v>#VALUE!</v>
      </c>
      <c r="DW116" t="e">
        <f>AND(Bills!AD422,"AAAAAFL/+34=")</f>
        <v>#VALUE!</v>
      </c>
      <c r="DX116" t="e">
        <f>AND(Bills!#REF!,"AAAAAFL/+38=")</f>
        <v>#REF!</v>
      </c>
      <c r="DY116">
        <f>IF(Bills!423:423,"AAAAAFL/+4A=",0)</f>
        <v>0</v>
      </c>
      <c r="DZ116" t="e">
        <f>AND(Bills!B423,"AAAAAFL/+4E=")</f>
        <v>#VALUE!</v>
      </c>
      <c r="EA116" t="e">
        <f>AND(Bills!#REF!,"AAAAAFL/+4I=")</f>
        <v>#REF!</v>
      </c>
      <c r="EB116" t="e">
        <f>AND(Bills!C423,"AAAAAFL/+4M=")</f>
        <v>#VALUE!</v>
      </c>
      <c r="EC116" t="e">
        <f>AND(Bills!D423,"AAAAAFL/+4Q=")</f>
        <v>#VALUE!</v>
      </c>
      <c r="ED116" t="e">
        <f>AND(Bills!E423,"AAAAAFL/+4U=")</f>
        <v>#VALUE!</v>
      </c>
      <c r="EE116" t="e">
        <f>AND(Bills!#REF!,"AAAAAFL/+4Y=")</f>
        <v>#REF!</v>
      </c>
      <c r="EF116" t="e">
        <f>AND(Bills!#REF!,"AAAAAFL/+4c=")</f>
        <v>#REF!</v>
      </c>
      <c r="EG116" t="e">
        <f>AND(Bills!#REF!,"AAAAAFL/+4g=")</f>
        <v>#REF!</v>
      </c>
      <c r="EH116" t="e">
        <f>AND(Bills!F423,"AAAAAFL/+4k=")</f>
        <v>#VALUE!</v>
      </c>
      <c r="EI116" t="e">
        <f>AND(Bills!#REF!,"AAAAAFL/+4o=")</f>
        <v>#REF!</v>
      </c>
      <c r="EJ116" t="e">
        <f>AND(Bills!G423,"AAAAAFL/+4s=")</f>
        <v>#VALUE!</v>
      </c>
      <c r="EK116" t="e">
        <f>AND(Bills!H423,"AAAAAFL/+4w=")</f>
        <v>#VALUE!</v>
      </c>
      <c r="EL116" t="e">
        <f>AND(Bills!I423,"AAAAAFL/+40=")</f>
        <v>#VALUE!</v>
      </c>
      <c r="EM116" t="e">
        <f>AND(Bills!J423,"AAAAAFL/+44=")</f>
        <v>#VALUE!</v>
      </c>
      <c r="EN116" t="e">
        <f>AND(Bills!K423,"AAAAAFL/+48=")</f>
        <v>#VALUE!</v>
      </c>
      <c r="EO116" t="e">
        <f>AND(Bills!L423,"AAAAAFL/+5A=")</f>
        <v>#VALUE!</v>
      </c>
      <c r="EP116" t="e">
        <f>AND(Bills!#REF!,"AAAAAFL/+5E=")</f>
        <v>#REF!</v>
      </c>
      <c r="EQ116" t="e">
        <f>AND(Bills!M423,"AAAAAFL/+5I=")</f>
        <v>#VALUE!</v>
      </c>
      <c r="ER116" t="e">
        <f>AND(Bills!N423,"AAAAAFL/+5M=")</f>
        <v>#VALUE!</v>
      </c>
      <c r="ES116" t="e">
        <f>AND(Bills!O423,"AAAAAFL/+5Q=")</f>
        <v>#VALUE!</v>
      </c>
      <c r="ET116" t="e">
        <f>AND(Bills!P423,"AAAAAFL/+5U=")</f>
        <v>#VALUE!</v>
      </c>
      <c r="EU116" t="e">
        <f>AND(Bills!Q423,"AAAAAFL/+5Y=")</f>
        <v>#VALUE!</v>
      </c>
      <c r="EV116" t="e">
        <f>AND(Bills!R423,"AAAAAFL/+5c=")</f>
        <v>#VALUE!</v>
      </c>
      <c r="EW116" t="e">
        <f>AND(Bills!S423,"AAAAAFL/+5g=")</f>
        <v>#VALUE!</v>
      </c>
      <c r="EX116" t="e">
        <f>AND(Bills!T423,"AAAAAFL/+5k=")</f>
        <v>#VALUE!</v>
      </c>
      <c r="EY116" t="e">
        <f>AND(Bills!#REF!,"AAAAAFL/+5o=")</f>
        <v>#REF!</v>
      </c>
      <c r="EZ116" t="e">
        <f>AND(Bills!U423,"AAAAAFL/+5s=")</f>
        <v>#VALUE!</v>
      </c>
      <c r="FA116" t="e">
        <f>AND(Bills!V423,"AAAAAFL/+5w=")</f>
        <v>#VALUE!</v>
      </c>
      <c r="FB116" t="e">
        <f>AND(Bills!W423,"AAAAAFL/+50=")</f>
        <v>#VALUE!</v>
      </c>
      <c r="FC116" t="e">
        <f>AND(Bills!#REF!,"AAAAAFL/+54=")</f>
        <v>#REF!</v>
      </c>
      <c r="FD116" t="e">
        <f>AND(Bills!#REF!,"AAAAAFL/+58=")</f>
        <v>#REF!</v>
      </c>
      <c r="FE116" t="e">
        <f>AND(Bills!Y423,"AAAAAFL/+6A=")</f>
        <v>#VALUE!</v>
      </c>
      <c r="FF116" t="e">
        <f>AND(Bills!Z423,"AAAAAFL/+6E=")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AND(Bills!AA423,"AAAAAFL/+6s=")</f>
        <v>#VALUE!</v>
      </c>
      <c r="FQ116" t="e">
        <f>AND(Bills!AB423,"AAAAAFL/+6w=")</f>
        <v>#VALUE!</v>
      </c>
      <c r="FR116" t="e">
        <f>AND(Bills!#REF!,"AAAAAFL/+60=")</f>
        <v>#REF!</v>
      </c>
      <c r="FS116" t="e">
        <f>AND(Bills!#REF!,"AAAAAFL/+64=")</f>
        <v>#REF!</v>
      </c>
      <c r="FT116" t="e">
        <f>AND(Bills!#REF!,"AAAAAFL/+68=")</f>
        <v>#REF!</v>
      </c>
      <c r="FU116" t="e">
        <f>AND(Bills!AC423,"AAAAAFL/+7A=")</f>
        <v>#VALUE!</v>
      </c>
      <c r="FV116" t="e">
        <f>AND(Bills!AD423,"AAAAAFL/+7E=")</f>
        <v>#VALUE!</v>
      </c>
      <c r="FW116" t="e">
        <f>AND(Bills!#REF!,"AAAAAFL/+7I=")</f>
        <v>#REF!</v>
      </c>
      <c r="FX116">
        <f>IF(Bills!424:424,"AAAAAFL/+7M=",0)</f>
        <v>0</v>
      </c>
      <c r="FY116" t="e">
        <f>AND(Bills!B424,"AAAAAFL/+7Q=")</f>
        <v>#VALUE!</v>
      </c>
      <c r="FZ116" t="e">
        <f>AND(Bills!#REF!,"AAAAAFL/+7U=")</f>
        <v>#REF!</v>
      </c>
      <c r="GA116" t="e">
        <f>AND(Bills!C424,"AAAAAFL/+7Y=")</f>
        <v>#VALUE!</v>
      </c>
      <c r="GB116" t="e">
        <f>AND(Bills!D424,"AAAAAFL/+7c=")</f>
        <v>#VALUE!</v>
      </c>
      <c r="GC116" t="e">
        <f>AND(Bills!E424,"AAAAAFL/+7g=")</f>
        <v>#VALUE!</v>
      </c>
      <c r="GD116" t="e">
        <f>AND(Bills!#REF!,"AAAAAFL/+7k=")</f>
        <v>#REF!</v>
      </c>
      <c r="GE116" t="e">
        <f>AND(Bills!#REF!,"AAAAAFL/+7o=")</f>
        <v>#REF!</v>
      </c>
      <c r="GF116" t="e">
        <f>AND(Bills!#REF!,"AAAAAFL/+7s=")</f>
        <v>#REF!</v>
      </c>
      <c r="GG116" t="e">
        <f>AND(Bills!F424,"AAAAAFL/+7w=")</f>
        <v>#VALUE!</v>
      </c>
      <c r="GH116" t="e">
        <f>AND(Bills!#REF!,"AAAAAFL/+70=")</f>
        <v>#REF!</v>
      </c>
      <c r="GI116" t="e">
        <f>AND(Bills!G424,"AAAAAFL/+74=")</f>
        <v>#VALUE!</v>
      </c>
      <c r="GJ116" t="e">
        <f>AND(Bills!H424,"AAAAAFL/+78=")</f>
        <v>#VALUE!</v>
      </c>
      <c r="GK116" t="e">
        <f>AND(Bills!I424,"AAAAAFL/+8A=")</f>
        <v>#VALUE!</v>
      </c>
      <c r="GL116" t="e">
        <f>AND(Bills!J424,"AAAAAFL/+8E=")</f>
        <v>#VALUE!</v>
      </c>
      <c r="GM116" t="e">
        <f>AND(Bills!K424,"AAAAAFL/+8I=")</f>
        <v>#VALUE!</v>
      </c>
      <c r="GN116" t="e">
        <f>AND(Bills!L424,"AAAAAFL/+8M=")</f>
        <v>#VALUE!</v>
      </c>
      <c r="GO116" t="e">
        <f>AND(Bills!#REF!,"AAAAAFL/+8Q=")</f>
        <v>#REF!</v>
      </c>
      <c r="GP116" t="e">
        <f>AND(Bills!M424,"AAAAAFL/+8U=")</f>
        <v>#VALUE!</v>
      </c>
      <c r="GQ116" t="e">
        <f>AND(Bills!N424,"AAAAAFL/+8Y=")</f>
        <v>#VALUE!</v>
      </c>
      <c r="GR116" t="e">
        <f>AND(Bills!O424,"AAAAAFL/+8c=")</f>
        <v>#VALUE!</v>
      </c>
      <c r="GS116" t="e">
        <f>AND(Bills!P424,"AAAAAFL/+8g=")</f>
        <v>#VALUE!</v>
      </c>
      <c r="GT116" t="e">
        <f>AND(Bills!Q424,"AAAAAFL/+8k=")</f>
        <v>#VALUE!</v>
      </c>
      <c r="GU116" t="e">
        <f>AND(Bills!R424,"AAAAAFL/+8o=")</f>
        <v>#VALUE!</v>
      </c>
      <c r="GV116" t="e">
        <f>AND(Bills!S424,"AAAAAFL/+8s=")</f>
        <v>#VALUE!</v>
      </c>
      <c r="GW116" t="e">
        <f>AND(Bills!T424,"AAAAAFL/+8w=")</f>
        <v>#VALUE!</v>
      </c>
      <c r="GX116" t="e">
        <f>AND(Bills!#REF!,"AAAAAFL/+80=")</f>
        <v>#REF!</v>
      </c>
      <c r="GY116" t="e">
        <f>AND(Bills!U424,"AAAAAFL/+84=")</f>
        <v>#VALUE!</v>
      </c>
      <c r="GZ116" t="e">
        <f>AND(Bills!V424,"AAAAAFL/+88=")</f>
        <v>#VALUE!</v>
      </c>
      <c r="HA116" t="e">
        <f>AND(Bills!W424,"AAAAAFL/+9A=")</f>
        <v>#VALUE!</v>
      </c>
      <c r="HB116" t="e">
        <f>AND(Bills!#REF!,"AAAAAFL/+9E=")</f>
        <v>#REF!</v>
      </c>
      <c r="HC116" t="e">
        <f>AND(Bills!#REF!,"AAAAAFL/+9I=")</f>
        <v>#REF!</v>
      </c>
      <c r="HD116" t="e">
        <f>AND(Bills!Y424,"AAAAAFL/+9M=")</f>
        <v>#VALUE!</v>
      </c>
      <c r="HE116" t="e">
        <f>AND(Bills!Z424,"AAAAAFL/+9Q=")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AND(Bills!AA424,"AAAAAFL/+94=")</f>
        <v>#VALUE!</v>
      </c>
      <c r="HP116" t="e">
        <f>AND(Bills!AB424,"AAAAAFL/+98=")</f>
        <v>#VALUE!</v>
      </c>
      <c r="HQ116" t="e">
        <f>AND(Bills!#REF!,"AAAAAFL/++A=")</f>
        <v>#REF!</v>
      </c>
      <c r="HR116" t="e">
        <f>AND(Bills!#REF!,"AAAAAFL/++E=")</f>
        <v>#REF!</v>
      </c>
      <c r="HS116" t="e">
        <f>AND(Bills!#REF!,"AAAAAFL/++I=")</f>
        <v>#REF!</v>
      </c>
      <c r="HT116" t="e">
        <f>AND(Bills!AC424,"AAAAAFL/++M=")</f>
        <v>#VALUE!</v>
      </c>
      <c r="HU116" t="e">
        <f>AND(Bills!AD424,"AAAAAFL/++Q=")</f>
        <v>#VALUE!</v>
      </c>
      <c r="HV116" t="e">
        <f>AND(Bills!#REF!,"AAAAAFL/++U=")</f>
        <v>#REF!</v>
      </c>
      <c r="HW116">
        <f>IF(Bills!425:425,"AAAAAFL/++Y=",0)</f>
        <v>0</v>
      </c>
      <c r="HX116" t="e">
        <f>AND(Bills!B425,"AAAAAFL/++c=")</f>
        <v>#VALUE!</v>
      </c>
      <c r="HY116" t="e">
        <f>AND(Bills!#REF!,"AAAAAFL/++g=")</f>
        <v>#REF!</v>
      </c>
      <c r="HZ116" t="e">
        <f>AND(Bills!C425,"AAAAAFL/++k=")</f>
        <v>#VALUE!</v>
      </c>
      <c r="IA116" t="e">
        <f>AND(Bills!D425,"AAAAAFL/++o=")</f>
        <v>#VALUE!</v>
      </c>
      <c r="IB116" t="e">
        <f>AND(Bills!E425,"AAAAAFL/++s=")</f>
        <v>#VALUE!</v>
      </c>
      <c r="IC116" t="e">
        <f>AND(Bills!#REF!,"AAAAAFL/++w=")</f>
        <v>#REF!</v>
      </c>
      <c r="ID116" t="e">
        <f>AND(Bills!#REF!,"AAAAAFL/++0=")</f>
        <v>#REF!</v>
      </c>
      <c r="IE116" t="e">
        <f>AND(Bills!#REF!,"AAAAAFL/++4=")</f>
        <v>#REF!</v>
      </c>
      <c r="IF116" t="e">
        <f>AND(Bills!F425,"AAAAAFL/++8=")</f>
        <v>#VALUE!</v>
      </c>
      <c r="IG116" t="e">
        <f>AND(Bills!#REF!,"AAAAAFL/+/A=")</f>
        <v>#REF!</v>
      </c>
      <c r="IH116" t="e">
        <f>AND(Bills!G425,"AAAAAFL/+/E=")</f>
        <v>#VALUE!</v>
      </c>
      <c r="II116" t="e">
        <f>AND(Bills!H425,"AAAAAFL/+/I=")</f>
        <v>#VALUE!</v>
      </c>
      <c r="IJ116" t="e">
        <f>AND(Bills!I425,"AAAAAFL/+/M=")</f>
        <v>#VALUE!</v>
      </c>
      <c r="IK116" t="e">
        <f>AND(Bills!J425,"AAAAAFL/+/Q=")</f>
        <v>#VALUE!</v>
      </c>
      <c r="IL116" t="e">
        <f>AND(Bills!K425,"AAAAAFL/+/U=")</f>
        <v>#VALUE!</v>
      </c>
      <c r="IM116" t="e">
        <f>AND(Bills!L425,"AAAAAFL/+/Y=")</f>
        <v>#VALUE!</v>
      </c>
      <c r="IN116" t="e">
        <f>AND(Bills!#REF!,"AAAAAFL/+/c=")</f>
        <v>#REF!</v>
      </c>
      <c r="IO116" t="e">
        <f>AND(Bills!M425,"AAAAAFL/+/g=")</f>
        <v>#VALUE!</v>
      </c>
      <c r="IP116" t="e">
        <f>AND(Bills!N425,"AAAAAFL/+/k=")</f>
        <v>#VALUE!</v>
      </c>
      <c r="IQ116" t="e">
        <f>AND(Bills!O425,"AAAAAFL/+/o=")</f>
        <v>#VALUE!</v>
      </c>
      <c r="IR116" t="e">
        <f>AND(Bills!P425,"AAAAAFL/+/s=")</f>
        <v>#VALUE!</v>
      </c>
      <c r="IS116" t="e">
        <f>AND(Bills!Q425,"AAAAAFL/+/w=")</f>
        <v>#VALUE!</v>
      </c>
      <c r="IT116" t="e">
        <f>AND(Bills!R425,"AAAAAFL/+/0=")</f>
        <v>#VALUE!</v>
      </c>
      <c r="IU116" t="e">
        <f>AND(Bills!S425,"AAAAAFL/+/4=")</f>
        <v>#VALUE!</v>
      </c>
      <c r="IV116" t="e">
        <f>AND(Bills!T425,"AAAAAFL/+/8=")</f>
        <v>#VALUE!</v>
      </c>
    </row>
    <row r="117" spans="1:256">
      <c r="A117" t="e">
        <f>AND(Bills!#REF!,"AAAAAH/3/gA=")</f>
        <v>#REF!</v>
      </c>
      <c r="B117" t="e">
        <f>AND(Bills!U425,"AAAAAH/3/gE=")</f>
        <v>#VALUE!</v>
      </c>
      <c r="C117" t="e">
        <f>AND(Bills!V425,"AAAAAH/3/gI=")</f>
        <v>#VALUE!</v>
      </c>
      <c r="D117" t="e">
        <f>AND(Bills!W425,"AAAAAH/3/gM=")</f>
        <v>#VALUE!</v>
      </c>
      <c r="E117" t="e">
        <f>AND(Bills!#REF!,"AAAAAH/3/gQ=")</f>
        <v>#REF!</v>
      </c>
      <c r="F117" t="e">
        <f>AND(Bills!#REF!,"AAAAAH/3/gU=")</f>
        <v>#REF!</v>
      </c>
      <c r="G117" t="e">
        <f>AND(Bills!Y425,"AAAAAH/3/gY=")</f>
        <v>#VALUE!</v>
      </c>
      <c r="H117" t="e">
        <f>AND(Bills!Z425,"AAAAAH/3/gc=")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AND(Bills!AA425,"AAAAAH/3/hE=")</f>
        <v>#VALUE!</v>
      </c>
      <c r="S117" t="e">
        <f>AND(Bills!AB425,"AAAAAH/3/hI=")</f>
        <v>#VALUE!</v>
      </c>
      <c r="T117" t="e">
        <f>AND(Bills!#REF!,"AAAAAH/3/hM=")</f>
        <v>#REF!</v>
      </c>
      <c r="U117" t="e">
        <f>AND(Bills!#REF!,"AAAAAH/3/hQ=")</f>
        <v>#REF!</v>
      </c>
      <c r="V117" t="e">
        <f>AND(Bills!#REF!,"AAAAAH/3/hU=")</f>
        <v>#REF!</v>
      </c>
      <c r="W117" t="e">
        <f>AND(Bills!AC425,"AAAAAH/3/hY=")</f>
        <v>#VALUE!</v>
      </c>
      <c r="X117" t="e">
        <f>AND(Bills!AD425,"AAAAAH/3/hc=")</f>
        <v>#VALUE!</v>
      </c>
      <c r="Y117" t="e">
        <f>AND(Bills!#REF!,"AAAAAH/3/hg=")</f>
        <v>#REF!</v>
      </c>
      <c r="Z117">
        <f>IF(Bills!426:426,"AAAAAH/3/hk=",0)</f>
        <v>0</v>
      </c>
      <c r="AA117" t="e">
        <f>AND(Bills!B426,"AAAAAH/3/ho=")</f>
        <v>#VALUE!</v>
      </c>
      <c r="AB117" t="e">
        <f>AND(Bills!#REF!,"AAAAAH/3/hs=")</f>
        <v>#REF!</v>
      </c>
      <c r="AC117" t="e">
        <f>AND(Bills!C426,"AAAAAH/3/hw=")</f>
        <v>#VALUE!</v>
      </c>
      <c r="AD117" t="e">
        <f>AND(Bills!D426,"AAAAAH/3/h0=")</f>
        <v>#VALUE!</v>
      </c>
      <c r="AE117" t="e">
        <f>AND(Bills!E426,"AAAAAH/3/h4=")</f>
        <v>#VALUE!</v>
      </c>
      <c r="AF117" t="e">
        <f>AND(Bills!#REF!,"AAAAAH/3/h8=")</f>
        <v>#REF!</v>
      </c>
      <c r="AG117" t="e">
        <f>AND(Bills!#REF!,"AAAAAH/3/iA=")</f>
        <v>#REF!</v>
      </c>
      <c r="AH117" t="e">
        <f>AND(Bills!#REF!,"AAAAAH/3/iE=")</f>
        <v>#REF!</v>
      </c>
      <c r="AI117" t="e">
        <f>AND(Bills!F426,"AAAAAH/3/iI=")</f>
        <v>#VALUE!</v>
      </c>
      <c r="AJ117" t="e">
        <f>AND(Bills!#REF!,"AAAAAH/3/iM=")</f>
        <v>#REF!</v>
      </c>
      <c r="AK117" t="e">
        <f>AND(Bills!G426,"AAAAAH/3/iQ=")</f>
        <v>#VALUE!</v>
      </c>
      <c r="AL117" t="e">
        <f>AND(Bills!H426,"AAAAAH/3/iU=")</f>
        <v>#VALUE!</v>
      </c>
      <c r="AM117" t="e">
        <f>AND(Bills!I426,"AAAAAH/3/iY=")</f>
        <v>#VALUE!</v>
      </c>
      <c r="AN117" t="e">
        <f>AND(Bills!J426,"AAAAAH/3/ic=")</f>
        <v>#VALUE!</v>
      </c>
      <c r="AO117" t="e">
        <f>AND(Bills!K426,"AAAAAH/3/ig=")</f>
        <v>#VALUE!</v>
      </c>
      <c r="AP117" t="e">
        <f>AND(Bills!L426,"AAAAAH/3/ik=")</f>
        <v>#VALUE!</v>
      </c>
      <c r="AQ117" t="e">
        <f>AND(Bills!#REF!,"AAAAAH/3/io=")</f>
        <v>#REF!</v>
      </c>
      <c r="AR117" t="e">
        <f>AND(Bills!M426,"AAAAAH/3/is=")</f>
        <v>#VALUE!</v>
      </c>
      <c r="AS117" t="e">
        <f>AND(Bills!N426,"AAAAAH/3/iw=")</f>
        <v>#VALUE!</v>
      </c>
      <c r="AT117" t="e">
        <f>AND(Bills!O426,"AAAAAH/3/i0=")</f>
        <v>#VALUE!</v>
      </c>
      <c r="AU117" t="e">
        <f>AND(Bills!P426,"AAAAAH/3/i4=")</f>
        <v>#VALUE!</v>
      </c>
      <c r="AV117" t="e">
        <f>AND(Bills!Q426,"AAAAAH/3/i8=")</f>
        <v>#VALUE!</v>
      </c>
      <c r="AW117" t="e">
        <f>AND(Bills!R426,"AAAAAH/3/jA=")</f>
        <v>#VALUE!</v>
      </c>
      <c r="AX117" t="e">
        <f>AND(Bills!S426,"AAAAAH/3/jE=")</f>
        <v>#VALUE!</v>
      </c>
      <c r="AY117" t="e">
        <f>AND(Bills!T426,"AAAAAH/3/jI=")</f>
        <v>#VALUE!</v>
      </c>
      <c r="AZ117" t="e">
        <f>AND(Bills!#REF!,"AAAAAH/3/jM=")</f>
        <v>#REF!</v>
      </c>
      <c r="BA117" t="e">
        <f>AND(Bills!U426,"AAAAAH/3/jQ=")</f>
        <v>#VALUE!</v>
      </c>
      <c r="BB117" t="e">
        <f>AND(Bills!V426,"AAAAAH/3/jU=")</f>
        <v>#VALUE!</v>
      </c>
      <c r="BC117" t="e">
        <f>AND(Bills!W426,"AAAAAH/3/jY=")</f>
        <v>#VALUE!</v>
      </c>
      <c r="BD117" t="e">
        <f>AND(Bills!#REF!,"AAAAAH/3/jc=")</f>
        <v>#REF!</v>
      </c>
      <c r="BE117" t="e">
        <f>AND(Bills!#REF!,"AAAAAH/3/jg=")</f>
        <v>#REF!</v>
      </c>
      <c r="BF117" t="e">
        <f>AND(Bills!Y426,"AAAAAH/3/jk=")</f>
        <v>#VALUE!</v>
      </c>
      <c r="BG117" t="e">
        <f>AND(Bills!Z426,"AAAAAH/3/jo=")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AND(Bills!AA426,"AAAAAH/3/kQ=")</f>
        <v>#VALUE!</v>
      </c>
      <c r="BR117" t="e">
        <f>AND(Bills!AB426,"AAAAAH/3/kU=")</f>
        <v>#VALUE!</v>
      </c>
      <c r="BS117" t="e">
        <f>AND(Bills!#REF!,"AAAAAH/3/kY=")</f>
        <v>#REF!</v>
      </c>
      <c r="BT117" t="e">
        <f>AND(Bills!#REF!,"AAAAAH/3/kc=")</f>
        <v>#REF!</v>
      </c>
      <c r="BU117" t="e">
        <f>AND(Bills!#REF!,"AAAAAH/3/kg=")</f>
        <v>#REF!</v>
      </c>
      <c r="BV117" t="e">
        <f>AND(Bills!AC426,"AAAAAH/3/kk=")</f>
        <v>#VALUE!</v>
      </c>
      <c r="BW117" t="e">
        <f>AND(Bills!AD426,"AAAAAH/3/ko=")</f>
        <v>#VALUE!</v>
      </c>
      <c r="BX117" t="e">
        <f>AND(Bills!#REF!,"AAAAAH/3/ks=")</f>
        <v>#REF!</v>
      </c>
      <c r="BY117">
        <f>IF(Bills!427:427,"AAAAAH/3/kw=",0)</f>
        <v>0</v>
      </c>
      <c r="BZ117" t="e">
        <f>AND(Bills!B427,"AAAAAH/3/k0=")</f>
        <v>#VALUE!</v>
      </c>
      <c r="CA117" t="e">
        <f>AND(Bills!#REF!,"AAAAAH/3/k4=")</f>
        <v>#REF!</v>
      </c>
      <c r="CB117" t="e">
        <f>AND(Bills!C427,"AAAAAH/3/k8=")</f>
        <v>#VALUE!</v>
      </c>
      <c r="CC117" t="e">
        <f>AND(Bills!D427,"AAAAAH/3/lA=")</f>
        <v>#VALUE!</v>
      </c>
      <c r="CD117" t="e">
        <f>AND(Bills!E427,"AAAAAH/3/lE=")</f>
        <v>#VALUE!</v>
      </c>
      <c r="CE117" t="e">
        <f>AND(Bills!#REF!,"AAAAAH/3/lI=")</f>
        <v>#REF!</v>
      </c>
      <c r="CF117" t="e">
        <f>AND(Bills!#REF!,"AAAAAH/3/lM=")</f>
        <v>#REF!</v>
      </c>
      <c r="CG117" t="e">
        <f>AND(Bills!#REF!,"AAAAAH/3/lQ=")</f>
        <v>#REF!</v>
      </c>
      <c r="CH117" t="e">
        <f>AND(Bills!F427,"AAAAAH/3/lU=")</f>
        <v>#VALUE!</v>
      </c>
      <c r="CI117" t="e">
        <f>AND(Bills!#REF!,"AAAAAH/3/lY=")</f>
        <v>#REF!</v>
      </c>
      <c r="CJ117" t="e">
        <f>AND(Bills!G427,"AAAAAH/3/lc=")</f>
        <v>#VALUE!</v>
      </c>
      <c r="CK117" t="e">
        <f>AND(Bills!H427,"AAAAAH/3/lg=")</f>
        <v>#VALUE!</v>
      </c>
      <c r="CL117" t="e">
        <f>AND(Bills!I427,"AAAAAH/3/lk=")</f>
        <v>#VALUE!</v>
      </c>
      <c r="CM117" t="e">
        <f>AND(Bills!J427,"AAAAAH/3/lo=")</f>
        <v>#VALUE!</v>
      </c>
      <c r="CN117" t="e">
        <f>AND(Bills!K427,"AAAAAH/3/ls=")</f>
        <v>#VALUE!</v>
      </c>
      <c r="CO117" t="e">
        <f>AND(Bills!L427,"AAAAAH/3/lw=")</f>
        <v>#VALUE!</v>
      </c>
      <c r="CP117" t="e">
        <f>AND(Bills!#REF!,"AAAAAH/3/l0=")</f>
        <v>#REF!</v>
      </c>
      <c r="CQ117" t="e">
        <f>AND(Bills!M427,"AAAAAH/3/l4=")</f>
        <v>#VALUE!</v>
      </c>
      <c r="CR117" t="e">
        <f>AND(Bills!N427,"AAAAAH/3/l8=")</f>
        <v>#VALUE!</v>
      </c>
      <c r="CS117" t="e">
        <f>AND(Bills!O427,"AAAAAH/3/mA=")</f>
        <v>#VALUE!</v>
      </c>
      <c r="CT117" t="e">
        <f>AND(Bills!P427,"AAAAAH/3/mE=")</f>
        <v>#VALUE!</v>
      </c>
      <c r="CU117" t="e">
        <f>AND(Bills!Q427,"AAAAAH/3/mI=")</f>
        <v>#VALUE!</v>
      </c>
      <c r="CV117" t="e">
        <f>AND(Bills!R427,"AAAAAH/3/mM=")</f>
        <v>#VALUE!</v>
      </c>
      <c r="CW117" t="e">
        <f>AND(Bills!S427,"AAAAAH/3/mQ=")</f>
        <v>#VALUE!</v>
      </c>
      <c r="CX117" t="e">
        <f>AND(Bills!T427,"AAAAAH/3/mU=")</f>
        <v>#VALUE!</v>
      </c>
      <c r="CY117" t="e">
        <f>AND(Bills!#REF!,"AAAAAH/3/mY=")</f>
        <v>#REF!</v>
      </c>
      <c r="CZ117" t="e">
        <f>AND(Bills!U427,"AAAAAH/3/mc=")</f>
        <v>#VALUE!</v>
      </c>
      <c r="DA117" t="e">
        <f>AND(Bills!V427,"AAAAAH/3/mg=")</f>
        <v>#VALUE!</v>
      </c>
      <c r="DB117" t="e">
        <f>AND(Bills!W427,"AAAAAH/3/mk=")</f>
        <v>#VALUE!</v>
      </c>
      <c r="DC117" t="e">
        <f>AND(Bills!#REF!,"AAAAAH/3/mo=")</f>
        <v>#REF!</v>
      </c>
      <c r="DD117" t="e">
        <f>AND(Bills!#REF!,"AAAAAH/3/ms=")</f>
        <v>#REF!</v>
      </c>
      <c r="DE117" t="e">
        <f>AND(Bills!Y427,"AAAAAH/3/mw=")</f>
        <v>#VALUE!</v>
      </c>
      <c r="DF117" t="e">
        <f>AND(Bills!Z427,"AAAAAH/3/m0=")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AND(Bills!AA427,"AAAAAH/3/nc=")</f>
        <v>#VALUE!</v>
      </c>
      <c r="DQ117" t="e">
        <f>AND(Bills!AB427,"AAAAAH/3/ng=")</f>
        <v>#VALUE!</v>
      </c>
      <c r="DR117" t="e">
        <f>AND(Bills!#REF!,"AAAAAH/3/nk=")</f>
        <v>#REF!</v>
      </c>
      <c r="DS117" t="e">
        <f>AND(Bills!#REF!,"AAAAAH/3/no=")</f>
        <v>#REF!</v>
      </c>
      <c r="DT117" t="e">
        <f>AND(Bills!#REF!,"AAAAAH/3/ns=")</f>
        <v>#REF!</v>
      </c>
      <c r="DU117" t="e">
        <f>AND(Bills!AC427,"AAAAAH/3/nw=")</f>
        <v>#VALUE!</v>
      </c>
      <c r="DV117" t="e">
        <f>AND(Bills!AD427,"AAAAAH/3/n0=")</f>
        <v>#VALUE!</v>
      </c>
      <c r="DW117" t="e">
        <f>AND(Bills!#REF!,"AAAAAH/3/n4=")</f>
        <v>#REF!</v>
      </c>
      <c r="DX117">
        <f>IF(Bills!428:428,"AAAAAH/3/n8=",0)</f>
        <v>0</v>
      </c>
      <c r="DY117" t="e">
        <f>AND(Bills!B428,"AAAAAH/3/oA=")</f>
        <v>#VALUE!</v>
      </c>
      <c r="DZ117" t="e">
        <f>AND(Bills!#REF!,"AAAAAH/3/oE=")</f>
        <v>#REF!</v>
      </c>
      <c r="EA117" t="e">
        <f>AND(Bills!C428,"AAAAAH/3/oI=")</f>
        <v>#VALUE!</v>
      </c>
      <c r="EB117" t="e">
        <f>AND(Bills!D428,"AAAAAH/3/oM=")</f>
        <v>#VALUE!</v>
      </c>
      <c r="EC117" t="e">
        <f>AND(Bills!E428,"AAAAAH/3/oQ=")</f>
        <v>#VALUE!</v>
      </c>
      <c r="ED117" t="e">
        <f>AND(Bills!#REF!,"AAAAAH/3/oU=")</f>
        <v>#REF!</v>
      </c>
      <c r="EE117" t="e">
        <f>AND(Bills!#REF!,"AAAAAH/3/oY=")</f>
        <v>#REF!</v>
      </c>
      <c r="EF117" t="e">
        <f>AND(Bills!#REF!,"AAAAAH/3/oc=")</f>
        <v>#REF!</v>
      </c>
      <c r="EG117" t="e">
        <f>AND(Bills!F428,"AAAAAH/3/og=")</f>
        <v>#VALUE!</v>
      </c>
      <c r="EH117" t="e">
        <f>AND(Bills!#REF!,"AAAAAH/3/ok=")</f>
        <v>#REF!</v>
      </c>
      <c r="EI117" t="e">
        <f>AND(Bills!G428,"AAAAAH/3/oo=")</f>
        <v>#VALUE!</v>
      </c>
      <c r="EJ117" t="e">
        <f>AND(Bills!H428,"AAAAAH/3/os=")</f>
        <v>#VALUE!</v>
      </c>
      <c r="EK117" t="e">
        <f>AND(Bills!I428,"AAAAAH/3/ow=")</f>
        <v>#VALUE!</v>
      </c>
      <c r="EL117" t="e">
        <f>AND(Bills!J428,"AAAAAH/3/o0=")</f>
        <v>#VALUE!</v>
      </c>
      <c r="EM117" t="e">
        <f>AND(Bills!K428,"AAAAAH/3/o4=")</f>
        <v>#VALUE!</v>
      </c>
      <c r="EN117" t="e">
        <f>AND(Bills!L428,"AAAAAH/3/o8=")</f>
        <v>#VALUE!</v>
      </c>
      <c r="EO117" t="e">
        <f>AND(Bills!#REF!,"AAAAAH/3/pA=")</f>
        <v>#REF!</v>
      </c>
      <c r="EP117" t="e">
        <f>AND(Bills!M428,"AAAAAH/3/pE=")</f>
        <v>#VALUE!</v>
      </c>
      <c r="EQ117" t="e">
        <f>AND(Bills!N428,"AAAAAH/3/pI=")</f>
        <v>#VALUE!</v>
      </c>
      <c r="ER117" t="e">
        <f>AND(Bills!O428,"AAAAAH/3/pM=")</f>
        <v>#VALUE!</v>
      </c>
      <c r="ES117" t="e">
        <f>AND(Bills!P428,"AAAAAH/3/pQ=")</f>
        <v>#VALUE!</v>
      </c>
      <c r="ET117" t="e">
        <f>AND(Bills!Q428,"AAAAAH/3/pU=")</f>
        <v>#VALUE!</v>
      </c>
      <c r="EU117" t="e">
        <f>AND(Bills!R428,"AAAAAH/3/pY=")</f>
        <v>#VALUE!</v>
      </c>
      <c r="EV117" t="e">
        <f>AND(Bills!S428,"AAAAAH/3/pc=")</f>
        <v>#VALUE!</v>
      </c>
      <c r="EW117" t="e">
        <f>AND(Bills!T428,"AAAAAH/3/pg=")</f>
        <v>#VALUE!</v>
      </c>
      <c r="EX117" t="e">
        <f>AND(Bills!#REF!,"AAAAAH/3/pk=")</f>
        <v>#REF!</v>
      </c>
      <c r="EY117" t="e">
        <f>AND(Bills!U428,"AAAAAH/3/po=")</f>
        <v>#VALUE!</v>
      </c>
      <c r="EZ117" t="e">
        <f>AND(Bills!V428,"AAAAAH/3/ps=")</f>
        <v>#VALUE!</v>
      </c>
      <c r="FA117" t="e">
        <f>AND(Bills!W428,"AAAAAH/3/pw=")</f>
        <v>#VALUE!</v>
      </c>
      <c r="FB117" t="e">
        <f>AND(Bills!#REF!,"AAAAAH/3/p0=")</f>
        <v>#REF!</v>
      </c>
      <c r="FC117" t="e">
        <f>AND(Bills!#REF!,"AAAAAH/3/p4=")</f>
        <v>#REF!</v>
      </c>
      <c r="FD117" t="e">
        <f>AND(Bills!Y428,"AAAAAH/3/p8=")</f>
        <v>#VALUE!</v>
      </c>
      <c r="FE117" t="e">
        <f>AND(Bills!Z428,"AAAAAH/3/qA=")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AND(Bills!AA428,"AAAAAH/3/qo=")</f>
        <v>#VALUE!</v>
      </c>
      <c r="FP117" t="e">
        <f>AND(Bills!AB428,"AAAAAH/3/qs=")</f>
        <v>#VALUE!</v>
      </c>
      <c r="FQ117" t="e">
        <f>AND(Bills!#REF!,"AAAAAH/3/qw=")</f>
        <v>#REF!</v>
      </c>
      <c r="FR117" t="e">
        <f>AND(Bills!#REF!,"AAAAAH/3/q0=")</f>
        <v>#REF!</v>
      </c>
      <c r="FS117" t="e">
        <f>AND(Bills!#REF!,"AAAAAH/3/q4=")</f>
        <v>#REF!</v>
      </c>
      <c r="FT117" t="e">
        <f>AND(Bills!AC428,"AAAAAH/3/q8=")</f>
        <v>#VALUE!</v>
      </c>
      <c r="FU117" t="e">
        <f>AND(Bills!AD428,"AAAAAH/3/rA=")</f>
        <v>#VALUE!</v>
      </c>
      <c r="FV117" t="e">
        <f>AND(Bills!#REF!,"AAAAAH/3/rE=")</f>
        <v>#REF!</v>
      </c>
      <c r="FW117">
        <f>IF(Bills!429:429,"AAAAAH/3/rI=",0)</f>
        <v>0</v>
      </c>
      <c r="FX117" t="e">
        <f>AND(Bills!B429,"AAAAAH/3/rM=")</f>
        <v>#VALUE!</v>
      </c>
      <c r="FY117" t="e">
        <f>AND(Bills!#REF!,"AAAAAH/3/rQ=")</f>
        <v>#REF!</v>
      </c>
      <c r="FZ117" t="e">
        <f>AND(Bills!C429,"AAAAAH/3/rU=")</f>
        <v>#VALUE!</v>
      </c>
      <c r="GA117" t="e">
        <f>AND(Bills!D429,"AAAAAH/3/rY=")</f>
        <v>#VALUE!</v>
      </c>
      <c r="GB117" t="e">
        <f>AND(Bills!E429,"AAAAAH/3/rc=")</f>
        <v>#VALUE!</v>
      </c>
      <c r="GC117" t="e">
        <f>AND(Bills!#REF!,"AAAAAH/3/rg=")</f>
        <v>#REF!</v>
      </c>
      <c r="GD117" t="e">
        <f>AND(Bills!#REF!,"AAAAAH/3/rk=")</f>
        <v>#REF!</v>
      </c>
      <c r="GE117" t="e">
        <f>AND(Bills!#REF!,"AAAAAH/3/ro=")</f>
        <v>#REF!</v>
      </c>
      <c r="GF117" t="e">
        <f>AND(Bills!F429,"AAAAAH/3/rs=")</f>
        <v>#VALUE!</v>
      </c>
      <c r="GG117" t="e">
        <f>AND(Bills!#REF!,"AAAAAH/3/rw=")</f>
        <v>#REF!</v>
      </c>
      <c r="GH117" t="e">
        <f>AND(Bills!G429,"AAAAAH/3/r0=")</f>
        <v>#VALUE!</v>
      </c>
      <c r="GI117" t="e">
        <f>AND(Bills!H429,"AAAAAH/3/r4=")</f>
        <v>#VALUE!</v>
      </c>
      <c r="GJ117" t="e">
        <f>AND(Bills!I429,"AAAAAH/3/r8=")</f>
        <v>#VALUE!</v>
      </c>
      <c r="GK117" t="e">
        <f>AND(Bills!J429,"AAAAAH/3/sA=")</f>
        <v>#VALUE!</v>
      </c>
      <c r="GL117" t="e">
        <f>AND(Bills!K429,"AAAAAH/3/sE=")</f>
        <v>#VALUE!</v>
      </c>
      <c r="GM117" t="e">
        <f>AND(Bills!L429,"AAAAAH/3/sI=")</f>
        <v>#VALUE!</v>
      </c>
      <c r="GN117" t="e">
        <f>AND(Bills!#REF!,"AAAAAH/3/sM=")</f>
        <v>#REF!</v>
      </c>
      <c r="GO117" t="e">
        <f>AND(Bills!M429,"AAAAAH/3/sQ=")</f>
        <v>#VALUE!</v>
      </c>
      <c r="GP117" t="e">
        <f>AND(Bills!N429,"AAAAAH/3/sU=")</f>
        <v>#VALUE!</v>
      </c>
      <c r="GQ117" t="e">
        <f>AND(Bills!O429,"AAAAAH/3/sY=")</f>
        <v>#VALUE!</v>
      </c>
      <c r="GR117" t="e">
        <f>AND(Bills!P429,"AAAAAH/3/sc=")</f>
        <v>#VALUE!</v>
      </c>
      <c r="GS117" t="e">
        <f>AND(Bills!Q429,"AAAAAH/3/sg=")</f>
        <v>#VALUE!</v>
      </c>
      <c r="GT117" t="e">
        <f>AND(Bills!R429,"AAAAAH/3/sk=")</f>
        <v>#VALUE!</v>
      </c>
      <c r="GU117" t="e">
        <f>AND(Bills!S429,"AAAAAH/3/so=")</f>
        <v>#VALUE!</v>
      </c>
      <c r="GV117" t="e">
        <f>AND(Bills!T429,"AAAAAH/3/ss=")</f>
        <v>#VALUE!</v>
      </c>
      <c r="GW117" t="e">
        <f>AND(Bills!#REF!,"AAAAAH/3/sw=")</f>
        <v>#REF!</v>
      </c>
      <c r="GX117" t="e">
        <f>AND(Bills!U429,"AAAAAH/3/s0=")</f>
        <v>#VALUE!</v>
      </c>
      <c r="GY117" t="e">
        <f>AND(Bills!V429,"AAAAAH/3/s4=")</f>
        <v>#VALUE!</v>
      </c>
      <c r="GZ117" t="e">
        <f>AND(Bills!W429,"AAAAAH/3/s8=")</f>
        <v>#VALUE!</v>
      </c>
      <c r="HA117" t="e">
        <f>AND(Bills!#REF!,"AAAAAH/3/tA=")</f>
        <v>#REF!</v>
      </c>
      <c r="HB117" t="e">
        <f>AND(Bills!#REF!,"AAAAAH/3/tE=")</f>
        <v>#REF!</v>
      </c>
      <c r="HC117" t="e">
        <f>AND(Bills!Y429,"AAAAAH/3/tI=")</f>
        <v>#VALUE!</v>
      </c>
      <c r="HD117" t="e">
        <f>AND(Bills!Z429,"AAAAAH/3/tM=")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AND(Bills!AA429,"AAAAAH/3/t0=")</f>
        <v>#VALUE!</v>
      </c>
      <c r="HO117" t="e">
        <f>AND(Bills!AB429,"AAAAAH/3/t4=")</f>
        <v>#VALUE!</v>
      </c>
      <c r="HP117" t="e">
        <f>AND(Bills!#REF!,"AAAAAH/3/t8=")</f>
        <v>#REF!</v>
      </c>
      <c r="HQ117" t="e">
        <f>AND(Bills!#REF!,"AAAAAH/3/uA=")</f>
        <v>#REF!</v>
      </c>
      <c r="HR117" t="e">
        <f>AND(Bills!#REF!,"AAAAAH/3/uE=")</f>
        <v>#REF!</v>
      </c>
      <c r="HS117" t="e">
        <f>AND(Bills!AC429,"AAAAAH/3/uI=")</f>
        <v>#VALUE!</v>
      </c>
      <c r="HT117" t="e">
        <f>AND(Bills!AD429,"AAAAAH/3/uM=")</f>
        <v>#VALUE!</v>
      </c>
      <c r="HU117" t="e">
        <f>AND(Bills!#REF!,"AAAAAH/3/uQ=")</f>
        <v>#REF!</v>
      </c>
      <c r="HV117">
        <f>IF(Bills!430:430,"AAAAAH/3/uU=",0)</f>
        <v>0</v>
      </c>
      <c r="HW117" t="e">
        <f>AND(Bills!B430,"AAAAAH/3/uY=")</f>
        <v>#VALUE!</v>
      </c>
      <c r="HX117" t="e">
        <f>AND(Bills!#REF!,"AAAAAH/3/uc=")</f>
        <v>#REF!</v>
      </c>
      <c r="HY117" t="e">
        <f>AND(Bills!C430,"AAAAAH/3/ug=")</f>
        <v>#VALUE!</v>
      </c>
      <c r="HZ117" t="e">
        <f>AND(Bills!D430,"AAAAAH/3/uk=")</f>
        <v>#VALUE!</v>
      </c>
      <c r="IA117" t="e">
        <f>AND(Bills!E430,"AAAAAH/3/uo=")</f>
        <v>#VALUE!</v>
      </c>
      <c r="IB117" t="e">
        <f>AND(Bills!#REF!,"AAAAAH/3/us=")</f>
        <v>#REF!</v>
      </c>
      <c r="IC117" t="e">
        <f>AND(Bills!#REF!,"AAAAAH/3/uw=")</f>
        <v>#REF!</v>
      </c>
      <c r="ID117" t="e">
        <f>AND(Bills!#REF!,"AAAAAH/3/u0=")</f>
        <v>#REF!</v>
      </c>
      <c r="IE117" t="e">
        <f>AND(Bills!F430,"AAAAAH/3/u4=")</f>
        <v>#VALUE!</v>
      </c>
      <c r="IF117" t="e">
        <f>AND(Bills!#REF!,"AAAAAH/3/u8=")</f>
        <v>#REF!</v>
      </c>
      <c r="IG117" t="e">
        <f>AND(Bills!G430,"AAAAAH/3/vA=")</f>
        <v>#VALUE!</v>
      </c>
      <c r="IH117" t="e">
        <f>AND(Bills!H430,"AAAAAH/3/vE=")</f>
        <v>#VALUE!</v>
      </c>
      <c r="II117" t="e">
        <f>AND(Bills!I430,"AAAAAH/3/vI=")</f>
        <v>#VALUE!</v>
      </c>
      <c r="IJ117" t="e">
        <f>AND(Bills!J430,"AAAAAH/3/vM=")</f>
        <v>#VALUE!</v>
      </c>
      <c r="IK117" t="e">
        <f>AND(Bills!K430,"AAAAAH/3/vQ=")</f>
        <v>#VALUE!</v>
      </c>
      <c r="IL117" t="e">
        <f>AND(Bills!L430,"AAAAAH/3/vU=")</f>
        <v>#VALUE!</v>
      </c>
      <c r="IM117" t="e">
        <f>AND(Bills!#REF!,"AAAAAH/3/vY=")</f>
        <v>#REF!</v>
      </c>
      <c r="IN117" t="e">
        <f>AND(Bills!M430,"AAAAAH/3/vc=")</f>
        <v>#VALUE!</v>
      </c>
      <c r="IO117" t="e">
        <f>AND(Bills!N430,"AAAAAH/3/vg=")</f>
        <v>#VALUE!</v>
      </c>
      <c r="IP117" t="e">
        <f>AND(Bills!O430,"AAAAAH/3/vk=")</f>
        <v>#VALUE!</v>
      </c>
      <c r="IQ117" t="e">
        <f>AND(Bills!P430,"AAAAAH/3/vo=")</f>
        <v>#VALUE!</v>
      </c>
      <c r="IR117" t="e">
        <f>AND(Bills!Q430,"AAAAAH/3/vs=")</f>
        <v>#VALUE!</v>
      </c>
      <c r="IS117" t="e">
        <f>AND(Bills!R430,"AAAAAH/3/vw=")</f>
        <v>#VALUE!</v>
      </c>
      <c r="IT117" t="e">
        <f>AND(Bills!S430,"AAAAAH/3/v0=")</f>
        <v>#VALUE!</v>
      </c>
      <c r="IU117" t="e">
        <f>AND(Bills!T430,"AAAAAH/3/v4=")</f>
        <v>#VALUE!</v>
      </c>
      <c r="IV117" t="e">
        <f>AND(Bills!#REF!,"AAAAAH/3/v8=")</f>
        <v>#REF!</v>
      </c>
    </row>
    <row r="118" spans="1:256">
      <c r="A118" t="e">
        <f>AND(Bills!U430,"AAAAAHv/zwA=")</f>
        <v>#VALUE!</v>
      </c>
      <c r="B118" t="e">
        <f>AND(Bills!V430,"AAAAAHv/zwE=")</f>
        <v>#VALUE!</v>
      </c>
      <c r="C118" t="e">
        <f>AND(Bills!W430,"AAAAAHv/zwI=")</f>
        <v>#VALUE!</v>
      </c>
      <c r="D118" t="e">
        <f>AND(Bills!#REF!,"AAAAAHv/zwM=")</f>
        <v>#REF!</v>
      </c>
      <c r="E118" t="e">
        <f>AND(Bills!#REF!,"AAAAAHv/zwQ=")</f>
        <v>#REF!</v>
      </c>
      <c r="F118" t="e">
        <f>AND(Bills!Y430,"AAAAAHv/zwU=")</f>
        <v>#VALUE!</v>
      </c>
      <c r="G118" t="e">
        <f>AND(Bills!Z430,"AAAAAHv/zwY=")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AND(Bills!AA430,"AAAAAHv/zxA=")</f>
        <v>#VALUE!</v>
      </c>
      <c r="R118" t="e">
        <f>AND(Bills!AB430,"AAAAAHv/zxE=")</f>
        <v>#VALUE!</v>
      </c>
      <c r="S118" t="e">
        <f>AND(Bills!#REF!,"AAAAAHv/zxI=")</f>
        <v>#REF!</v>
      </c>
      <c r="T118" t="e">
        <f>AND(Bills!#REF!,"AAAAAHv/zxM=")</f>
        <v>#REF!</v>
      </c>
      <c r="U118" t="e">
        <f>AND(Bills!#REF!,"AAAAAHv/zxQ=")</f>
        <v>#REF!</v>
      </c>
      <c r="V118" t="e">
        <f>AND(Bills!AC430,"AAAAAHv/zxU=")</f>
        <v>#VALUE!</v>
      </c>
      <c r="W118" t="e">
        <f>AND(Bills!AD430,"AAAAAHv/zxY=")</f>
        <v>#VALUE!</v>
      </c>
      <c r="X118" t="e">
        <f>AND(Bills!#REF!,"AAAAAHv/zxc=")</f>
        <v>#REF!</v>
      </c>
      <c r="Y118">
        <f>IF(Bills!431:431,"AAAAAHv/zxg=",0)</f>
        <v>0</v>
      </c>
      <c r="Z118" t="e">
        <f>AND(Bills!B431,"AAAAAHv/zxk=")</f>
        <v>#VALUE!</v>
      </c>
      <c r="AA118" t="e">
        <f>AND(Bills!#REF!,"AAAAAHv/zxo=")</f>
        <v>#REF!</v>
      </c>
      <c r="AB118" t="e">
        <f>AND(Bills!C431,"AAAAAHv/zxs=")</f>
        <v>#VALUE!</v>
      </c>
      <c r="AC118" t="e">
        <f>AND(Bills!D431,"AAAAAHv/zxw=")</f>
        <v>#VALUE!</v>
      </c>
      <c r="AD118" t="e">
        <f>AND(Bills!E431,"AAAAAHv/zx0=")</f>
        <v>#VALUE!</v>
      </c>
      <c r="AE118" t="e">
        <f>AND(Bills!#REF!,"AAAAAHv/zx4=")</f>
        <v>#REF!</v>
      </c>
      <c r="AF118" t="e">
        <f>AND(Bills!#REF!,"AAAAAHv/zx8=")</f>
        <v>#REF!</v>
      </c>
      <c r="AG118" t="e">
        <f>AND(Bills!#REF!,"AAAAAHv/zyA=")</f>
        <v>#REF!</v>
      </c>
      <c r="AH118" t="e">
        <f>AND(Bills!F431,"AAAAAHv/zyE=")</f>
        <v>#VALUE!</v>
      </c>
      <c r="AI118" t="e">
        <f>AND(Bills!#REF!,"AAAAAHv/zyI=")</f>
        <v>#REF!</v>
      </c>
      <c r="AJ118" t="e">
        <f>AND(Bills!G431,"AAAAAHv/zyM=")</f>
        <v>#VALUE!</v>
      </c>
      <c r="AK118" t="e">
        <f>AND(Bills!H431,"AAAAAHv/zyQ=")</f>
        <v>#VALUE!</v>
      </c>
      <c r="AL118" t="e">
        <f>AND(Bills!I431,"AAAAAHv/zyU=")</f>
        <v>#VALUE!</v>
      </c>
      <c r="AM118" t="e">
        <f>AND(Bills!J431,"AAAAAHv/zyY=")</f>
        <v>#VALUE!</v>
      </c>
      <c r="AN118" t="e">
        <f>AND(Bills!K431,"AAAAAHv/zyc=")</f>
        <v>#VALUE!</v>
      </c>
      <c r="AO118" t="e">
        <f>AND(Bills!L431,"AAAAAHv/zyg=")</f>
        <v>#VALUE!</v>
      </c>
      <c r="AP118" t="e">
        <f>AND(Bills!#REF!,"AAAAAHv/zyk=")</f>
        <v>#REF!</v>
      </c>
      <c r="AQ118" t="e">
        <f>AND(Bills!M431,"AAAAAHv/zyo=")</f>
        <v>#VALUE!</v>
      </c>
      <c r="AR118" t="e">
        <f>AND(Bills!N431,"AAAAAHv/zys=")</f>
        <v>#VALUE!</v>
      </c>
      <c r="AS118" t="e">
        <f>AND(Bills!O431,"AAAAAHv/zyw=")</f>
        <v>#VALUE!</v>
      </c>
      <c r="AT118" t="e">
        <f>AND(Bills!P431,"AAAAAHv/zy0=")</f>
        <v>#VALUE!</v>
      </c>
      <c r="AU118" t="e">
        <f>AND(Bills!Q431,"AAAAAHv/zy4=")</f>
        <v>#VALUE!</v>
      </c>
      <c r="AV118" t="e">
        <f>AND(Bills!R431,"AAAAAHv/zy8=")</f>
        <v>#VALUE!</v>
      </c>
      <c r="AW118" t="e">
        <f>AND(Bills!S431,"AAAAAHv/zzA=")</f>
        <v>#VALUE!</v>
      </c>
      <c r="AX118" t="e">
        <f>AND(Bills!T431,"AAAAAHv/zzE=")</f>
        <v>#VALUE!</v>
      </c>
      <c r="AY118" t="e">
        <f>AND(Bills!#REF!,"AAAAAHv/zzI=")</f>
        <v>#REF!</v>
      </c>
      <c r="AZ118" t="e">
        <f>AND(Bills!U431,"AAAAAHv/zzM=")</f>
        <v>#VALUE!</v>
      </c>
      <c r="BA118" t="e">
        <f>AND(Bills!V431,"AAAAAHv/zzQ=")</f>
        <v>#VALUE!</v>
      </c>
      <c r="BB118" t="e">
        <f>AND(Bills!W431,"AAAAAHv/zzU=")</f>
        <v>#VALUE!</v>
      </c>
      <c r="BC118" t="e">
        <f>AND(Bills!#REF!,"AAAAAHv/zzY=")</f>
        <v>#REF!</v>
      </c>
      <c r="BD118" t="e">
        <f>AND(Bills!#REF!,"AAAAAHv/zzc=")</f>
        <v>#REF!</v>
      </c>
      <c r="BE118" t="e">
        <f>AND(Bills!Y431,"AAAAAHv/zzg=")</f>
        <v>#VALUE!</v>
      </c>
      <c r="BF118" t="e">
        <f>AND(Bills!Z431,"AAAAAHv/zzk=")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AND(Bills!AA431,"AAAAAHv/z0M=")</f>
        <v>#VALUE!</v>
      </c>
      <c r="BQ118" t="e">
        <f>AND(Bills!AB431,"AAAAAHv/z0Q=")</f>
        <v>#VALUE!</v>
      </c>
      <c r="BR118" t="e">
        <f>AND(Bills!#REF!,"AAAAAHv/z0U=")</f>
        <v>#REF!</v>
      </c>
      <c r="BS118" t="e">
        <f>AND(Bills!#REF!,"AAAAAHv/z0Y=")</f>
        <v>#REF!</v>
      </c>
      <c r="BT118" t="e">
        <f>AND(Bills!#REF!,"AAAAAHv/z0c=")</f>
        <v>#REF!</v>
      </c>
      <c r="BU118" t="e">
        <f>AND(Bills!AC431,"AAAAAHv/z0g=")</f>
        <v>#VALUE!</v>
      </c>
      <c r="BV118" t="e">
        <f>AND(Bills!AD431,"AAAAAHv/z0k=")</f>
        <v>#VALUE!</v>
      </c>
      <c r="BW118" t="e">
        <f>AND(Bills!#REF!,"AAAAAHv/z0o=")</f>
        <v>#REF!</v>
      </c>
      <c r="BX118">
        <f>IF(Bills!432:432,"AAAAAHv/z0s=",0)</f>
        <v>0</v>
      </c>
      <c r="BY118" t="e">
        <f>AND(Bills!B432,"AAAAAHv/z0w=")</f>
        <v>#VALUE!</v>
      </c>
      <c r="BZ118" t="e">
        <f>AND(Bills!#REF!,"AAAAAHv/z00=")</f>
        <v>#REF!</v>
      </c>
      <c r="CA118" t="e">
        <f>AND(Bills!C432,"AAAAAHv/z04=")</f>
        <v>#VALUE!</v>
      </c>
      <c r="CB118" t="e">
        <f>AND(Bills!D432,"AAAAAHv/z08=")</f>
        <v>#VALUE!</v>
      </c>
      <c r="CC118" t="e">
        <f>AND(Bills!E432,"AAAAAHv/z1A=")</f>
        <v>#VALUE!</v>
      </c>
      <c r="CD118" t="e">
        <f>AND(Bills!#REF!,"AAAAAHv/z1E=")</f>
        <v>#REF!</v>
      </c>
      <c r="CE118" t="e">
        <f>AND(Bills!#REF!,"AAAAAHv/z1I=")</f>
        <v>#REF!</v>
      </c>
      <c r="CF118" t="e">
        <f>AND(Bills!#REF!,"AAAAAHv/z1M=")</f>
        <v>#REF!</v>
      </c>
      <c r="CG118" t="e">
        <f>AND(Bills!F432,"AAAAAHv/z1Q=")</f>
        <v>#VALUE!</v>
      </c>
      <c r="CH118" t="e">
        <f>AND(Bills!#REF!,"AAAAAHv/z1U=")</f>
        <v>#REF!</v>
      </c>
      <c r="CI118" t="e">
        <f>AND(Bills!G432,"AAAAAHv/z1Y=")</f>
        <v>#VALUE!</v>
      </c>
      <c r="CJ118" t="e">
        <f>AND(Bills!H432,"AAAAAHv/z1c=")</f>
        <v>#VALUE!</v>
      </c>
      <c r="CK118" t="e">
        <f>AND(Bills!I432,"AAAAAHv/z1g=")</f>
        <v>#VALUE!</v>
      </c>
      <c r="CL118" t="e">
        <f>AND(Bills!J432,"AAAAAHv/z1k=")</f>
        <v>#VALUE!</v>
      </c>
      <c r="CM118" t="e">
        <f>AND(Bills!K432,"AAAAAHv/z1o=")</f>
        <v>#VALUE!</v>
      </c>
      <c r="CN118" t="e">
        <f>AND(Bills!L432,"AAAAAHv/z1s=")</f>
        <v>#VALUE!</v>
      </c>
      <c r="CO118" t="e">
        <f>AND(Bills!#REF!,"AAAAAHv/z1w=")</f>
        <v>#REF!</v>
      </c>
      <c r="CP118" t="e">
        <f>AND(Bills!M432,"AAAAAHv/z10=")</f>
        <v>#VALUE!</v>
      </c>
      <c r="CQ118" t="e">
        <f>AND(Bills!N432,"AAAAAHv/z14=")</f>
        <v>#VALUE!</v>
      </c>
      <c r="CR118" t="e">
        <f>AND(Bills!O432,"AAAAAHv/z18=")</f>
        <v>#VALUE!</v>
      </c>
      <c r="CS118" t="e">
        <f>AND(Bills!P432,"AAAAAHv/z2A=")</f>
        <v>#VALUE!</v>
      </c>
      <c r="CT118" t="e">
        <f>AND(Bills!Q432,"AAAAAHv/z2E=")</f>
        <v>#VALUE!</v>
      </c>
      <c r="CU118" t="e">
        <f>AND(Bills!R432,"AAAAAHv/z2I=")</f>
        <v>#VALUE!</v>
      </c>
      <c r="CV118" t="e">
        <f>AND(Bills!S432,"AAAAAHv/z2M=")</f>
        <v>#VALUE!</v>
      </c>
      <c r="CW118" t="e">
        <f>AND(Bills!T432,"AAAAAHv/z2Q=")</f>
        <v>#VALUE!</v>
      </c>
      <c r="CX118" t="e">
        <f>AND(Bills!#REF!,"AAAAAHv/z2U=")</f>
        <v>#REF!</v>
      </c>
      <c r="CY118" t="e">
        <f>AND(Bills!U432,"AAAAAHv/z2Y=")</f>
        <v>#VALUE!</v>
      </c>
      <c r="CZ118" t="e">
        <f>AND(Bills!V432,"AAAAAHv/z2c=")</f>
        <v>#VALUE!</v>
      </c>
      <c r="DA118" t="e">
        <f>AND(Bills!W432,"AAAAAHv/z2g=")</f>
        <v>#VALUE!</v>
      </c>
      <c r="DB118" t="e">
        <f>AND(Bills!#REF!,"AAAAAHv/z2k=")</f>
        <v>#REF!</v>
      </c>
      <c r="DC118" t="e">
        <f>AND(Bills!#REF!,"AAAAAHv/z2o=")</f>
        <v>#REF!</v>
      </c>
      <c r="DD118" t="e">
        <f>AND(Bills!Y432,"AAAAAHv/z2s=")</f>
        <v>#VALUE!</v>
      </c>
      <c r="DE118" t="e">
        <f>AND(Bills!Z432,"AAAAAHv/z2w=")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AND(Bills!AA432,"AAAAAHv/z3Y=")</f>
        <v>#VALUE!</v>
      </c>
      <c r="DP118" t="e">
        <f>AND(Bills!AB432,"AAAAAHv/z3c=")</f>
        <v>#VALUE!</v>
      </c>
      <c r="DQ118" t="e">
        <f>AND(Bills!#REF!,"AAAAAHv/z3g=")</f>
        <v>#REF!</v>
      </c>
      <c r="DR118" t="e">
        <f>AND(Bills!#REF!,"AAAAAHv/z3k=")</f>
        <v>#REF!</v>
      </c>
      <c r="DS118" t="e">
        <f>AND(Bills!#REF!,"AAAAAHv/z3o=")</f>
        <v>#REF!</v>
      </c>
      <c r="DT118" t="e">
        <f>AND(Bills!AC432,"AAAAAHv/z3s=")</f>
        <v>#VALUE!</v>
      </c>
      <c r="DU118" t="e">
        <f>AND(Bills!AD432,"AAAAAHv/z3w=")</f>
        <v>#VALUE!</v>
      </c>
      <c r="DV118" t="e">
        <f>AND(Bills!#REF!,"AAAAAHv/z30=")</f>
        <v>#REF!</v>
      </c>
      <c r="DW118">
        <f>IF(Bills!433:433,"AAAAAHv/z34=",0)</f>
        <v>0</v>
      </c>
      <c r="DX118" t="e">
        <f>AND(Bills!B433,"AAAAAHv/z38=")</f>
        <v>#VALUE!</v>
      </c>
      <c r="DY118" t="e">
        <f>AND(Bills!#REF!,"AAAAAHv/z4A=")</f>
        <v>#REF!</v>
      </c>
      <c r="DZ118" t="e">
        <f>AND(Bills!C433,"AAAAAHv/z4E=")</f>
        <v>#VALUE!</v>
      </c>
      <c r="EA118" t="e">
        <f>AND(Bills!D433,"AAAAAHv/z4I=")</f>
        <v>#VALUE!</v>
      </c>
      <c r="EB118" t="e">
        <f>AND(Bills!E433,"AAAAAHv/z4M=")</f>
        <v>#VALUE!</v>
      </c>
      <c r="EC118" t="e">
        <f>AND(Bills!#REF!,"AAAAAHv/z4Q=")</f>
        <v>#REF!</v>
      </c>
      <c r="ED118" t="e">
        <f>AND(Bills!#REF!,"AAAAAHv/z4U=")</f>
        <v>#REF!</v>
      </c>
      <c r="EE118" t="e">
        <f>AND(Bills!#REF!,"AAAAAHv/z4Y=")</f>
        <v>#REF!</v>
      </c>
      <c r="EF118" t="e">
        <f>AND(Bills!F433,"AAAAAHv/z4c=")</f>
        <v>#VALUE!</v>
      </c>
      <c r="EG118" t="e">
        <f>AND(Bills!#REF!,"AAAAAHv/z4g=")</f>
        <v>#REF!</v>
      </c>
      <c r="EH118" t="e">
        <f>AND(Bills!G433,"AAAAAHv/z4k=")</f>
        <v>#VALUE!</v>
      </c>
      <c r="EI118" t="e">
        <f>AND(Bills!H433,"AAAAAHv/z4o=")</f>
        <v>#VALUE!</v>
      </c>
      <c r="EJ118" t="e">
        <f>AND(Bills!I433,"AAAAAHv/z4s=")</f>
        <v>#VALUE!</v>
      </c>
      <c r="EK118" t="e">
        <f>AND(Bills!J433,"AAAAAHv/z4w=")</f>
        <v>#VALUE!</v>
      </c>
      <c r="EL118" t="e">
        <f>AND(Bills!K433,"AAAAAHv/z40=")</f>
        <v>#VALUE!</v>
      </c>
      <c r="EM118" t="e">
        <f>AND(Bills!L433,"AAAAAHv/z44=")</f>
        <v>#VALUE!</v>
      </c>
      <c r="EN118" t="e">
        <f>AND(Bills!#REF!,"AAAAAHv/z48=")</f>
        <v>#REF!</v>
      </c>
      <c r="EO118" t="e">
        <f>AND(Bills!M433,"AAAAAHv/z5A=")</f>
        <v>#VALUE!</v>
      </c>
      <c r="EP118" t="e">
        <f>AND(Bills!N433,"AAAAAHv/z5E=")</f>
        <v>#VALUE!</v>
      </c>
      <c r="EQ118" t="e">
        <f>AND(Bills!O433,"AAAAAHv/z5I=")</f>
        <v>#VALUE!</v>
      </c>
      <c r="ER118" t="e">
        <f>AND(Bills!P433,"AAAAAHv/z5M=")</f>
        <v>#VALUE!</v>
      </c>
      <c r="ES118" t="e">
        <f>AND(Bills!Q433,"AAAAAHv/z5Q=")</f>
        <v>#VALUE!</v>
      </c>
      <c r="ET118" t="e">
        <f>AND(Bills!R433,"AAAAAHv/z5U=")</f>
        <v>#VALUE!</v>
      </c>
      <c r="EU118" t="e">
        <f>AND(Bills!S433,"AAAAAHv/z5Y=")</f>
        <v>#VALUE!</v>
      </c>
      <c r="EV118" t="e">
        <f>AND(Bills!T433,"AAAAAHv/z5c=")</f>
        <v>#VALUE!</v>
      </c>
      <c r="EW118" t="e">
        <f>AND(Bills!#REF!,"AAAAAHv/z5g=")</f>
        <v>#REF!</v>
      </c>
      <c r="EX118" t="e">
        <f>AND(Bills!U433,"AAAAAHv/z5k=")</f>
        <v>#VALUE!</v>
      </c>
      <c r="EY118" t="e">
        <f>AND(Bills!V433,"AAAAAHv/z5o=")</f>
        <v>#VALUE!</v>
      </c>
      <c r="EZ118" t="e">
        <f>AND(Bills!W433,"AAAAAHv/z5s=")</f>
        <v>#VALUE!</v>
      </c>
      <c r="FA118" t="e">
        <f>AND(Bills!#REF!,"AAAAAHv/z5w=")</f>
        <v>#REF!</v>
      </c>
      <c r="FB118" t="e">
        <f>AND(Bills!#REF!,"AAAAAHv/z50=")</f>
        <v>#REF!</v>
      </c>
      <c r="FC118" t="e">
        <f>AND(Bills!Y433,"AAAAAHv/z54=")</f>
        <v>#VALUE!</v>
      </c>
      <c r="FD118" t="e">
        <f>AND(Bills!Z433,"AAAAAHv/z58=")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AND(Bills!AA433,"AAAAAHv/z6k=")</f>
        <v>#VALUE!</v>
      </c>
      <c r="FO118" t="e">
        <f>AND(Bills!AB433,"AAAAAHv/z6o=")</f>
        <v>#VALUE!</v>
      </c>
      <c r="FP118" t="e">
        <f>AND(Bills!#REF!,"AAAAAHv/z6s=")</f>
        <v>#REF!</v>
      </c>
      <c r="FQ118" t="e">
        <f>AND(Bills!#REF!,"AAAAAHv/z6w=")</f>
        <v>#REF!</v>
      </c>
      <c r="FR118" t="e">
        <f>AND(Bills!#REF!,"AAAAAHv/z60=")</f>
        <v>#REF!</v>
      </c>
      <c r="FS118" t="e">
        <f>AND(Bills!AC433,"AAAAAHv/z64=")</f>
        <v>#VALUE!</v>
      </c>
      <c r="FT118" t="e">
        <f>AND(Bills!AD433,"AAAAAHv/z68=")</f>
        <v>#VALUE!</v>
      </c>
      <c r="FU118" t="e">
        <f>AND(Bills!#REF!,"AAAAAHv/z7A=")</f>
        <v>#REF!</v>
      </c>
      <c r="FV118">
        <f>IF(Bills!434:434,"AAAAAHv/z7E=",0)</f>
        <v>0</v>
      </c>
      <c r="FW118" t="e">
        <f>AND(Bills!B434,"AAAAAHv/z7I=")</f>
        <v>#VALUE!</v>
      </c>
      <c r="FX118" t="e">
        <f>AND(Bills!#REF!,"AAAAAHv/z7M=")</f>
        <v>#REF!</v>
      </c>
      <c r="FY118" t="e">
        <f>AND(Bills!C434,"AAAAAHv/z7Q=")</f>
        <v>#VALUE!</v>
      </c>
      <c r="FZ118" t="e">
        <f>AND(Bills!D434,"AAAAAHv/z7U=")</f>
        <v>#VALUE!</v>
      </c>
      <c r="GA118" t="e">
        <f>AND(Bills!E434,"AAAAAHv/z7Y=")</f>
        <v>#VALUE!</v>
      </c>
      <c r="GB118" t="e">
        <f>AND(Bills!#REF!,"AAAAAHv/z7c=")</f>
        <v>#REF!</v>
      </c>
      <c r="GC118" t="e">
        <f>AND(Bills!#REF!,"AAAAAHv/z7g=")</f>
        <v>#REF!</v>
      </c>
      <c r="GD118" t="e">
        <f>AND(Bills!#REF!,"AAAAAHv/z7k=")</f>
        <v>#REF!</v>
      </c>
      <c r="GE118" t="e">
        <f>AND(Bills!F434,"AAAAAHv/z7o=")</f>
        <v>#VALUE!</v>
      </c>
      <c r="GF118" t="e">
        <f>AND(Bills!#REF!,"AAAAAHv/z7s=")</f>
        <v>#REF!</v>
      </c>
      <c r="GG118" t="e">
        <f>AND(Bills!G434,"AAAAAHv/z7w=")</f>
        <v>#VALUE!</v>
      </c>
      <c r="GH118" t="e">
        <f>AND(Bills!H434,"AAAAAHv/z70=")</f>
        <v>#VALUE!</v>
      </c>
      <c r="GI118" t="e">
        <f>AND(Bills!I434,"AAAAAHv/z74=")</f>
        <v>#VALUE!</v>
      </c>
      <c r="GJ118" t="e">
        <f>AND(Bills!J434,"AAAAAHv/z78=")</f>
        <v>#VALUE!</v>
      </c>
      <c r="GK118" t="e">
        <f>AND(Bills!K434,"AAAAAHv/z8A=")</f>
        <v>#VALUE!</v>
      </c>
      <c r="GL118" t="e">
        <f>AND(Bills!L434,"AAAAAHv/z8E=")</f>
        <v>#VALUE!</v>
      </c>
      <c r="GM118" t="e">
        <f>AND(Bills!#REF!,"AAAAAHv/z8I=")</f>
        <v>#REF!</v>
      </c>
      <c r="GN118" t="e">
        <f>AND(Bills!M434,"AAAAAHv/z8M=")</f>
        <v>#VALUE!</v>
      </c>
      <c r="GO118" t="e">
        <f>AND(Bills!N434,"AAAAAHv/z8Q=")</f>
        <v>#VALUE!</v>
      </c>
      <c r="GP118" t="e">
        <f>AND(Bills!O434,"AAAAAHv/z8U=")</f>
        <v>#VALUE!</v>
      </c>
      <c r="GQ118" t="e">
        <f>AND(Bills!P434,"AAAAAHv/z8Y=")</f>
        <v>#VALUE!</v>
      </c>
      <c r="GR118" t="e">
        <f>AND(Bills!Q434,"AAAAAHv/z8c=")</f>
        <v>#VALUE!</v>
      </c>
      <c r="GS118" t="e">
        <f>AND(Bills!R434,"AAAAAHv/z8g=")</f>
        <v>#VALUE!</v>
      </c>
      <c r="GT118" t="e">
        <f>AND(Bills!S434,"AAAAAHv/z8k=")</f>
        <v>#VALUE!</v>
      </c>
      <c r="GU118" t="e">
        <f>AND(Bills!T434,"AAAAAHv/z8o=")</f>
        <v>#VALUE!</v>
      </c>
      <c r="GV118" t="e">
        <f>AND(Bills!#REF!,"AAAAAHv/z8s=")</f>
        <v>#REF!</v>
      </c>
      <c r="GW118" t="e">
        <f>AND(Bills!U434,"AAAAAHv/z8w=")</f>
        <v>#VALUE!</v>
      </c>
      <c r="GX118" t="e">
        <f>AND(Bills!V434,"AAAAAHv/z80=")</f>
        <v>#VALUE!</v>
      </c>
      <c r="GY118" t="e">
        <f>AND(Bills!W434,"AAAAAHv/z84=")</f>
        <v>#VALUE!</v>
      </c>
      <c r="GZ118" t="e">
        <f>AND(Bills!#REF!,"AAAAAHv/z88=")</f>
        <v>#REF!</v>
      </c>
      <c r="HA118" t="e">
        <f>AND(Bills!#REF!,"AAAAAHv/z9A=")</f>
        <v>#REF!</v>
      </c>
      <c r="HB118" t="e">
        <f>AND(Bills!Y434,"AAAAAHv/z9E=")</f>
        <v>#VALUE!</v>
      </c>
      <c r="HC118" t="e">
        <f>AND(Bills!Z434,"AAAAAHv/z9I=")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AND(Bills!AA434,"AAAAAHv/z9w=")</f>
        <v>#VALUE!</v>
      </c>
      <c r="HN118" t="e">
        <f>AND(Bills!AB434,"AAAAAHv/z90=")</f>
        <v>#VALUE!</v>
      </c>
      <c r="HO118" t="e">
        <f>AND(Bills!#REF!,"AAAAAHv/z94=")</f>
        <v>#REF!</v>
      </c>
      <c r="HP118" t="e">
        <f>AND(Bills!#REF!,"AAAAAHv/z98=")</f>
        <v>#REF!</v>
      </c>
      <c r="HQ118" t="e">
        <f>AND(Bills!#REF!,"AAAAAHv/z+A=")</f>
        <v>#REF!</v>
      </c>
      <c r="HR118" t="e">
        <f>AND(Bills!AC434,"AAAAAHv/z+E=")</f>
        <v>#VALUE!</v>
      </c>
      <c r="HS118" t="e">
        <f>AND(Bills!AD434,"AAAAAHv/z+I=")</f>
        <v>#VALUE!</v>
      </c>
      <c r="HT118" t="e">
        <f>AND(Bills!#REF!,"AAAAAHv/z+M=")</f>
        <v>#REF!</v>
      </c>
      <c r="HU118">
        <f>IF(Bills!435:435,"AAAAAHv/z+Q=",0)</f>
        <v>0</v>
      </c>
      <c r="HV118" t="e">
        <f>AND(Bills!B435,"AAAAAHv/z+U=")</f>
        <v>#VALUE!</v>
      </c>
      <c r="HW118" t="e">
        <f>AND(Bills!#REF!,"AAAAAHv/z+Y=")</f>
        <v>#REF!</v>
      </c>
      <c r="HX118" t="e">
        <f>AND(Bills!C435,"AAAAAHv/z+c=")</f>
        <v>#VALUE!</v>
      </c>
      <c r="HY118" t="e">
        <f>AND(Bills!D435,"AAAAAHv/z+g=")</f>
        <v>#VALUE!</v>
      </c>
      <c r="HZ118" t="e">
        <f>AND(Bills!E435,"AAAAAHv/z+k=")</f>
        <v>#VALUE!</v>
      </c>
      <c r="IA118" t="e">
        <f>AND(Bills!#REF!,"AAAAAHv/z+o=")</f>
        <v>#REF!</v>
      </c>
      <c r="IB118" t="e">
        <f>AND(Bills!#REF!,"AAAAAHv/z+s=")</f>
        <v>#REF!</v>
      </c>
      <c r="IC118" t="e">
        <f>AND(Bills!#REF!,"AAAAAHv/z+w=")</f>
        <v>#REF!</v>
      </c>
      <c r="ID118" t="e">
        <f>AND(Bills!F435,"AAAAAHv/z+0=")</f>
        <v>#VALUE!</v>
      </c>
      <c r="IE118" t="e">
        <f>AND(Bills!#REF!,"AAAAAHv/z+4=")</f>
        <v>#REF!</v>
      </c>
      <c r="IF118" t="e">
        <f>AND(Bills!G435,"AAAAAHv/z+8=")</f>
        <v>#VALUE!</v>
      </c>
      <c r="IG118" t="e">
        <f>AND(Bills!H435,"AAAAAHv/z/A=")</f>
        <v>#VALUE!</v>
      </c>
      <c r="IH118" t="e">
        <f>AND(Bills!I435,"AAAAAHv/z/E=")</f>
        <v>#VALUE!</v>
      </c>
      <c r="II118" t="e">
        <f>AND(Bills!J435,"AAAAAHv/z/I=")</f>
        <v>#VALUE!</v>
      </c>
      <c r="IJ118" t="e">
        <f>AND(Bills!K435,"AAAAAHv/z/M=")</f>
        <v>#VALUE!</v>
      </c>
      <c r="IK118" t="e">
        <f>AND(Bills!L435,"AAAAAHv/z/Q=")</f>
        <v>#VALUE!</v>
      </c>
      <c r="IL118" t="e">
        <f>AND(Bills!#REF!,"AAAAAHv/z/U=")</f>
        <v>#REF!</v>
      </c>
      <c r="IM118" t="e">
        <f>AND(Bills!M435,"AAAAAHv/z/Y=")</f>
        <v>#VALUE!</v>
      </c>
      <c r="IN118" t="e">
        <f>AND(Bills!N435,"AAAAAHv/z/c=")</f>
        <v>#VALUE!</v>
      </c>
      <c r="IO118" t="e">
        <f>AND(Bills!O435,"AAAAAHv/z/g=")</f>
        <v>#VALUE!</v>
      </c>
      <c r="IP118" t="e">
        <f>AND(Bills!P435,"AAAAAHv/z/k=")</f>
        <v>#VALUE!</v>
      </c>
      <c r="IQ118" t="e">
        <f>AND(Bills!Q435,"AAAAAHv/z/o=")</f>
        <v>#VALUE!</v>
      </c>
      <c r="IR118" t="e">
        <f>AND(Bills!R435,"AAAAAHv/z/s=")</f>
        <v>#VALUE!</v>
      </c>
      <c r="IS118" t="e">
        <f>AND(Bills!S435,"AAAAAHv/z/w=")</f>
        <v>#VALUE!</v>
      </c>
      <c r="IT118" t="e">
        <f>AND(Bills!T435,"AAAAAHv/z/0=")</f>
        <v>#VALUE!</v>
      </c>
      <c r="IU118" t="e">
        <f>AND(Bills!#REF!,"AAAAAHv/z/4=")</f>
        <v>#REF!</v>
      </c>
      <c r="IV118" t="e">
        <f>AND(Bills!U435,"AAAAAHv/z/8=")</f>
        <v>#VALUE!</v>
      </c>
    </row>
    <row r="119" spans="1:256">
      <c r="A119" t="e">
        <f>AND(Bills!V435,"AAAAADt//wA=")</f>
        <v>#VALUE!</v>
      </c>
      <c r="B119" t="e">
        <f>AND(Bills!W435,"AAAAADt//wE=")</f>
        <v>#VALUE!</v>
      </c>
      <c r="C119" t="e">
        <f>AND(Bills!#REF!,"AAAAADt//wI=")</f>
        <v>#REF!</v>
      </c>
      <c r="D119" t="e">
        <f>AND(Bills!#REF!,"AAAAADt//wM=")</f>
        <v>#REF!</v>
      </c>
      <c r="E119" t="e">
        <f>AND(Bills!Y435,"AAAAADt//wQ=")</f>
        <v>#VALUE!</v>
      </c>
      <c r="F119" t="e">
        <f>AND(Bills!Z435,"AAAAADt//wU=")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AND(Bills!AA435,"AAAAADt//w8=")</f>
        <v>#VALUE!</v>
      </c>
      <c r="Q119" t="e">
        <f>AND(Bills!AB435,"AAAAADt//xA=")</f>
        <v>#VALUE!</v>
      </c>
      <c r="R119" t="e">
        <f>AND(Bills!#REF!,"AAAAADt//xE=")</f>
        <v>#REF!</v>
      </c>
      <c r="S119" t="e">
        <f>AND(Bills!#REF!,"AAAAADt//xI=")</f>
        <v>#REF!</v>
      </c>
      <c r="T119" t="e">
        <f>AND(Bills!#REF!,"AAAAADt//xM=")</f>
        <v>#REF!</v>
      </c>
      <c r="U119" t="e">
        <f>AND(Bills!AC435,"AAAAADt//xQ=")</f>
        <v>#VALUE!</v>
      </c>
      <c r="V119" t="e">
        <f>AND(Bills!AD435,"AAAAADt//xU=")</f>
        <v>#VALUE!</v>
      </c>
      <c r="W119" t="e">
        <f>AND(Bills!#REF!,"AAAAADt//xY=")</f>
        <v>#REF!</v>
      </c>
      <c r="X119">
        <f>IF(Bills!436:436,"AAAAADt//xc=",0)</f>
        <v>0</v>
      </c>
      <c r="Y119" t="e">
        <f>AND(Bills!B436,"AAAAADt//xg=")</f>
        <v>#VALUE!</v>
      </c>
      <c r="Z119" t="e">
        <f>AND(Bills!#REF!,"AAAAADt//xk=")</f>
        <v>#REF!</v>
      </c>
      <c r="AA119" t="e">
        <f>AND(Bills!C436,"AAAAADt//xo=")</f>
        <v>#VALUE!</v>
      </c>
      <c r="AB119" t="e">
        <f>AND(Bills!D436,"AAAAADt//xs=")</f>
        <v>#VALUE!</v>
      </c>
      <c r="AC119" t="e">
        <f>AND(Bills!E436,"AAAAADt//xw=")</f>
        <v>#VALUE!</v>
      </c>
      <c r="AD119" t="e">
        <f>AND(Bills!#REF!,"AAAAADt//x0=")</f>
        <v>#REF!</v>
      </c>
      <c r="AE119" t="e">
        <f>AND(Bills!#REF!,"AAAAADt//x4=")</f>
        <v>#REF!</v>
      </c>
      <c r="AF119" t="e">
        <f>AND(Bills!#REF!,"AAAAADt//x8=")</f>
        <v>#REF!</v>
      </c>
      <c r="AG119" t="e">
        <f>AND(Bills!F436,"AAAAADt//yA=")</f>
        <v>#VALUE!</v>
      </c>
      <c r="AH119" t="e">
        <f>AND(Bills!#REF!,"AAAAADt//yE=")</f>
        <v>#REF!</v>
      </c>
      <c r="AI119" t="e">
        <f>AND(Bills!G436,"AAAAADt//yI=")</f>
        <v>#VALUE!</v>
      </c>
      <c r="AJ119" t="e">
        <f>AND(Bills!H436,"AAAAADt//yM=")</f>
        <v>#VALUE!</v>
      </c>
      <c r="AK119" t="e">
        <f>AND(Bills!I436,"AAAAADt//yQ=")</f>
        <v>#VALUE!</v>
      </c>
      <c r="AL119" t="e">
        <f>AND(Bills!J436,"AAAAADt//yU=")</f>
        <v>#VALUE!</v>
      </c>
      <c r="AM119" t="e">
        <f>AND(Bills!K436,"AAAAADt//yY=")</f>
        <v>#VALUE!</v>
      </c>
      <c r="AN119" t="e">
        <f>AND(Bills!L436,"AAAAADt//yc=")</f>
        <v>#VALUE!</v>
      </c>
      <c r="AO119" t="e">
        <f>AND(Bills!#REF!,"AAAAADt//yg=")</f>
        <v>#REF!</v>
      </c>
      <c r="AP119" t="e">
        <f>AND(Bills!M436,"AAAAADt//yk=")</f>
        <v>#VALUE!</v>
      </c>
      <c r="AQ119" t="e">
        <f>AND(Bills!N436,"AAAAADt//yo=")</f>
        <v>#VALUE!</v>
      </c>
      <c r="AR119" t="e">
        <f>AND(Bills!O436,"AAAAADt//ys=")</f>
        <v>#VALUE!</v>
      </c>
      <c r="AS119" t="e">
        <f>AND(Bills!P436,"AAAAADt//yw=")</f>
        <v>#VALUE!</v>
      </c>
      <c r="AT119" t="e">
        <f>AND(Bills!Q436,"AAAAADt//y0=")</f>
        <v>#VALUE!</v>
      </c>
      <c r="AU119" t="e">
        <f>AND(Bills!R436,"AAAAADt//y4=")</f>
        <v>#VALUE!</v>
      </c>
      <c r="AV119" t="e">
        <f>AND(Bills!S436,"AAAAADt//y8=")</f>
        <v>#VALUE!</v>
      </c>
      <c r="AW119" t="e">
        <f>AND(Bills!T436,"AAAAADt//zA=")</f>
        <v>#VALUE!</v>
      </c>
      <c r="AX119" t="e">
        <f>AND(Bills!#REF!,"AAAAADt//zE=")</f>
        <v>#REF!</v>
      </c>
      <c r="AY119" t="e">
        <f>AND(Bills!U436,"AAAAADt//zI=")</f>
        <v>#VALUE!</v>
      </c>
      <c r="AZ119" t="e">
        <f>AND(Bills!V436,"AAAAADt//zM=")</f>
        <v>#VALUE!</v>
      </c>
      <c r="BA119" t="e">
        <f>AND(Bills!W436,"AAAAADt//zQ=")</f>
        <v>#VALUE!</v>
      </c>
      <c r="BB119" t="e">
        <f>AND(Bills!#REF!,"AAAAADt//zU=")</f>
        <v>#REF!</v>
      </c>
      <c r="BC119" t="e">
        <f>AND(Bills!#REF!,"AAAAADt//zY=")</f>
        <v>#REF!</v>
      </c>
      <c r="BD119" t="e">
        <f>AND(Bills!Y436,"AAAAADt//zc=")</f>
        <v>#VALUE!</v>
      </c>
      <c r="BE119" t="e">
        <f>AND(Bills!Z436,"AAAAADt//zg=")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AND(Bills!AA436,"AAAAADt//0I=")</f>
        <v>#VALUE!</v>
      </c>
      <c r="BP119" t="e">
        <f>AND(Bills!AB436,"AAAAADt//0M=")</f>
        <v>#VALUE!</v>
      </c>
      <c r="BQ119" t="e">
        <f>AND(Bills!#REF!,"AAAAADt//0Q=")</f>
        <v>#REF!</v>
      </c>
      <c r="BR119" t="e">
        <f>AND(Bills!#REF!,"AAAAADt//0U=")</f>
        <v>#REF!</v>
      </c>
      <c r="BS119" t="e">
        <f>AND(Bills!#REF!,"AAAAADt//0Y=")</f>
        <v>#REF!</v>
      </c>
      <c r="BT119" t="e">
        <f>AND(Bills!AC436,"AAAAADt//0c=")</f>
        <v>#VALUE!</v>
      </c>
      <c r="BU119" t="e">
        <f>AND(Bills!AD436,"AAAAADt//0g=")</f>
        <v>#VALUE!</v>
      </c>
      <c r="BV119" t="e">
        <f>AND(Bills!#REF!,"AAAAADt//0k=")</f>
        <v>#REF!</v>
      </c>
      <c r="BW119">
        <f>IF(Bills!437:437,"AAAAADt//0o=",0)</f>
        <v>0</v>
      </c>
      <c r="BX119" t="e">
        <f>AND(Bills!B437,"AAAAADt//0s=")</f>
        <v>#VALUE!</v>
      </c>
      <c r="BY119" t="e">
        <f>AND(Bills!#REF!,"AAAAADt//0w=")</f>
        <v>#REF!</v>
      </c>
      <c r="BZ119" t="e">
        <f>AND(Bills!C437,"AAAAADt//00=")</f>
        <v>#VALUE!</v>
      </c>
      <c r="CA119" t="e">
        <f>AND(Bills!D437,"AAAAADt//04=")</f>
        <v>#VALUE!</v>
      </c>
      <c r="CB119" t="e">
        <f>AND(Bills!E437,"AAAAADt//08=")</f>
        <v>#VALUE!</v>
      </c>
      <c r="CC119" t="e">
        <f>AND(Bills!#REF!,"AAAAADt//1A=")</f>
        <v>#REF!</v>
      </c>
      <c r="CD119" t="e">
        <f>AND(Bills!#REF!,"AAAAADt//1E=")</f>
        <v>#REF!</v>
      </c>
      <c r="CE119" t="e">
        <f>AND(Bills!#REF!,"AAAAADt//1I=")</f>
        <v>#REF!</v>
      </c>
      <c r="CF119" t="e">
        <f>AND(Bills!F437,"AAAAADt//1M=")</f>
        <v>#VALUE!</v>
      </c>
      <c r="CG119" t="e">
        <f>AND(Bills!#REF!,"AAAAADt//1Q=")</f>
        <v>#REF!</v>
      </c>
      <c r="CH119" t="e">
        <f>AND(Bills!G437,"AAAAADt//1U=")</f>
        <v>#VALUE!</v>
      </c>
      <c r="CI119" t="e">
        <f>AND(Bills!H437,"AAAAADt//1Y=")</f>
        <v>#VALUE!</v>
      </c>
      <c r="CJ119" t="e">
        <f>AND(Bills!I437,"AAAAADt//1c=")</f>
        <v>#VALUE!</v>
      </c>
      <c r="CK119" t="e">
        <f>AND(Bills!J437,"AAAAADt//1g=")</f>
        <v>#VALUE!</v>
      </c>
      <c r="CL119" t="e">
        <f>AND(Bills!K437,"AAAAADt//1k=")</f>
        <v>#VALUE!</v>
      </c>
      <c r="CM119" t="e">
        <f>AND(Bills!L437,"AAAAADt//1o=")</f>
        <v>#VALUE!</v>
      </c>
      <c r="CN119" t="e">
        <f>AND(Bills!#REF!,"AAAAADt//1s=")</f>
        <v>#REF!</v>
      </c>
      <c r="CO119" t="e">
        <f>AND(Bills!M437,"AAAAADt//1w=")</f>
        <v>#VALUE!</v>
      </c>
      <c r="CP119" t="e">
        <f>AND(Bills!N437,"AAAAADt//10=")</f>
        <v>#VALUE!</v>
      </c>
      <c r="CQ119" t="e">
        <f>AND(Bills!O437,"AAAAADt//14=")</f>
        <v>#VALUE!</v>
      </c>
      <c r="CR119" t="e">
        <f>AND(Bills!P437,"AAAAADt//18=")</f>
        <v>#VALUE!</v>
      </c>
      <c r="CS119" t="e">
        <f>AND(Bills!Q437,"AAAAADt//2A=")</f>
        <v>#VALUE!</v>
      </c>
      <c r="CT119" t="e">
        <f>AND(Bills!R437,"AAAAADt//2E=")</f>
        <v>#VALUE!</v>
      </c>
      <c r="CU119" t="e">
        <f>AND(Bills!S437,"AAAAADt//2I=")</f>
        <v>#VALUE!</v>
      </c>
      <c r="CV119" t="e">
        <f>AND(Bills!T437,"AAAAADt//2M=")</f>
        <v>#VALUE!</v>
      </c>
      <c r="CW119" t="e">
        <f>AND(Bills!#REF!,"AAAAADt//2Q=")</f>
        <v>#REF!</v>
      </c>
      <c r="CX119" t="e">
        <f>AND(Bills!U437,"AAAAADt//2U=")</f>
        <v>#VALUE!</v>
      </c>
      <c r="CY119" t="e">
        <f>AND(Bills!V437,"AAAAADt//2Y=")</f>
        <v>#VALUE!</v>
      </c>
      <c r="CZ119" t="e">
        <f>AND(Bills!W437,"AAAAADt//2c=")</f>
        <v>#VALUE!</v>
      </c>
      <c r="DA119" t="e">
        <f>AND(Bills!#REF!,"AAAAADt//2g=")</f>
        <v>#REF!</v>
      </c>
      <c r="DB119" t="e">
        <f>AND(Bills!#REF!,"AAAAADt//2k=")</f>
        <v>#REF!</v>
      </c>
      <c r="DC119" t="e">
        <f>AND(Bills!Y437,"AAAAADt//2o=")</f>
        <v>#VALUE!</v>
      </c>
      <c r="DD119" t="e">
        <f>AND(Bills!Z437,"AAAAADt//2s=")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AND(Bills!AA437,"AAAAADt//3U=")</f>
        <v>#VALUE!</v>
      </c>
      <c r="DO119" t="e">
        <f>AND(Bills!AB437,"AAAAADt//3Y=")</f>
        <v>#VALUE!</v>
      </c>
      <c r="DP119" t="e">
        <f>AND(Bills!#REF!,"AAAAADt//3c=")</f>
        <v>#REF!</v>
      </c>
      <c r="DQ119" t="e">
        <f>AND(Bills!#REF!,"AAAAADt//3g=")</f>
        <v>#REF!</v>
      </c>
      <c r="DR119" t="e">
        <f>AND(Bills!#REF!,"AAAAADt//3k=")</f>
        <v>#REF!</v>
      </c>
      <c r="DS119" t="e">
        <f>AND(Bills!AC437,"AAAAADt//3o=")</f>
        <v>#VALUE!</v>
      </c>
      <c r="DT119" t="e">
        <f>AND(Bills!AD437,"AAAAADt//3s=")</f>
        <v>#VALUE!</v>
      </c>
      <c r="DU119" t="e">
        <f>AND(Bills!#REF!,"AAAAADt//3w=")</f>
        <v>#REF!</v>
      </c>
      <c r="DV119">
        <f>IF(Bills!438:438,"AAAAADt//30=",0)</f>
        <v>0</v>
      </c>
      <c r="DW119" t="e">
        <f>AND(Bills!B438,"AAAAADt//34=")</f>
        <v>#VALUE!</v>
      </c>
      <c r="DX119" t="e">
        <f>AND(Bills!#REF!,"AAAAADt//38=")</f>
        <v>#REF!</v>
      </c>
      <c r="DY119" t="e">
        <f>AND(Bills!C438,"AAAAADt//4A=")</f>
        <v>#VALUE!</v>
      </c>
      <c r="DZ119" t="e">
        <f>AND(Bills!D438,"AAAAADt//4E=")</f>
        <v>#VALUE!</v>
      </c>
      <c r="EA119" t="e">
        <f>AND(Bills!E438,"AAAAADt//4I=")</f>
        <v>#VALUE!</v>
      </c>
      <c r="EB119" t="e">
        <f>AND(Bills!#REF!,"AAAAADt//4M=")</f>
        <v>#REF!</v>
      </c>
      <c r="EC119" t="e">
        <f>AND(Bills!#REF!,"AAAAADt//4Q=")</f>
        <v>#REF!</v>
      </c>
      <c r="ED119" t="e">
        <f>AND(Bills!#REF!,"AAAAADt//4U=")</f>
        <v>#REF!</v>
      </c>
      <c r="EE119" t="e">
        <f>AND(Bills!F438,"AAAAADt//4Y=")</f>
        <v>#VALUE!</v>
      </c>
      <c r="EF119" t="e">
        <f>AND(Bills!#REF!,"AAAAADt//4c=")</f>
        <v>#REF!</v>
      </c>
      <c r="EG119" t="e">
        <f>AND(Bills!G438,"AAAAADt//4g=")</f>
        <v>#VALUE!</v>
      </c>
      <c r="EH119" t="e">
        <f>AND(Bills!H438,"AAAAADt//4k=")</f>
        <v>#VALUE!</v>
      </c>
      <c r="EI119" t="e">
        <f>AND(Bills!I438,"AAAAADt//4o=")</f>
        <v>#VALUE!</v>
      </c>
      <c r="EJ119" t="e">
        <f>AND(Bills!J438,"AAAAADt//4s=")</f>
        <v>#VALUE!</v>
      </c>
      <c r="EK119" t="e">
        <f>AND(Bills!K438,"AAAAADt//4w=")</f>
        <v>#VALUE!</v>
      </c>
      <c r="EL119" t="e">
        <f>AND(Bills!L438,"AAAAADt//40=")</f>
        <v>#VALUE!</v>
      </c>
      <c r="EM119" t="e">
        <f>AND(Bills!#REF!,"AAAAADt//44=")</f>
        <v>#REF!</v>
      </c>
      <c r="EN119" t="e">
        <f>AND(Bills!M438,"AAAAADt//48=")</f>
        <v>#VALUE!</v>
      </c>
      <c r="EO119" t="e">
        <f>AND(Bills!N438,"AAAAADt//5A=")</f>
        <v>#VALUE!</v>
      </c>
      <c r="EP119" t="e">
        <f>AND(Bills!O438,"AAAAADt//5E=")</f>
        <v>#VALUE!</v>
      </c>
      <c r="EQ119" t="e">
        <f>AND(Bills!P438,"AAAAADt//5I=")</f>
        <v>#VALUE!</v>
      </c>
      <c r="ER119" t="e">
        <f>AND(Bills!Q438,"AAAAADt//5M=")</f>
        <v>#VALUE!</v>
      </c>
      <c r="ES119" t="e">
        <f>AND(Bills!R438,"AAAAADt//5Q=")</f>
        <v>#VALUE!</v>
      </c>
      <c r="ET119" t="e">
        <f>AND(Bills!S438,"AAAAADt//5U=")</f>
        <v>#VALUE!</v>
      </c>
      <c r="EU119" t="e">
        <f>AND(Bills!T438,"AAAAADt//5Y=")</f>
        <v>#VALUE!</v>
      </c>
      <c r="EV119" t="e">
        <f>AND(Bills!#REF!,"AAAAADt//5c=")</f>
        <v>#REF!</v>
      </c>
      <c r="EW119" t="e">
        <f>AND(Bills!U438,"AAAAADt//5g=")</f>
        <v>#VALUE!</v>
      </c>
      <c r="EX119" t="e">
        <f>AND(Bills!V438,"AAAAADt//5k=")</f>
        <v>#VALUE!</v>
      </c>
      <c r="EY119" t="e">
        <f>AND(Bills!W438,"AAAAADt//5o=")</f>
        <v>#VALUE!</v>
      </c>
      <c r="EZ119" t="e">
        <f>AND(Bills!#REF!,"AAAAADt//5s=")</f>
        <v>#REF!</v>
      </c>
      <c r="FA119" t="e">
        <f>AND(Bills!#REF!,"AAAAADt//5w=")</f>
        <v>#REF!</v>
      </c>
      <c r="FB119" t="e">
        <f>AND(Bills!Y438,"AAAAADt//50=")</f>
        <v>#VALUE!</v>
      </c>
      <c r="FC119" t="e">
        <f>AND(Bills!Z438,"AAAAADt//54=")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AND(Bills!AA438,"AAAAADt//6g=")</f>
        <v>#VALUE!</v>
      </c>
      <c r="FN119" t="e">
        <f>AND(Bills!AB438,"AAAAADt//6k=")</f>
        <v>#VALUE!</v>
      </c>
      <c r="FO119" t="e">
        <f>AND(Bills!#REF!,"AAAAADt//6o=")</f>
        <v>#REF!</v>
      </c>
      <c r="FP119" t="e">
        <f>AND(Bills!#REF!,"AAAAADt//6s=")</f>
        <v>#REF!</v>
      </c>
      <c r="FQ119" t="e">
        <f>AND(Bills!#REF!,"AAAAADt//6w=")</f>
        <v>#REF!</v>
      </c>
      <c r="FR119" t="e">
        <f>AND(Bills!AC438,"AAAAADt//60=")</f>
        <v>#VALUE!</v>
      </c>
      <c r="FS119" t="e">
        <f>AND(Bills!AD438,"AAAAADt//64=")</f>
        <v>#VALUE!</v>
      </c>
      <c r="FT119" t="e">
        <f>AND(Bills!#REF!,"AAAAADt//68=")</f>
        <v>#REF!</v>
      </c>
      <c r="FU119">
        <f>IF(Bills!439:439,"AAAAADt//7A=",0)</f>
        <v>0</v>
      </c>
      <c r="FV119" t="e">
        <f>AND(Bills!B439,"AAAAADt//7E=")</f>
        <v>#VALUE!</v>
      </c>
      <c r="FW119" t="e">
        <f>AND(Bills!#REF!,"AAAAADt//7I=")</f>
        <v>#REF!</v>
      </c>
      <c r="FX119" t="e">
        <f>AND(Bills!C439,"AAAAADt//7M=")</f>
        <v>#VALUE!</v>
      </c>
      <c r="FY119" t="e">
        <f>AND(Bills!D439,"AAAAADt//7Q=")</f>
        <v>#VALUE!</v>
      </c>
      <c r="FZ119" t="e">
        <f>AND(Bills!E439,"AAAAADt//7U=")</f>
        <v>#VALUE!</v>
      </c>
      <c r="GA119" t="e">
        <f>AND(Bills!#REF!,"AAAAADt//7Y=")</f>
        <v>#REF!</v>
      </c>
      <c r="GB119" t="e">
        <f>AND(Bills!#REF!,"AAAAADt//7c=")</f>
        <v>#REF!</v>
      </c>
      <c r="GC119" t="e">
        <f>AND(Bills!#REF!,"AAAAADt//7g=")</f>
        <v>#REF!</v>
      </c>
      <c r="GD119" t="e">
        <f>AND(Bills!F439,"AAAAADt//7k=")</f>
        <v>#VALUE!</v>
      </c>
      <c r="GE119" t="e">
        <f>AND(Bills!#REF!,"AAAAADt//7o=")</f>
        <v>#REF!</v>
      </c>
      <c r="GF119" t="e">
        <f>AND(Bills!G439,"AAAAADt//7s=")</f>
        <v>#VALUE!</v>
      </c>
      <c r="GG119" t="e">
        <f>AND(Bills!H439,"AAAAADt//7w=")</f>
        <v>#VALUE!</v>
      </c>
      <c r="GH119" t="e">
        <f>AND(Bills!I439,"AAAAADt//70=")</f>
        <v>#VALUE!</v>
      </c>
      <c r="GI119" t="e">
        <f>AND(Bills!J439,"AAAAADt//74=")</f>
        <v>#VALUE!</v>
      </c>
      <c r="GJ119" t="e">
        <f>AND(Bills!K439,"AAAAADt//78=")</f>
        <v>#VALUE!</v>
      </c>
      <c r="GK119" t="e">
        <f>AND(Bills!L439,"AAAAADt//8A=")</f>
        <v>#VALUE!</v>
      </c>
      <c r="GL119" t="e">
        <f>AND(Bills!#REF!,"AAAAADt//8E=")</f>
        <v>#REF!</v>
      </c>
      <c r="GM119" t="e">
        <f>AND(Bills!M439,"AAAAADt//8I=")</f>
        <v>#VALUE!</v>
      </c>
      <c r="GN119" t="e">
        <f>AND(Bills!N439,"AAAAADt//8M=")</f>
        <v>#VALUE!</v>
      </c>
      <c r="GO119" t="e">
        <f>AND(Bills!O439,"AAAAADt//8Q=")</f>
        <v>#VALUE!</v>
      </c>
      <c r="GP119" t="e">
        <f>AND(Bills!P439,"AAAAADt//8U=")</f>
        <v>#VALUE!</v>
      </c>
      <c r="GQ119" t="e">
        <f>AND(Bills!Q439,"AAAAADt//8Y=")</f>
        <v>#VALUE!</v>
      </c>
      <c r="GR119" t="e">
        <f>AND(Bills!R439,"AAAAADt//8c=")</f>
        <v>#VALUE!</v>
      </c>
      <c r="GS119" t="e">
        <f>AND(Bills!S439,"AAAAADt//8g=")</f>
        <v>#VALUE!</v>
      </c>
      <c r="GT119" t="e">
        <f>AND(Bills!T439,"AAAAADt//8k=")</f>
        <v>#VALUE!</v>
      </c>
      <c r="GU119" t="e">
        <f>AND(Bills!#REF!,"AAAAADt//8o=")</f>
        <v>#REF!</v>
      </c>
      <c r="GV119" t="e">
        <f>AND(Bills!U439,"AAAAADt//8s=")</f>
        <v>#VALUE!</v>
      </c>
      <c r="GW119" t="e">
        <f>AND(Bills!V439,"AAAAADt//8w=")</f>
        <v>#VALUE!</v>
      </c>
      <c r="GX119" t="e">
        <f>AND(Bills!W439,"AAAAADt//80=")</f>
        <v>#VALUE!</v>
      </c>
      <c r="GY119" t="e">
        <f>AND(Bills!#REF!,"AAAAADt//84=")</f>
        <v>#REF!</v>
      </c>
      <c r="GZ119" t="e">
        <f>AND(Bills!#REF!,"AAAAADt//88=")</f>
        <v>#REF!</v>
      </c>
      <c r="HA119" t="e">
        <f>AND(Bills!Y439,"AAAAADt//9A=")</f>
        <v>#VALUE!</v>
      </c>
      <c r="HB119" t="e">
        <f>AND(Bills!Z439,"AAAAADt//9E=")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AND(Bills!AA439,"AAAAADt//9s=")</f>
        <v>#VALUE!</v>
      </c>
      <c r="HM119" t="e">
        <f>AND(Bills!AB439,"AAAAADt//9w=")</f>
        <v>#VALUE!</v>
      </c>
      <c r="HN119" t="e">
        <f>AND(Bills!#REF!,"AAAAADt//90=")</f>
        <v>#REF!</v>
      </c>
      <c r="HO119" t="e">
        <f>AND(Bills!#REF!,"AAAAADt//94=")</f>
        <v>#REF!</v>
      </c>
      <c r="HP119" t="e">
        <f>AND(Bills!#REF!,"AAAAADt//98=")</f>
        <v>#REF!</v>
      </c>
      <c r="HQ119" t="e">
        <f>AND(Bills!AC439,"AAAAADt//+A=")</f>
        <v>#VALUE!</v>
      </c>
      <c r="HR119" t="e">
        <f>AND(Bills!AD439,"AAAAADt//+E=")</f>
        <v>#VALUE!</v>
      </c>
      <c r="HS119" t="e">
        <f>AND(Bills!#REF!,"AAAAADt//+I=")</f>
        <v>#REF!</v>
      </c>
      <c r="HT119">
        <f>IF(Bills!440:440,"AAAAADt//+M=",0)</f>
        <v>0</v>
      </c>
      <c r="HU119" t="e">
        <f>AND(Bills!B440,"AAAAADt//+Q=")</f>
        <v>#VALUE!</v>
      </c>
      <c r="HV119" t="e">
        <f>AND(Bills!#REF!,"AAAAADt//+U=")</f>
        <v>#REF!</v>
      </c>
      <c r="HW119" t="e">
        <f>AND(Bills!C440,"AAAAADt//+Y=")</f>
        <v>#VALUE!</v>
      </c>
      <c r="HX119" t="e">
        <f>AND(Bills!D440,"AAAAADt//+c=")</f>
        <v>#VALUE!</v>
      </c>
      <c r="HY119" t="e">
        <f>AND(Bills!E440,"AAAAADt//+g=")</f>
        <v>#VALUE!</v>
      </c>
      <c r="HZ119" t="e">
        <f>AND(Bills!#REF!,"AAAAADt//+k=")</f>
        <v>#REF!</v>
      </c>
      <c r="IA119" t="e">
        <f>AND(Bills!#REF!,"AAAAADt//+o=")</f>
        <v>#REF!</v>
      </c>
      <c r="IB119" t="e">
        <f>AND(Bills!#REF!,"AAAAADt//+s=")</f>
        <v>#REF!</v>
      </c>
      <c r="IC119" t="e">
        <f>AND(Bills!F440,"AAAAADt//+w=")</f>
        <v>#VALUE!</v>
      </c>
      <c r="ID119" t="e">
        <f>AND(Bills!#REF!,"AAAAADt//+0=")</f>
        <v>#REF!</v>
      </c>
      <c r="IE119" t="e">
        <f>AND(Bills!G440,"AAAAADt//+4=")</f>
        <v>#VALUE!</v>
      </c>
      <c r="IF119" t="e">
        <f>AND(Bills!H440,"AAAAADt//+8=")</f>
        <v>#VALUE!</v>
      </c>
      <c r="IG119" t="e">
        <f>AND(Bills!I440,"AAAAADt///A=")</f>
        <v>#VALUE!</v>
      </c>
      <c r="IH119" t="e">
        <f>AND(Bills!J440,"AAAAADt///E=")</f>
        <v>#VALUE!</v>
      </c>
      <c r="II119" t="e">
        <f>AND(Bills!K440,"AAAAADt///I=")</f>
        <v>#VALUE!</v>
      </c>
      <c r="IJ119" t="e">
        <f>AND(Bills!L440,"AAAAADt///M=")</f>
        <v>#VALUE!</v>
      </c>
      <c r="IK119" t="e">
        <f>AND(Bills!#REF!,"AAAAADt///Q=")</f>
        <v>#REF!</v>
      </c>
      <c r="IL119" t="e">
        <f>AND(Bills!M440,"AAAAADt///U=")</f>
        <v>#VALUE!</v>
      </c>
      <c r="IM119" t="e">
        <f>AND(Bills!N440,"AAAAADt///Y=")</f>
        <v>#VALUE!</v>
      </c>
      <c r="IN119" t="e">
        <f>AND(Bills!O440,"AAAAADt///c=")</f>
        <v>#VALUE!</v>
      </c>
      <c r="IO119" t="e">
        <f>AND(Bills!P440,"AAAAADt///g=")</f>
        <v>#VALUE!</v>
      </c>
      <c r="IP119" t="e">
        <f>AND(Bills!Q440,"AAAAADt///k=")</f>
        <v>#VALUE!</v>
      </c>
      <c r="IQ119" t="e">
        <f>AND(Bills!R440,"AAAAADt///o=")</f>
        <v>#VALUE!</v>
      </c>
      <c r="IR119" t="e">
        <f>AND(Bills!S440,"AAAAADt///s=")</f>
        <v>#VALUE!</v>
      </c>
      <c r="IS119" t="e">
        <f>AND(Bills!T440,"AAAAADt///w=")</f>
        <v>#VALUE!</v>
      </c>
      <c r="IT119" t="e">
        <f>AND(Bills!#REF!,"AAAAADt///0=")</f>
        <v>#REF!</v>
      </c>
      <c r="IU119" t="e">
        <f>AND(Bills!U440,"AAAAADt///4=")</f>
        <v>#VALUE!</v>
      </c>
      <c r="IV119" t="e">
        <f>AND(Bills!V440,"AAAAADt///8=")</f>
        <v>#VALUE!</v>
      </c>
    </row>
    <row r="120" spans="1:256">
      <c r="A120" t="e">
        <f>AND(Bills!W440,"AAAAAAX3dwA=")</f>
        <v>#VALUE!</v>
      </c>
      <c r="B120" t="e">
        <f>AND(Bills!#REF!,"AAAAAAX3dwE=")</f>
        <v>#REF!</v>
      </c>
      <c r="C120" t="e">
        <f>AND(Bills!#REF!,"AAAAAAX3dwI=")</f>
        <v>#REF!</v>
      </c>
      <c r="D120" t="e">
        <f>AND(Bills!Y440,"AAAAAAX3dwM=")</f>
        <v>#VALUE!</v>
      </c>
      <c r="E120" t="e">
        <f>AND(Bills!Z440,"AAAAAAX3dwQ=")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AND(Bills!AA440,"AAAAAAX3dw4=")</f>
        <v>#VALUE!</v>
      </c>
      <c r="P120" t="e">
        <f>AND(Bills!AB440,"AAAAAAX3dw8=")</f>
        <v>#VALUE!</v>
      </c>
      <c r="Q120" t="e">
        <f>AND(Bills!#REF!,"AAAAAAX3dxA=")</f>
        <v>#REF!</v>
      </c>
      <c r="R120" t="e">
        <f>AND(Bills!#REF!,"AAAAAAX3dxE=")</f>
        <v>#REF!</v>
      </c>
      <c r="S120" t="e">
        <f>AND(Bills!#REF!,"AAAAAAX3dxI=")</f>
        <v>#REF!</v>
      </c>
      <c r="T120" t="e">
        <f>AND(Bills!AC440,"AAAAAAX3dxM=")</f>
        <v>#VALUE!</v>
      </c>
      <c r="U120" t="e">
        <f>AND(Bills!AD440,"AAAAAAX3dxQ=")</f>
        <v>#VALUE!</v>
      </c>
      <c r="V120" t="e">
        <f>AND(Bills!#REF!,"AAAAAAX3dxU=")</f>
        <v>#REF!</v>
      </c>
      <c r="W120">
        <f>IF(Bills!441:441,"AAAAAAX3dxY=",0)</f>
        <v>0</v>
      </c>
      <c r="X120" t="e">
        <f>AND(Bills!B441,"AAAAAAX3dxc=")</f>
        <v>#VALUE!</v>
      </c>
      <c r="Y120" t="e">
        <f>AND(Bills!#REF!,"AAAAAAX3dxg=")</f>
        <v>#REF!</v>
      </c>
      <c r="Z120" t="e">
        <f>AND(Bills!C441,"AAAAAAX3dxk=")</f>
        <v>#VALUE!</v>
      </c>
      <c r="AA120" t="e">
        <f>AND(Bills!D441,"AAAAAAX3dxo=")</f>
        <v>#VALUE!</v>
      </c>
      <c r="AB120" t="e">
        <f>AND(Bills!E441,"AAAAAAX3dxs=")</f>
        <v>#VALUE!</v>
      </c>
      <c r="AC120" t="e">
        <f>AND(Bills!#REF!,"AAAAAAX3dxw=")</f>
        <v>#REF!</v>
      </c>
      <c r="AD120" t="e">
        <f>AND(Bills!#REF!,"AAAAAAX3dx0=")</f>
        <v>#REF!</v>
      </c>
      <c r="AE120" t="e">
        <f>AND(Bills!#REF!,"AAAAAAX3dx4=")</f>
        <v>#REF!</v>
      </c>
      <c r="AF120" t="e">
        <f>AND(Bills!F441,"AAAAAAX3dx8=")</f>
        <v>#VALUE!</v>
      </c>
      <c r="AG120" t="e">
        <f>AND(Bills!#REF!,"AAAAAAX3dyA=")</f>
        <v>#REF!</v>
      </c>
      <c r="AH120" t="e">
        <f>AND(Bills!G441,"AAAAAAX3dyE=")</f>
        <v>#VALUE!</v>
      </c>
      <c r="AI120" t="e">
        <f>AND(Bills!H441,"AAAAAAX3dyI=")</f>
        <v>#VALUE!</v>
      </c>
      <c r="AJ120" t="e">
        <f>AND(Bills!I441,"AAAAAAX3dyM=")</f>
        <v>#VALUE!</v>
      </c>
      <c r="AK120" t="e">
        <f>AND(Bills!J441,"AAAAAAX3dyQ=")</f>
        <v>#VALUE!</v>
      </c>
      <c r="AL120" t="e">
        <f>AND(Bills!K441,"AAAAAAX3dyU=")</f>
        <v>#VALUE!</v>
      </c>
      <c r="AM120" t="e">
        <f>AND(Bills!L441,"AAAAAAX3dyY=")</f>
        <v>#VALUE!</v>
      </c>
      <c r="AN120" t="e">
        <f>AND(Bills!#REF!,"AAAAAAX3dyc=")</f>
        <v>#REF!</v>
      </c>
      <c r="AO120" t="e">
        <f>AND(Bills!M441,"AAAAAAX3dyg=")</f>
        <v>#VALUE!</v>
      </c>
      <c r="AP120" t="e">
        <f>AND(Bills!N441,"AAAAAAX3dyk=")</f>
        <v>#VALUE!</v>
      </c>
      <c r="AQ120" t="e">
        <f>AND(Bills!O441,"AAAAAAX3dyo=")</f>
        <v>#VALUE!</v>
      </c>
      <c r="AR120" t="e">
        <f>AND(Bills!P441,"AAAAAAX3dys=")</f>
        <v>#VALUE!</v>
      </c>
      <c r="AS120" t="e">
        <f>AND(Bills!Q441,"AAAAAAX3dyw=")</f>
        <v>#VALUE!</v>
      </c>
      <c r="AT120" t="e">
        <f>AND(Bills!R441,"AAAAAAX3dy0=")</f>
        <v>#VALUE!</v>
      </c>
      <c r="AU120" t="e">
        <f>AND(Bills!S441,"AAAAAAX3dy4=")</f>
        <v>#VALUE!</v>
      </c>
      <c r="AV120" t="e">
        <f>AND(Bills!T441,"AAAAAAX3dy8=")</f>
        <v>#VALUE!</v>
      </c>
      <c r="AW120" t="e">
        <f>AND(Bills!#REF!,"AAAAAAX3dzA=")</f>
        <v>#REF!</v>
      </c>
      <c r="AX120" t="e">
        <f>AND(Bills!U441,"AAAAAAX3dzE=")</f>
        <v>#VALUE!</v>
      </c>
      <c r="AY120" t="e">
        <f>AND(Bills!V441,"AAAAAAX3dzI=")</f>
        <v>#VALUE!</v>
      </c>
      <c r="AZ120" t="e">
        <f>AND(Bills!W441,"AAAAAAX3dzM=")</f>
        <v>#VALUE!</v>
      </c>
      <c r="BA120" t="e">
        <f>AND(Bills!#REF!,"AAAAAAX3dzQ=")</f>
        <v>#REF!</v>
      </c>
      <c r="BB120" t="e">
        <f>AND(Bills!#REF!,"AAAAAAX3dzU=")</f>
        <v>#REF!</v>
      </c>
      <c r="BC120" t="e">
        <f>AND(Bills!Y441,"AAAAAAX3dzY=")</f>
        <v>#VALUE!</v>
      </c>
      <c r="BD120" t="e">
        <f>AND(Bills!Z441,"AAAAAAX3dzc=")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AND(Bills!AA441,"AAAAAAX3d0E=")</f>
        <v>#VALUE!</v>
      </c>
      <c r="BO120" t="e">
        <f>AND(Bills!AB441,"AAAAAAX3d0I=")</f>
        <v>#VALUE!</v>
      </c>
      <c r="BP120" t="e">
        <f>AND(Bills!#REF!,"AAAAAAX3d0M=")</f>
        <v>#REF!</v>
      </c>
      <c r="BQ120" t="e">
        <f>AND(Bills!#REF!,"AAAAAAX3d0Q=")</f>
        <v>#REF!</v>
      </c>
      <c r="BR120" t="e">
        <f>AND(Bills!#REF!,"AAAAAAX3d0U=")</f>
        <v>#REF!</v>
      </c>
      <c r="BS120" t="e">
        <f>AND(Bills!AC441,"AAAAAAX3d0Y=")</f>
        <v>#VALUE!</v>
      </c>
      <c r="BT120" t="e">
        <f>AND(Bills!AD441,"AAAAAAX3d0c=")</f>
        <v>#VALUE!</v>
      </c>
      <c r="BU120" t="e">
        <f>AND(Bills!#REF!,"AAAAAAX3d0g=")</f>
        <v>#REF!</v>
      </c>
      <c r="BV120">
        <f>IF(Bills!442:442,"AAAAAAX3d0k=",0)</f>
        <v>0</v>
      </c>
      <c r="BW120" t="e">
        <f>AND(Bills!B442,"AAAAAAX3d0o=")</f>
        <v>#VALUE!</v>
      </c>
      <c r="BX120" t="e">
        <f>AND(Bills!#REF!,"AAAAAAX3d0s=")</f>
        <v>#REF!</v>
      </c>
      <c r="BY120" t="e">
        <f>AND(Bills!C442,"AAAAAAX3d0w=")</f>
        <v>#VALUE!</v>
      </c>
      <c r="BZ120" t="e">
        <f>AND(Bills!D442,"AAAAAAX3d00=")</f>
        <v>#VALUE!</v>
      </c>
      <c r="CA120" t="e">
        <f>AND(Bills!E442,"AAAAAAX3d04=")</f>
        <v>#VALUE!</v>
      </c>
      <c r="CB120" t="e">
        <f>AND(Bills!#REF!,"AAAAAAX3d08=")</f>
        <v>#REF!</v>
      </c>
      <c r="CC120" t="e">
        <f>AND(Bills!#REF!,"AAAAAAX3d1A=")</f>
        <v>#REF!</v>
      </c>
      <c r="CD120" t="e">
        <f>AND(Bills!#REF!,"AAAAAAX3d1E=")</f>
        <v>#REF!</v>
      </c>
      <c r="CE120" t="e">
        <f>AND(Bills!F442,"AAAAAAX3d1I=")</f>
        <v>#VALUE!</v>
      </c>
      <c r="CF120" t="e">
        <f>AND(Bills!#REF!,"AAAAAAX3d1M=")</f>
        <v>#REF!</v>
      </c>
      <c r="CG120" t="e">
        <f>AND(Bills!G442,"AAAAAAX3d1Q=")</f>
        <v>#VALUE!</v>
      </c>
      <c r="CH120" t="e">
        <f>AND(Bills!H442,"AAAAAAX3d1U=")</f>
        <v>#VALUE!</v>
      </c>
      <c r="CI120" t="e">
        <f>AND(Bills!I442,"AAAAAAX3d1Y=")</f>
        <v>#VALUE!</v>
      </c>
      <c r="CJ120" t="e">
        <f>AND(Bills!J442,"AAAAAAX3d1c=")</f>
        <v>#VALUE!</v>
      </c>
      <c r="CK120" t="e">
        <f>AND(Bills!K442,"AAAAAAX3d1g=")</f>
        <v>#VALUE!</v>
      </c>
      <c r="CL120" t="e">
        <f>AND(Bills!L442,"AAAAAAX3d1k=")</f>
        <v>#VALUE!</v>
      </c>
      <c r="CM120" t="e">
        <f>AND(Bills!#REF!,"AAAAAAX3d1o=")</f>
        <v>#REF!</v>
      </c>
      <c r="CN120" t="e">
        <f>AND(Bills!M442,"AAAAAAX3d1s=")</f>
        <v>#VALUE!</v>
      </c>
      <c r="CO120" t="e">
        <f>AND(Bills!N442,"AAAAAAX3d1w=")</f>
        <v>#VALUE!</v>
      </c>
      <c r="CP120" t="e">
        <f>AND(Bills!O442,"AAAAAAX3d10=")</f>
        <v>#VALUE!</v>
      </c>
      <c r="CQ120" t="e">
        <f>AND(Bills!P442,"AAAAAAX3d14=")</f>
        <v>#VALUE!</v>
      </c>
      <c r="CR120" t="e">
        <f>AND(Bills!Q442,"AAAAAAX3d18=")</f>
        <v>#VALUE!</v>
      </c>
      <c r="CS120" t="e">
        <f>AND(Bills!R442,"AAAAAAX3d2A=")</f>
        <v>#VALUE!</v>
      </c>
      <c r="CT120" t="e">
        <f>AND(Bills!S442,"AAAAAAX3d2E=")</f>
        <v>#VALUE!</v>
      </c>
      <c r="CU120" t="e">
        <f>AND(Bills!T442,"AAAAAAX3d2I=")</f>
        <v>#VALUE!</v>
      </c>
      <c r="CV120" t="e">
        <f>AND(Bills!#REF!,"AAAAAAX3d2M=")</f>
        <v>#REF!</v>
      </c>
      <c r="CW120" t="e">
        <f>AND(Bills!U442,"AAAAAAX3d2Q=")</f>
        <v>#VALUE!</v>
      </c>
      <c r="CX120" t="e">
        <f>AND(Bills!V442,"AAAAAAX3d2U=")</f>
        <v>#VALUE!</v>
      </c>
      <c r="CY120" t="e">
        <f>AND(Bills!W442,"AAAAAAX3d2Y=")</f>
        <v>#VALUE!</v>
      </c>
      <c r="CZ120" t="e">
        <f>AND(Bills!#REF!,"AAAAAAX3d2c=")</f>
        <v>#REF!</v>
      </c>
      <c r="DA120" t="e">
        <f>AND(Bills!#REF!,"AAAAAAX3d2g=")</f>
        <v>#REF!</v>
      </c>
      <c r="DB120" t="e">
        <f>AND(Bills!Y442,"AAAAAAX3d2k=")</f>
        <v>#VALUE!</v>
      </c>
      <c r="DC120" t="e">
        <f>AND(Bills!Z442,"AAAAAAX3d2o=")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AND(Bills!AA442,"AAAAAAX3d3Q=")</f>
        <v>#VALUE!</v>
      </c>
      <c r="DN120" t="e">
        <f>AND(Bills!AB442,"AAAAAAX3d3U=")</f>
        <v>#VALUE!</v>
      </c>
      <c r="DO120" t="e">
        <f>AND(Bills!#REF!,"AAAAAAX3d3Y=")</f>
        <v>#REF!</v>
      </c>
      <c r="DP120" t="e">
        <f>AND(Bills!#REF!,"AAAAAAX3d3c=")</f>
        <v>#REF!</v>
      </c>
      <c r="DQ120" t="e">
        <f>AND(Bills!#REF!,"AAAAAAX3d3g=")</f>
        <v>#REF!</v>
      </c>
      <c r="DR120" t="e">
        <f>AND(Bills!AC442,"AAAAAAX3d3k=")</f>
        <v>#VALUE!</v>
      </c>
      <c r="DS120" t="e">
        <f>AND(Bills!AD442,"AAAAAAX3d3o=")</f>
        <v>#VALUE!</v>
      </c>
      <c r="DT120" t="e">
        <f>AND(Bills!#REF!,"AAAAAAX3d3s=")</f>
        <v>#REF!</v>
      </c>
      <c r="DU120">
        <f>IF(Bills!443:443,"AAAAAAX3d3w=",0)</f>
        <v>0</v>
      </c>
      <c r="DV120" t="e">
        <f>AND(Bills!B443,"AAAAAAX3d30=")</f>
        <v>#VALUE!</v>
      </c>
      <c r="DW120" t="e">
        <f>AND(Bills!#REF!,"AAAAAAX3d34=")</f>
        <v>#REF!</v>
      </c>
      <c r="DX120" t="e">
        <f>AND(Bills!C443,"AAAAAAX3d38=")</f>
        <v>#VALUE!</v>
      </c>
      <c r="DY120" t="e">
        <f>AND(Bills!D443,"AAAAAAX3d4A=")</f>
        <v>#VALUE!</v>
      </c>
      <c r="DZ120" t="e">
        <f>AND(Bills!E443,"AAAAAAX3d4E=")</f>
        <v>#VALUE!</v>
      </c>
      <c r="EA120" t="e">
        <f>AND(Bills!#REF!,"AAAAAAX3d4I=")</f>
        <v>#REF!</v>
      </c>
      <c r="EB120" t="e">
        <f>AND(Bills!#REF!,"AAAAAAX3d4M=")</f>
        <v>#REF!</v>
      </c>
      <c r="EC120" t="e">
        <f>AND(Bills!#REF!,"AAAAAAX3d4Q=")</f>
        <v>#REF!</v>
      </c>
      <c r="ED120" t="e">
        <f>AND(Bills!F443,"AAAAAAX3d4U=")</f>
        <v>#VALUE!</v>
      </c>
      <c r="EE120" t="e">
        <f>AND(Bills!#REF!,"AAAAAAX3d4Y=")</f>
        <v>#REF!</v>
      </c>
      <c r="EF120" t="e">
        <f>AND(Bills!G443,"AAAAAAX3d4c=")</f>
        <v>#VALUE!</v>
      </c>
      <c r="EG120" t="e">
        <f>AND(Bills!H443,"AAAAAAX3d4g=")</f>
        <v>#VALUE!</v>
      </c>
      <c r="EH120" t="e">
        <f>AND(Bills!I443,"AAAAAAX3d4k=")</f>
        <v>#VALUE!</v>
      </c>
      <c r="EI120" t="e">
        <f>AND(Bills!J443,"AAAAAAX3d4o=")</f>
        <v>#VALUE!</v>
      </c>
      <c r="EJ120" t="e">
        <f>AND(Bills!K443,"AAAAAAX3d4s=")</f>
        <v>#VALUE!</v>
      </c>
      <c r="EK120" t="e">
        <f>AND(Bills!L443,"AAAAAAX3d4w=")</f>
        <v>#VALUE!</v>
      </c>
      <c r="EL120" t="e">
        <f>AND(Bills!#REF!,"AAAAAAX3d40=")</f>
        <v>#REF!</v>
      </c>
      <c r="EM120" t="e">
        <f>AND(Bills!M443,"AAAAAAX3d44=")</f>
        <v>#VALUE!</v>
      </c>
      <c r="EN120" t="e">
        <f>AND(Bills!N443,"AAAAAAX3d48=")</f>
        <v>#VALUE!</v>
      </c>
      <c r="EO120" t="e">
        <f>AND(Bills!O443,"AAAAAAX3d5A=")</f>
        <v>#VALUE!</v>
      </c>
      <c r="EP120" t="e">
        <f>AND(Bills!P443,"AAAAAAX3d5E=")</f>
        <v>#VALUE!</v>
      </c>
      <c r="EQ120" t="e">
        <f>AND(Bills!Q443,"AAAAAAX3d5I=")</f>
        <v>#VALUE!</v>
      </c>
      <c r="ER120" t="e">
        <f>AND(Bills!R443,"AAAAAAX3d5M=")</f>
        <v>#VALUE!</v>
      </c>
      <c r="ES120" t="e">
        <f>AND(Bills!S443,"AAAAAAX3d5Q=")</f>
        <v>#VALUE!</v>
      </c>
      <c r="ET120" t="e">
        <f>AND(Bills!T443,"AAAAAAX3d5U=")</f>
        <v>#VALUE!</v>
      </c>
      <c r="EU120" t="e">
        <f>AND(Bills!#REF!,"AAAAAAX3d5Y=")</f>
        <v>#REF!</v>
      </c>
      <c r="EV120" t="e">
        <f>AND(Bills!U443,"AAAAAAX3d5c=")</f>
        <v>#VALUE!</v>
      </c>
      <c r="EW120" t="e">
        <f>AND(Bills!V443,"AAAAAAX3d5g=")</f>
        <v>#VALUE!</v>
      </c>
      <c r="EX120" t="e">
        <f>AND(Bills!W443,"AAAAAAX3d5k=")</f>
        <v>#VALUE!</v>
      </c>
      <c r="EY120" t="e">
        <f>AND(Bills!#REF!,"AAAAAAX3d5o=")</f>
        <v>#REF!</v>
      </c>
      <c r="EZ120" t="e">
        <f>AND(Bills!#REF!,"AAAAAAX3d5s=")</f>
        <v>#REF!</v>
      </c>
      <c r="FA120" t="e">
        <f>AND(Bills!Y443,"AAAAAAX3d5w=")</f>
        <v>#VALUE!</v>
      </c>
      <c r="FB120" t="e">
        <f>AND(Bills!Z443,"AAAAAAX3d50=")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AND(Bills!AA443,"AAAAAAX3d6c=")</f>
        <v>#VALUE!</v>
      </c>
      <c r="FM120" t="e">
        <f>AND(Bills!AB443,"AAAAAAX3d6g=")</f>
        <v>#VALUE!</v>
      </c>
      <c r="FN120" t="e">
        <f>AND(Bills!#REF!,"AAAAAAX3d6k=")</f>
        <v>#REF!</v>
      </c>
      <c r="FO120" t="e">
        <f>AND(Bills!#REF!,"AAAAAAX3d6o=")</f>
        <v>#REF!</v>
      </c>
      <c r="FP120" t="e">
        <f>AND(Bills!#REF!,"AAAAAAX3d6s=")</f>
        <v>#REF!</v>
      </c>
      <c r="FQ120" t="e">
        <f>AND(Bills!AC443,"AAAAAAX3d6w=")</f>
        <v>#VALUE!</v>
      </c>
      <c r="FR120" t="e">
        <f>AND(Bills!AD443,"AAAAAAX3d60=")</f>
        <v>#VALUE!</v>
      </c>
      <c r="FS120" t="e">
        <f>AND(Bills!#REF!,"AAAAAAX3d64=")</f>
        <v>#REF!</v>
      </c>
      <c r="FT120">
        <f>IF(Bills!444:444,"AAAAAAX3d68=",0)</f>
        <v>0</v>
      </c>
      <c r="FU120" t="e">
        <f>AND(Bills!B444,"AAAAAAX3d7A=")</f>
        <v>#VALUE!</v>
      </c>
      <c r="FV120" t="e">
        <f>AND(Bills!#REF!,"AAAAAAX3d7E=")</f>
        <v>#REF!</v>
      </c>
      <c r="FW120" t="e">
        <f>AND(Bills!C444,"AAAAAAX3d7I=")</f>
        <v>#VALUE!</v>
      </c>
      <c r="FX120" t="e">
        <f>AND(Bills!D444,"AAAAAAX3d7M=")</f>
        <v>#VALUE!</v>
      </c>
      <c r="FY120" t="e">
        <f>AND(Bills!E444,"AAAAAAX3d7Q=")</f>
        <v>#VALUE!</v>
      </c>
      <c r="FZ120" t="e">
        <f>AND(Bills!#REF!,"AAAAAAX3d7U=")</f>
        <v>#REF!</v>
      </c>
      <c r="GA120" t="e">
        <f>AND(Bills!#REF!,"AAAAAAX3d7Y=")</f>
        <v>#REF!</v>
      </c>
      <c r="GB120" t="e">
        <f>AND(Bills!#REF!,"AAAAAAX3d7c=")</f>
        <v>#REF!</v>
      </c>
      <c r="GC120" t="e">
        <f>AND(Bills!F444,"AAAAAAX3d7g=")</f>
        <v>#VALUE!</v>
      </c>
      <c r="GD120" t="e">
        <f>AND(Bills!#REF!,"AAAAAAX3d7k=")</f>
        <v>#REF!</v>
      </c>
      <c r="GE120" t="e">
        <f>AND(Bills!G444,"AAAAAAX3d7o=")</f>
        <v>#VALUE!</v>
      </c>
      <c r="GF120" t="e">
        <f>AND(Bills!H444,"AAAAAAX3d7s=")</f>
        <v>#VALUE!</v>
      </c>
      <c r="GG120" t="e">
        <f>AND(Bills!I444,"AAAAAAX3d7w=")</f>
        <v>#VALUE!</v>
      </c>
      <c r="GH120" t="e">
        <f>AND(Bills!J444,"AAAAAAX3d70=")</f>
        <v>#VALUE!</v>
      </c>
      <c r="GI120" t="e">
        <f>AND(Bills!K444,"AAAAAAX3d74=")</f>
        <v>#VALUE!</v>
      </c>
      <c r="GJ120" t="e">
        <f>AND(Bills!L444,"AAAAAAX3d78=")</f>
        <v>#VALUE!</v>
      </c>
      <c r="GK120" t="e">
        <f>AND(Bills!#REF!,"AAAAAAX3d8A=")</f>
        <v>#REF!</v>
      </c>
      <c r="GL120" t="e">
        <f>AND(Bills!M444,"AAAAAAX3d8E=")</f>
        <v>#VALUE!</v>
      </c>
      <c r="GM120" t="e">
        <f>AND(Bills!N444,"AAAAAAX3d8I=")</f>
        <v>#VALUE!</v>
      </c>
      <c r="GN120" t="e">
        <f>AND(Bills!O444,"AAAAAAX3d8M=")</f>
        <v>#VALUE!</v>
      </c>
      <c r="GO120" t="e">
        <f>AND(Bills!P444,"AAAAAAX3d8Q=")</f>
        <v>#VALUE!</v>
      </c>
      <c r="GP120" t="e">
        <f>AND(Bills!Q444,"AAAAAAX3d8U=")</f>
        <v>#VALUE!</v>
      </c>
      <c r="GQ120" t="e">
        <f>AND(Bills!R444,"AAAAAAX3d8Y=")</f>
        <v>#VALUE!</v>
      </c>
      <c r="GR120" t="e">
        <f>AND(Bills!S444,"AAAAAAX3d8c=")</f>
        <v>#VALUE!</v>
      </c>
      <c r="GS120" t="e">
        <f>AND(Bills!T444,"AAAAAAX3d8g=")</f>
        <v>#VALUE!</v>
      </c>
      <c r="GT120" t="e">
        <f>AND(Bills!#REF!,"AAAAAAX3d8k=")</f>
        <v>#REF!</v>
      </c>
      <c r="GU120" t="e">
        <f>AND(Bills!U444,"AAAAAAX3d8o=")</f>
        <v>#VALUE!</v>
      </c>
      <c r="GV120" t="e">
        <f>AND(Bills!V444,"AAAAAAX3d8s=")</f>
        <v>#VALUE!</v>
      </c>
      <c r="GW120" t="e">
        <f>AND(Bills!W444,"AAAAAAX3d8w=")</f>
        <v>#VALUE!</v>
      </c>
      <c r="GX120" t="e">
        <f>AND(Bills!#REF!,"AAAAAAX3d80=")</f>
        <v>#REF!</v>
      </c>
      <c r="GY120" t="e">
        <f>AND(Bills!#REF!,"AAAAAAX3d84=")</f>
        <v>#REF!</v>
      </c>
      <c r="GZ120" t="e">
        <f>AND(Bills!Y444,"AAAAAAX3d88=")</f>
        <v>#VALUE!</v>
      </c>
      <c r="HA120" t="e">
        <f>AND(Bills!Z444,"AAAAAAX3d9A=")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AND(Bills!AA444,"AAAAAAX3d9o=")</f>
        <v>#VALUE!</v>
      </c>
      <c r="HL120" t="e">
        <f>AND(Bills!AB444,"AAAAAAX3d9s=")</f>
        <v>#VALUE!</v>
      </c>
      <c r="HM120" t="e">
        <f>AND(Bills!#REF!,"AAAAAAX3d9w=")</f>
        <v>#REF!</v>
      </c>
      <c r="HN120" t="e">
        <f>AND(Bills!#REF!,"AAAAAAX3d90=")</f>
        <v>#REF!</v>
      </c>
      <c r="HO120" t="e">
        <f>AND(Bills!#REF!,"AAAAAAX3d94=")</f>
        <v>#REF!</v>
      </c>
      <c r="HP120" t="e">
        <f>AND(Bills!AC444,"AAAAAAX3d98=")</f>
        <v>#VALUE!</v>
      </c>
      <c r="HQ120" t="e">
        <f>AND(Bills!AD444,"AAAAAAX3d+A=")</f>
        <v>#VALUE!</v>
      </c>
      <c r="HR120" t="e">
        <f>AND(Bills!#REF!,"AAAAAAX3d+E=")</f>
        <v>#REF!</v>
      </c>
      <c r="HS120">
        <f>IF(Bills!445:445,"AAAAAAX3d+I=",0)</f>
        <v>0</v>
      </c>
      <c r="HT120" t="e">
        <f>AND(Bills!B445,"AAAAAAX3d+M=")</f>
        <v>#VALUE!</v>
      </c>
      <c r="HU120" t="e">
        <f>AND(Bills!#REF!,"AAAAAAX3d+Q=")</f>
        <v>#REF!</v>
      </c>
      <c r="HV120" t="e">
        <f>AND(Bills!C445,"AAAAAAX3d+U=")</f>
        <v>#VALUE!</v>
      </c>
      <c r="HW120" t="e">
        <f>AND(Bills!D445,"AAAAAAX3d+Y=")</f>
        <v>#VALUE!</v>
      </c>
      <c r="HX120" t="e">
        <f>AND(Bills!E445,"AAAAAAX3d+c=")</f>
        <v>#VALUE!</v>
      </c>
      <c r="HY120" t="e">
        <f>AND(Bills!#REF!,"AAAAAAX3d+g=")</f>
        <v>#REF!</v>
      </c>
      <c r="HZ120" t="e">
        <f>AND(Bills!#REF!,"AAAAAAX3d+k=")</f>
        <v>#REF!</v>
      </c>
      <c r="IA120" t="e">
        <f>AND(Bills!#REF!,"AAAAAAX3d+o=")</f>
        <v>#REF!</v>
      </c>
      <c r="IB120" t="e">
        <f>AND(Bills!F445,"AAAAAAX3d+s=")</f>
        <v>#VALUE!</v>
      </c>
      <c r="IC120" t="e">
        <f>AND(Bills!#REF!,"AAAAAAX3d+w=")</f>
        <v>#REF!</v>
      </c>
      <c r="ID120" t="e">
        <f>AND(Bills!G445,"AAAAAAX3d+0=")</f>
        <v>#VALUE!</v>
      </c>
      <c r="IE120" t="e">
        <f>AND(Bills!H445,"AAAAAAX3d+4=")</f>
        <v>#VALUE!</v>
      </c>
      <c r="IF120" t="e">
        <f>AND(Bills!I445,"AAAAAAX3d+8=")</f>
        <v>#VALUE!</v>
      </c>
      <c r="IG120" t="e">
        <f>AND(Bills!J445,"AAAAAAX3d/A=")</f>
        <v>#VALUE!</v>
      </c>
      <c r="IH120" t="e">
        <f>AND(Bills!K445,"AAAAAAX3d/E=")</f>
        <v>#VALUE!</v>
      </c>
      <c r="II120" t="e">
        <f>AND(Bills!L445,"AAAAAAX3d/I=")</f>
        <v>#VALUE!</v>
      </c>
      <c r="IJ120" t="e">
        <f>AND(Bills!#REF!,"AAAAAAX3d/M=")</f>
        <v>#REF!</v>
      </c>
      <c r="IK120" t="e">
        <f>AND(Bills!M445,"AAAAAAX3d/Q=")</f>
        <v>#VALUE!</v>
      </c>
      <c r="IL120" t="e">
        <f>AND(Bills!N445,"AAAAAAX3d/U=")</f>
        <v>#VALUE!</v>
      </c>
      <c r="IM120" t="e">
        <f>AND(Bills!O445,"AAAAAAX3d/Y=")</f>
        <v>#VALUE!</v>
      </c>
      <c r="IN120" t="e">
        <f>AND(Bills!P445,"AAAAAAX3d/c=")</f>
        <v>#VALUE!</v>
      </c>
      <c r="IO120" t="e">
        <f>AND(Bills!Q445,"AAAAAAX3d/g=")</f>
        <v>#VALUE!</v>
      </c>
      <c r="IP120" t="e">
        <f>AND(Bills!R445,"AAAAAAX3d/k=")</f>
        <v>#VALUE!</v>
      </c>
      <c r="IQ120" t="e">
        <f>AND(Bills!S445,"AAAAAAX3d/o=")</f>
        <v>#VALUE!</v>
      </c>
      <c r="IR120" t="e">
        <f>AND(Bills!T445,"AAAAAAX3d/s=")</f>
        <v>#VALUE!</v>
      </c>
      <c r="IS120" t="e">
        <f>AND(Bills!#REF!,"AAAAAAX3d/w=")</f>
        <v>#REF!</v>
      </c>
      <c r="IT120" t="e">
        <f>AND(Bills!U445,"AAAAAAX3d/0=")</f>
        <v>#VALUE!</v>
      </c>
      <c r="IU120" t="e">
        <f>AND(Bills!V445,"AAAAAAX3d/4=")</f>
        <v>#VALUE!</v>
      </c>
      <c r="IV120" t="e">
        <f>AND(Bills!W445,"AAAAAAX3d/8=")</f>
        <v>#VALUE!</v>
      </c>
    </row>
    <row r="121" spans="1:256">
      <c r="A121" t="e">
        <f>AND(Bills!#REF!,"AAAAAH7e5wA=")</f>
        <v>#REF!</v>
      </c>
      <c r="B121" t="e">
        <f>AND(Bills!#REF!,"AAAAAH7e5wE=")</f>
        <v>#REF!</v>
      </c>
      <c r="C121" t="e">
        <f>AND(Bills!Y445,"AAAAAH7e5wI=")</f>
        <v>#VALUE!</v>
      </c>
      <c r="D121" t="e">
        <f>AND(Bills!Z445,"AAAAAH7e5wM=")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AND(Bills!AA445,"AAAAAH7e5w0=")</f>
        <v>#VALUE!</v>
      </c>
      <c r="O121" t="e">
        <f>AND(Bills!AB445,"AAAAAH7e5w4=")</f>
        <v>#VALUE!</v>
      </c>
      <c r="P121" t="e">
        <f>AND(Bills!#REF!,"AAAAAH7e5w8=")</f>
        <v>#REF!</v>
      </c>
      <c r="Q121" t="e">
        <f>AND(Bills!#REF!,"AAAAAH7e5xA=")</f>
        <v>#REF!</v>
      </c>
      <c r="R121" t="e">
        <f>AND(Bills!#REF!,"AAAAAH7e5xE=")</f>
        <v>#REF!</v>
      </c>
      <c r="S121" t="e">
        <f>AND(Bills!AC445,"AAAAAH7e5xI=")</f>
        <v>#VALUE!</v>
      </c>
      <c r="T121" t="e">
        <f>AND(Bills!AD445,"AAAAAH7e5xM=")</f>
        <v>#VALUE!</v>
      </c>
      <c r="U121" t="e">
        <f>AND(Bills!#REF!,"AAAAAH7e5xQ=")</f>
        <v>#REF!</v>
      </c>
      <c r="V121">
        <f>IF(Bills!446:446,"AAAAAH7e5xU=",0)</f>
        <v>0</v>
      </c>
      <c r="W121" t="e">
        <f>AND(Bills!B446,"AAAAAH7e5xY=")</f>
        <v>#VALUE!</v>
      </c>
      <c r="X121" t="e">
        <f>AND(Bills!#REF!,"AAAAAH7e5xc=")</f>
        <v>#REF!</v>
      </c>
      <c r="Y121" t="e">
        <f>AND(Bills!C446,"AAAAAH7e5xg=")</f>
        <v>#VALUE!</v>
      </c>
      <c r="Z121" t="e">
        <f>AND(Bills!D446,"AAAAAH7e5xk=")</f>
        <v>#VALUE!</v>
      </c>
      <c r="AA121" t="e">
        <f>AND(Bills!E446,"AAAAAH7e5xo=")</f>
        <v>#VALUE!</v>
      </c>
      <c r="AB121" t="e">
        <f>AND(Bills!#REF!,"AAAAAH7e5xs=")</f>
        <v>#REF!</v>
      </c>
      <c r="AC121" t="e">
        <f>AND(Bills!#REF!,"AAAAAH7e5xw=")</f>
        <v>#REF!</v>
      </c>
      <c r="AD121" t="e">
        <f>AND(Bills!#REF!,"AAAAAH7e5x0=")</f>
        <v>#REF!</v>
      </c>
      <c r="AE121" t="e">
        <f>AND(Bills!F446,"AAAAAH7e5x4=")</f>
        <v>#VALUE!</v>
      </c>
      <c r="AF121" t="e">
        <f>AND(Bills!#REF!,"AAAAAH7e5x8=")</f>
        <v>#REF!</v>
      </c>
      <c r="AG121" t="e">
        <f>AND(Bills!G446,"AAAAAH7e5yA=")</f>
        <v>#VALUE!</v>
      </c>
      <c r="AH121" t="e">
        <f>AND(Bills!H446,"AAAAAH7e5yE=")</f>
        <v>#VALUE!</v>
      </c>
      <c r="AI121" t="e">
        <f>AND(Bills!I446,"AAAAAH7e5yI=")</f>
        <v>#VALUE!</v>
      </c>
      <c r="AJ121" t="e">
        <f>AND(Bills!J446,"AAAAAH7e5yM=")</f>
        <v>#VALUE!</v>
      </c>
      <c r="AK121" t="e">
        <f>AND(Bills!K446,"AAAAAH7e5yQ=")</f>
        <v>#VALUE!</v>
      </c>
      <c r="AL121" t="e">
        <f>AND(Bills!L446,"AAAAAH7e5yU=")</f>
        <v>#VALUE!</v>
      </c>
      <c r="AM121" t="e">
        <f>AND(Bills!#REF!,"AAAAAH7e5yY=")</f>
        <v>#REF!</v>
      </c>
      <c r="AN121" t="e">
        <f>AND(Bills!M446,"AAAAAH7e5yc=")</f>
        <v>#VALUE!</v>
      </c>
      <c r="AO121" t="e">
        <f>AND(Bills!N446,"AAAAAH7e5yg=")</f>
        <v>#VALUE!</v>
      </c>
      <c r="AP121" t="e">
        <f>AND(Bills!O446,"AAAAAH7e5yk=")</f>
        <v>#VALUE!</v>
      </c>
      <c r="AQ121" t="e">
        <f>AND(Bills!P446,"AAAAAH7e5yo=")</f>
        <v>#VALUE!</v>
      </c>
      <c r="AR121" t="e">
        <f>AND(Bills!Q446,"AAAAAH7e5ys=")</f>
        <v>#VALUE!</v>
      </c>
      <c r="AS121" t="e">
        <f>AND(Bills!R446,"AAAAAH7e5yw=")</f>
        <v>#VALUE!</v>
      </c>
      <c r="AT121" t="e">
        <f>AND(Bills!S446,"AAAAAH7e5y0=")</f>
        <v>#VALUE!</v>
      </c>
      <c r="AU121" t="e">
        <f>AND(Bills!T446,"AAAAAH7e5y4=")</f>
        <v>#VALUE!</v>
      </c>
      <c r="AV121" t="e">
        <f>AND(Bills!#REF!,"AAAAAH7e5y8=")</f>
        <v>#REF!</v>
      </c>
      <c r="AW121" t="e">
        <f>AND(Bills!U446,"AAAAAH7e5zA=")</f>
        <v>#VALUE!</v>
      </c>
      <c r="AX121" t="e">
        <f>AND(Bills!V446,"AAAAAH7e5zE=")</f>
        <v>#VALUE!</v>
      </c>
      <c r="AY121" t="e">
        <f>AND(Bills!W446,"AAAAAH7e5zI=")</f>
        <v>#VALUE!</v>
      </c>
      <c r="AZ121" t="e">
        <f>AND(Bills!#REF!,"AAAAAH7e5zM=")</f>
        <v>#REF!</v>
      </c>
      <c r="BA121" t="e">
        <f>AND(Bills!#REF!,"AAAAAH7e5zQ=")</f>
        <v>#REF!</v>
      </c>
      <c r="BB121" t="e">
        <f>AND(Bills!Y446,"AAAAAH7e5zU=")</f>
        <v>#VALUE!</v>
      </c>
      <c r="BC121" t="e">
        <f>AND(Bills!Z446,"AAAAAH7e5zY=")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AND(Bills!AA446,"AAAAAH7e50A=")</f>
        <v>#VALUE!</v>
      </c>
      <c r="BN121" t="e">
        <f>AND(Bills!AB446,"AAAAAH7e50E=")</f>
        <v>#VALUE!</v>
      </c>
      <c r="BO121" t="e">
        <f>AND(Bills!#REF!,"AAAAAH7e50I=")</f>
        <v>#REF!</v>
      </c>
      <c r="BP121" t="e">
        <f>AND(Bills!#REF!,"AAAAAH7e50M=")</f>
        <v>#REF!</v>
      </c>
      <c r="BQ121" t="e">
        <f>AND(Bills!#REF!,"AAAAAH7e50Q=")</f>
        <v>#REF!</v>
      </c>
      <c r="BR121" t="e">
        <f>AND(Bills!AC446,"AAAAAH7e50U=")</f>
        <v>#VALUE!</v>
      </c>
      <c r="BS121" t="e">
        <f>AND(Bills!AD446,"AAAAAH7e50Y=")</f>
        <v>#VALUE!</v>
      </c>
      <c r="BT121" t="e">
        <f>AND(Bills!#REF!,"AAAAAH7e50c=")</f>
        <v>#REF!</v>
      </c>
      <c r="BU121">
        <f>IF(Bills!447:447,"AAAAAH7e50g=",0)</f>
        <v>0</v>
      </c>
      <c r="BV121" t="e">
        <f>AND(Bills!B447,"AAAAAH7e50k=")</f>
        <v>#VALUE!</v>
      </c>
      <c r="BW121" t="e">
        <f>AND(Bills!#REF!,"AAAAAH7e50o=")</f>
        <v>#REF!</v>
      </c>
      <c r="BX121" t="e">
        <f>AND(Bills!C447,"AAAAAH7e50s=")</f>
        <v>#VALUE!</v>
      </c>
      <c r="BY121" t="e">
        <f>AND(Bills!D447,"AAAAAH7e50w=")</f>
        <v>#VALUE!</v>
      </c>
      <c r="BZ121" t="e">
        <f>AND(Bills!E447,"AAAAAH7e500=")</f>
        <v>#VALUE!</v>
      </c>
      <c r="CA121" t="e">
        <f>AND(Bills!#REF!,"AAAAAH7e504=")</f>
        <v>#REF!</v>
      </c>
      <c r="CB121" t="e">
        <f>AND(Bills!#REF!,"AAAAAH7e508=")</f>
        <v>#REF!</v>
      </c>
      <c r="CC121" t="e">
        <f>AND(Bills!#REF!,"AAAAAH7e51A=")</f>
        <v>#REF!</v>
      </c>
      <c r="CD121" t="e">
        <f>AND(Bills!F447,"AAAAAH7e51E=")</f>
        <v>#VALUE!</v>
      </c>
      <c r="CE121" t="e">
        <f>AND(Bills!#REF!,"AAAAAH7e51I=")</f>
        <v>#REF!</v>
      </c>
      <c r="CF121" t="e">
        <f>AND(Bills!G447,"AAAAAH7e51M=")</f>
        <v>#VALUE!</v>
      </c>
      <c r="CG121" t="e">
        <f>AND(Bills!H447,"AAAAAH7e51Q=")</f>
        <v>#VALUE!</v>
      </c>
      <c r="CH121" t="e">
        <f>AND(Bills!I447,"AAAAAH7e51U=")</f>
        <v>#VALUE!</v>
      </c>
      <c r="CI121" t="e">
        <f>AND(Bills!J447,"AAAAAH7e51Y=")</f>
        <v>#VALUE!</v>
      </c>
      <c r="CJ121" t="e">
        <f>AND(Bills!K447,"AAAAAH7e51c=")</f>
        <v>#VALUE!</v>
      </c>
      <c r="CK121" t="e">
        <f>AND(Bills!L447,"AAAAAH7e51g=")</f>
        <v>#VALUE!</v>
      </c>
      <c r="CL121" t="e">
        <f>AND(Bills!#REF!,"AAAAAH7e51k=")</f>
        <v>#REF!</v>
      </c>
      <c r="CM121" t="e">
        <f>AND(Bills!M447,"AAAAAH7e51o=")</f>
        <v>#VALUE!</v>
      </c>
      <c r="CN121" t="e">
        <f>AND(Bills!N447,"AAAAAH7e51s=")</f>
        <v>#VALUE!</v>
      </c>
      <c r="CO121" t="e">
        <f>AND(Bills!O447,"AAAAAH7e51w=")</f>
        <v>#VALUE!</v>
      </c>
      <c r="CP121" t="e">
        <f>AND(Bills!P447,"AAAAAH7e510=")</f>
        <v>#VALUE!</v>
      </c>
      <c r="CQ121" t="e">
        <f>AND(Bills!Q447,"AAAAAH7e514=")</f>
        <v>#VALUE!</v>
      </c>
      <c r="CR121" t="e">
        <f>AND(Bills!R447,"AAAAAH7e518=")</f>
        <v>#VALUE!</v>
      </c>
      <c r="CS121" t="e">
        <f>AND(Bills!S447,"AAAAAH7e52A=")</f>
        <v>#VALUE!</v>
      </c>
      <c r="CT121" t="e">
        <f>AND(Bills!T447,"AAAAAH7e52E=")</f>
        <v>#VALUE!</v>
      </c>
      <c r="CU121" t="e">
        <f>AND(Bills!#REF!,"AAAAAH7e52I=")</f>
        <v>#REF!</v>
      </c>
      <c r="CV121" t="e">
        <f>AND(Bills!U447,"AAAAAH7e52M=")</f>
        <v>#VALUE!</v>
      </c>
      <c r="CW121" t="e">
        <f>AND(Bills!V447,"AAAAAH7e52Q=")</f>
        <v>#VALUE!</v>
      </c>
      <c r="CX121" t="e">
        <f>AND(Bills!W447,"AAAAAH7e52U=")</f>
        <v>#VALUE!</v>
      </c>
      <c r="CY121" t="e">
        <f>AND(Bills!#REF!,"AAAAAH7e52Y=")</f>
        <v>#REF!</v>
      </c>
      <c r="CZ121" t="e">
        <f>AND(Bills!#REF!,"AAAAAH7e52c=")</f>
        <v>#REF!</v>
      </c>
      <c r="DA121" t="e">
        <f>AND(Bills!Y447,"AAAAAH7e52g=")</f>
        <v>#VALUE!</v>
      </c>
      <c r="DB121" t="e">
        <f>AND(Bills!Z447,"AAAAAH7e52k=")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AND(Bills!AA447,"AAAAAH7e53M=")</f>
        <v>#VALUE!</v>
      </c>
      <c r="DM121" t="e">
        <f>AND(Bills!AB447,"AAAAAH7e53Q=")</f>
        <v>#VALUE!</v>
      </c>
      <c r="DN121" t="e">
        <f>AND(Bills!#REF!,"AAAAAH7e53U=")</f>
        <v>#REF!</v>
      </c>
      <c r="DO121" t="e">
        <f>AND(Bills!#REF!,"AAAAAH7e53Y=")</f>
        <v>#REF!</v>
      </c>
      <c r="DP121" t="e">
        <f>AND(Bills!#REF!,"AAAAAH7e53c=")</f>
        <v>#REF!</v>
      </c>
      <c r="DQ121" t="e">
        <f>AND(Bills!AC447,"AAAAAH7e53g=")</f>
        <v>#VALUE!</v>
      </c>
      <c r="DR121" t="e">
        <f>AND(Bills!AD447,"AAAAAH7e53k=")</f>
        <v>#VALUE!</v>
      </c>
      <c r="DS121" t="e">
        <f>AND(Bills!#REF!,"AAAAAH7e53o=")</f>
        <v>#REF!</v>
      </c>
      <c r="DT121">
        <f>IF(Bills!448:448,"AAAAAH7e53s=",0)</f>
        <v>0</v>
      </c>
      <c r="DU121" t="e">
        <f>AND(Bills!B448,"AAAAAH7e53w=")</f>
        <v>#VALUE!</v>
      </c>
      <c r="DV121" t="e">
        <f>AND(Bills!#REF!,"AAAAAH7e530=")</f>
        <v>#REF!</v>
      </c>
      <c r="DW121" t="e">
        <f>AND(Bills!C448,"AAAAAH7e534=")</f>
        <v>#VALUE!</v>
      </c>
      <c r="DX121" t="e">
        <f>AND(Bills!D448,"AAAAAH7e538=")</f>
        <v>#VALUE!</v>
      </c>
      <c r="DY121" t="e">
        <f>AND(Bills!E448,"AAAAAH7e54A=")</f>
        <v>#VALUE!</v>
      </c>
      <c r="DZ121" t="e">
        <f>AND(Bills!#REF!,"AAAAAH7e54E=")</f>
        <v>#REF!</v>
      </c>
      <c r="EA121" t="e">
        <f>AND(Bills!#REF!,"AAAAAH7e54I=")</f>
        <v>#REF!</v>
      </c>
      <c r="EB121" t="e">
        <f>AND(Bills!#REF!,"AAAAAH7e54M=")</f>
        <v>#REF!</v>
      </c>
      <c r="EC121" t="e">
        <f>AND(Bills!F448,"AAAAAH7e54Q=")</f>
        <v>#VALUE!</v>
      </c>
      <c r="ED121" t="e">
        <f>AND(Bills!#REF!,"AAAAAH7e54U=")</f>
        <v>#REF!</v>
      </c>
      <c r="EE121" t="e">
        <f>AND(Bills!G448,"AAAAAH7e54Y=")</f>
        <v>#VALUE!</v>
      </c>
      <c r="EF121" t="e">
        <f>AND(Bills!H448,"AAAAAH7e54c=")</f>
        <v>#VALUE!</v>
      </c>
      <c r="EG121" t="e">
        <f>AND(Bills!I448,"AAAAAH7e54g=")</f>
        <v>#VALUE!</v>
      </c>
      <c r="EH121" t="e">
        <f>AND(Bills!J448,"AAAAAH7e54k=")</f>
        <v>#VALUE!</v>
      </c>
      <c r="EI121" t="e">
        <f>AND(Bills!K448,"AAAAAH7e54o=")</f>
        <v>#VALUE!</v>
      </c>
      <c r="EJ121" t="e">
        <f>AND(Bills!L448,"AAAAAH7e54s=")</f>
        <v>#VALUE!</v>
      </c>
      <c r="EK121" t="e">
        <f>AND(Bills!#REF!,"AAAAAH7e54w=")</f>
        <v>#REF!</v>
      </c>
      <c r="EL121" t="e">
        <f>AND(Bills!M448,"AAAAAH7e540=")</f>
        <v>#VALUE!</v>
      </c>
      <c r="EM121" t="e">
        <f>AND(Bills!N448,"AAAAAH7e544=")</f>
        <v>#VALUE!</v>
      </c>
      <c r="EN121" t="e">
        <f>AND(Bills!O448,"AAAAAH7e548=")</f>
        <v>#VALUE!</v>
      </c>
      <c r="EO121" t="e">
        <f>AND(Bills!P448,"AAAAAH7e55A=")</f>
        <v>#VALUE!</v>
      </c>
      <c r="EP121" t="e">
        <f>AND(Bills!Q448,"AAAAAH7e55E=")</f>
        <v>#VALUE!</v>
      </c>
      <c r="EQ121" t="e">
        <f>AND(Bills!R448,"AAAAAH7e55I=")</f>
        <v>#VALUE!</v>
      </c>
      <c r="ER121" t="e">
        <f>AND(Bills!S448,"AAAAAH7e55M=")</f>
        <v>#VALUE!</v>
      </c>
      <c r="ES121" t="e">
        <f>AND(Bills!T448,"AAAAAH7e55Q=")</f>
        <v>#VALUE!</v>
      </c>
      <c r="ET121" t="e">
        <f>AND(Bills!#REF!,"AAAAAH7e55U=")</f>
        <v>#REF!</v>
      </c>
      <c r="EU121" t="e">
        <f>AND(Bills!U448,"AAAAAH7e55Y=")</f>
        <v>#VALUE!</v>
      </c>
      <c r="EV121" t="e">
        <f>AND(Bills!V448,"AAAAAH7e55c=")</f>
        <v>#VALUE!</v>
      </c>
      <c r="EW121" t="e">
        <f>AND(Bills!W448,"AAAAAH7e55g=")</f>
        <v>#VALUE!</v>
      </c>
      <c r="EX121" t="e">
        <f>AND(Bills!#REF!,"AAAAAH7e55k=")</f>
        <v>#REF!</v>
      </c>
      <c r="EY121" t="e">
        <f>AND(Bills!#REF!,"AAAAAH7e55o=")</f>
        <v>#REF!</v>
      </c>
      <c r="EZ121" t="e">
        <f>AND(Bills!Y448,"AAAAAH7e55s=")</f>
        <v>#VALUE!</v>
      </c>
      <c r="FA121" t="e">
        <f>AND(Bills!Z448,"AAAAAH7e55w=")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AND(Bills!AA448,"AAAAAH7e56Y=")</f>
        <v>#VALUE!</v>
      </c>
      <c r="FL121" t="e">
        <f>AND(Bills!AB448,"AAAAAH7e56c=")</f>
        <v>#VALUE!</v>
      </c>
      <c r="FM121" t="e">
        <f>AND(Bills!#REF!,"AAAAAH7e56g=")</f>
        <v>#REF!</v>
      </c>
      <c r="FN121" t="e">
        <f>AND(Bills!#REF!,"AAAAAH7e56k=")</f>
        <v>#REF!</v>
      </c>
      <c r="FO121" t="e">
        <f>AND(Bills!#REF!,"AAAAAH7e56o=")</f>
        <v>#REF!</v>
      </c>
      <c r="FP121" t="e">
        <f>AND(Bills!AC448,"AAAAAH7e56s=")</f>
        <v>#VALUE!</v>
      </c>
      <c r="FQ121" t="e">
        <f>AND(Bills!AD448,"AAAAAH7e56w=")</f>
        <v>#VALUE!</v>
      </c>
      <c r="FR121" t="e">
        <f>AND(Bills!#REF!,"AAAAAH7e560=")</f>
        <v>#REF!</v>
      </c>
      <c r="FS121">
        <f>IF(Bills!449:449,"AAAAAH7e564=",0)</f>
        <v>0</v>
      </c>
      <c r="FT121" t="e">
        <f>AND(Bills!B449,"AAAAAH7e568=")</f>
        <v>#VALUE!</v>
      </c>
      <c r="FU121" t="e">
        <f>AND(Bills!#REF!,"AAAAAH7e57A=")</f>
        <v>#REF!</v>
      </c>
      <c r="FV121" t="e">
        <f>AND(Bills!C449,"AAAAAH7e57E=")</f>
        <v>#VALUE!</v>
      </c>
      <c r="FW121" t="e">
        <f>AND(Bills!D449,"AAAAAH7e57I=")</f>
        <v>#VALUE!</v>
      </c>
      <c r="FX121" t="e">
        <f>AND(Bills!E449,"AAAAAH7e57M=")</f>
        <v>#VALUE!</v>
      </c>
      <c r="FY121" t="e">
        <f>AND(Bills!#REF!,"AAAAAH7e57Q=")</f>
        <v>#REF!</v>
      </c>
      <c r="FZ121" t="e">
        <f>AND(Bills!#REF!,"AAAAAH7e57U=")</f>
        <v>#REF!</v>
      </c>
      <c r="GA121" t="e">
        <f>AND(Bills!#REF!,"AAAAAH7e57Y=")</f>
        <v>#REF!</v>
      </c>
      <c r="GB121" t="e">
        <f>AND(Bills!F449,"AAAAAH7e57c=")</f>
        <v>#VALUE!</v>
      </c>
      <c r="GC121" t="e">
        <f>AND(Bills!#REF!,"AAAAAH7e57g=")</f>
        <v>#REF!</v>
      </c>
      <c r="GD121" t="e">
        <f>AND(Bills!G449,"AAAAAH7e57k=")</f>
        <v>#VALUE!</v>
      </c>
      <c r="GE121" t="e">
        <f>AND(Bills!H449,"AAAAAH7e57o=")</f>
        <v>#VALUE!</v>
      </c>
      <c r="GF121" t="e">
        <f>AND(Bills!I449,"AAAAAH7e57s=")</f>
        <v>#VALUE!</v>
      </c>
      <c r="GG121" t="e">
        <f>AND(Bills!J449,"AAAAAH7e57w=")</f>
        <v>#VALUE!</v>
      </c>
      <c r="GH121" t="e">
        <f>AND(Bills!K449,"AAAAAH7e570=")</f>
        <v>#VALUE!</v>
      </c>
      <c r="GI121" t="e">
        <f>AND(Bills!L449,"AAAAAH7e574=")</f>
        <v>#VALUE!</v>
      </c>
      <c r="GJ121" t="e">
        <f>AND(Bills!#REF!,"AAAAAH7e578=")</f>
        <v>#REF!</v>
      </c>
      <c r="GK121" t="e">
        <f>AND(Bills!M449,"AAAAAH7e58A=")</f>
        <v>#VALUE!</v>
      </c>
      <c r="GL121" t="e">
        <f>AND(Bills!N449,"AAAAAH7e58E=")</f>
        <v>#VALUE!</v>
      </c>
      <c r="GM121" t="e">
        <f>AND(Bills!O449,"AAAAAH7e58I=")</f>
        <v>#VALUE!</v>
      </c>
      <c r="GN121" t="e">
        <f>AND(Bills!P449,"AAAAAH7e58M=")</f>
        <v>#VALUE!</v>
      </c>
      <c r="GO121" t="e">
        <f>AND(Bills!Q449,"AAAAAH7e58Q=")</f>
        <v>#VALUE!</v>
      </c>
      <c r="GP121" t="e">
        <f>AND(Bills!R449,"AAAAAH7e58U=")</f>
        <v>#VALUE!</v>
      </c>
      <c r="GQ121" t="e">
        <f>AND(Bills!S449,"AAAAAH7e58Y=")</f>
        <v>#VALUE!</v>
      </c>
      <c r="GR121" t="e">
        <f>AND(Bills!T449,"AAAAAH7e58c=")</f>
        <v>#VALUE!</v>
      </c>
      <c r="GS121" t="e">
        <f>AND(Bills!#REF!,"AAAAAH7e58g=")</f>
        <v>#REF!</v>
      </c>
      <c r="GT121" t="e">
        <f>AND(Bills!U449,"AAAAAH7e58k=")</f>
        <v>#VALUE!</v>
      </c>
      <c r="GU121" t="e">
        <f>AND(Bills!V449,"AAAAAH7e58o=")</f>
        <v>#VALUE!</v>
      </c>
      <c r="GV121" t="e">
        <f>AND(Bills!W449,"AAAAAH7e58s=")</f>
        <v>#VALUE!</v>
      </c>
      <c r="GW121" t="e">
        <f>AND(Bills!#REF!,"AAAAAH7e58w=")</f>
        <v>#REF!</v>
      </c>
      <c r="GX121" t="e">
        <f>AND(Bills!#REF!,"AAAAAH7e580=")</f>
        <v>#REF!</v>
      </c>
      <c r="GY121" t="e">
        <f>AND(Bills!Y449,"AAAAAH7e584=")</f>
        <v>#VALUE!</v>
      </c>
      <c r="GZ121" t="e">
        <f>AND(Bills!Z449,"AAAAAH7e588=")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AND(Bills!AA449,"AAAAAH7e59k=")</f>
        <v>#VALUE!</v>
      </c>
      <c r="HK121" t="e">
        <f>AND(Bills!AB449,"AAAAAH7e59o=")</f>
        <v>#VALUE!</v>
      </c>
      <c r="HL121" t="e">
        <f>AND(Bills!#REF!,"AAAAAH7e59s=")</f>
        <v>#REF!</v>
      </c>
      <c r="HM121" t="e">
        <f>AND(Bills!#REF!,"AAAAAH7e59w=")</f>
        <v>#REF!</v>
      </c>
      <c r="HN121" t="e">
        <f>AND(Bills!#REF!,"AAAAAH7e590=")</f>
        <v>#REF!</v>
      </c>
      <c r="HO121" t="e">
        <f>AND(Bills!AC449,"AAAAAH7e594=")</f>
        <v>#VALUE!</v>
      </c>
      <c r="HP121" t="e">
        <f>AND(Bills!AD449,"AAAAAH7e598=")</f>
        <v>#VALUE!</v>
      </c>
      <c r="HQ121" t="e">
        <f>AND(Bills!#REF!,"AAAAAH7e5+A=")</f>
        <v>#REF!</v>
      </c>
      <c r="HR121">
        <f>IF(Bills!450:450,"AAAAAH7e5+E=",0)</f>
        <v>0</v>
      </c>
      <c r="HS121" t="e">
        <f>AND(Bills!B450,"AAAAAH7e5+I=")</f>
        <v>#VALUE!</v>
      </c>
      <c r="HT121" t="e">
        <f>AND(Bills!#REF!,"AAAAAH7e5+M=")</f>
        <v>#REF!</v>
      </c>
      <c r="HU121" t="e">
        <f>AND(Bills!C450,"AAAAAH7e5+Q=")</f>
        <v>#VALUE!</v>
      </c>
      <c r="HV121" t="e">
        <f>AND(Bills!D450,"AAAAAH7e5+U=")</f>
        <v>#VALUE!</v>
      </c>
      <c r="HW121" t="e">
        <f>AND(Bills!E450,"AAAAAH7e5+Y=")</f>
        <v>#VALUE!</v>
      </c>
      <c r="HX121" t="e">
        <f>AND(Bills!#REF!,"AAAAAH7e5+c=")</f>
        <v>#REF!</v>
      </c>
      <c r="HY121" t="e">
        <f>AND(Bills!#REF!,"AAAAAH7e5+g=")</f>
        <v>#REF!</v>
      </c>
      <c r="HZ121" t="e">
        <f>AND(Bills!#REF!,"AAAAAH7e5+k=")</f>
        <v>#REF!</v>
      </c>
      <c r="IA121" t="e">
        <f>AND(Bills!F450,"AAAAAH7e5+o=")</f>
        <v>#VALUE!</v>
      </c>
      <c r="IB121" t="e">
        <f>AND(Bills!#REF!,"AAAAAH7e5+s=")</f>
        <v>#REF!</v>
      </c>
      <c r="IC121" t="e">
        <f>AND(Bills!G450,"AAAAAH7e5+w=")</f>
        <v>#VALUE!</v>
      </c>
      <c r="ID121" t="e">
        <f>AND(Bills!H450,"AAAAAH7e5+0=")</f>
        <v>#VALUE!</v>
      </c>
      <c r="IE121" t="e">
        <f>AND(Bills!I450,"AAAAAH7e5+4=")</f>
        <v>#VALUE!</v>
      </c>
      <c r="IF121" t="e">
        <f>AND(Bills!J450,"AAAAAH7e5+8=")</f>
        <v>#VALUE!</v>
      </c>
      <c r="IG121" t="e">
        <f>AND(Bills!K450,"AAAAAH7e5/A=")</f>
        <v>#VALUE!</v>
      </c>
      <c r="IH121" t="e">
        <f>AND(Bills!L450,"AAAAAH7e5/E=")</f>
        <v>#VALUE!</v>
      </c>
      <c r="II121" t="e">
        <f>AND(Bills!#REF!,"AAAAAH7e5/I=")</f>
        <v>#REF!</v>
      </c>
      <c r="IJ121" t="e">
        <f>AND(Bills!M450,"AAAAAH7e5/M=")</f>
        <v>#VALUE!</v>
      </c>
      <c r="IK121" t="e">
        <f>AND(Bills!N450,"AAAAAH7e5/Q=")</f>
        <v>#VALUE!</v>
      </c>
      <c r="IL121" t="e">
        <f>AND(Bills!O450,"AAAAAH7e5/U=")</f>
        <v>#VALUE!</v>
      </c>
      <c r="IM121" t="e">
        <f>AND(Bills!P450,"AAAAAH7e5/Y=")</f>
        <v>#VALUE!</v>
      </c>
      <c r="IN121" t="e">
        <f>AND(Bills!Q450,"AAAAAH7e5/c=")</f>
        <v>#VALUE!</v>
      </c>
      <c r="IO121" t="e">
        <f>AND(Bills!R450,"AAAAAH7e5/g=")</f>
        <v>#VALUE!</v>
      </c>
      <c r="IP121" t="e">
        <f>AND(Bills!S450,"AAAAAH7e5/k=")</f>
        <v>#VALUE!</v>
      </c>
      <c r="IQ121" t="e">
        <f>AND(Bills!T450,"AAAAAH7e5/o=")</f>
        <v>#VALUE!</v>
      </c>
      <c r="IR121" t="e">
        <f>AND(Bills!#REF!,"AAAAAH7e5/s=")</f>
        <v>#REF!</v>
      </c>
      <c r="IS121" t="e">
        <f>AND(Bills!U450,"AAAAAH7e5/w=")</f>
        <v>#VALUE!</v>
      </c>
      <c r="IT121" t="e">
        <f>AND(Bills!V450,"AAAAAH7e5/0=")</f>
        <v>#VALUE!</v>
      </c>
      <c r="IU121" t="e">
        <f>AND(Bills!W450,"AAAAAH7e5/4=")</f>
        <v>#VALUE!</v>
      </c>
      <c r="IV121" t="e">
        <f>AND(Bills!#REF!,"AAAAAH7e5/8=")</f>
        <v>#REF!</v>
      </c>
    </row>
    <row r="122" spans="1:256">
      <c r="A122" t="e">
        <f>AND(Bills!#REF!,"AAAAAGzM6wA=")</f>
        <v>#REF!</v>
      </c>
      <c r="B122" t="e">
        <f>AND(Bills!Y450,"AAAAAGzM6wE=")</f>
        <v>#VALUE!</v>
      </c>
      <c r="C122" t="e">
        <f>AND(Bills!Z450,"AAAAAGzM6wI=")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AND(Bills!AA450,"AAAAAGzM6ww=")</f>
        <v>#VALUE!</v>
      </c>
      <c r="N122" t="e">
        <f>AND(Bills!AB450,"AAAAAGzM6w0=")</f>
        <v>#VALUE!</v>
      </c>
      <c r="O122" t="e">
        <f>AND(Bills!#REF!,"AAAAAGzM6w4=")</f>
        <v>#REF!</v>
      </c>
      <c r="P122" t="e">
        <f>AND(Bills!#REF!,"AAAAAGzM6w8=")</f>
        <v>#REF!</v>
      </c>
      <c r="Q122" t="e">
        <f>AND(Bills!#REF!,"AAAAAGzM6xA=")</f>
        <v>#REF!</v>
      </c>
      <c r="R122" t="e">
        <f>AND(Bills!AC450,"AAAAAGzM6xE=")</f>
        <v>#VALUE!</v>
      </c>
      <c r="S122" t="e">
        <f>AND(Bills!AD450,"AAAAAGzM6xI=")</f>
        <v>#VALUE!</v>
      </c>
      <c r="T122" t="e">
        <f>AND(Bills!#REF!,"AAAAAGzM6xM=")</f>
        <v>#REF!</v>
      </c>
      <c r="U122">
        <f>IF(Bills!451:451,"AAAAAGzM6xQ=",0)</f>
        <v>0</v>
      </c>
      <c r="V122" t="e">
        <f>AND(Bills!B451,"AAAAAGzM6xU=")</f>
        <v>#VALUE!</v>
      </c>
      <c r="W122" t="e">
        <f>AND(Bills!#REF!,"AAAAAGzM6xY=")</f>
        <v>#REF!</v>
      </c>
      <c r="X122" t="e">
        <f>AND(Bills!C451,"AAAAAGzM6xc=")</f>
        <v>#VALUE!</v>
      </c>
      <c r="Y122" t="e">
        <f>AND(Bills!D451,"AAAAAGzM6xg=")</f>
        <v>#VALUE!</v>
      </c>
      <c r="Z122" t="e">
        <f>AND(Bills!E451,"AAAAAGzM6xk=")</f>
        <v>#VALUE!</v>
      </c>
      <c r="AA122" t="e">
        <f>AND(Bills!#REF!,"AAAAAGzM6xo=")</f>
        <v>#REF!</v>
      </c>
      <c r="AB122" t="e">
        <f>AND(Bills!#REF!,"AAAAAGzM6xs=")</f>
        <v>#REF!</v>
      </c>
      <c r="AC122" t="e">
        <f>AND(Bills!#REF!,"AAAAAGzM6xw=")</f>
        <v>#REF!</v>
      </c>
      <c r="AD122" t="e">
        <f>AND(Bills!F451,"AAAAAGzM6x0=")</f>
        <v>#VALUE!</v>
      </c>
      <c r="AE122" t="e">
        <f>AND(Bills!#REF!,"AAAAAGzM6x4=")</f>
        <v>#REF!</v>
      </c>
      <c r="AF122" t="e">
        <f>AND(Bills!G451,"AAAAAGzM6x8=")</f>
        <v>#VALUE!</v>
      </c>
      <c r="AG122" t="e">
        <f>AND(Bills!H451,"AAAAAGzM6yA=")</f>
        <v>#VALUE!</v>
      </c>
      <c r="AH122" t="e">
        <f>AND(Bills!I451,"AAAAAGzM6yE=")</f>
        <v>#VALUE!</v>
      </c>
      <c r="AI122" t="e">
        <f>AND(Bills!J451,"AAAAAGzM6yI=")</f>
        <v>#VALUE!</v>
      </c>
      <c r="AJ122" t="e">
        <f>AND(Bills!K451,"AAAAAGzM6yM=")</f>
        <v>#VALUE!</v>
      </c>
      <c r="AK122" t="e">
        <f>AND(Bills!L451,"AAAAAGzM6yQ=")</f>
        <v>#VALUE!</v>
      </c>
      <c r="AL122" t="e">
        <f>AND(Bills!#REF!,"AAAAAGzM6yU=")</f>
        <v>#REF!</v>
      </c>
      <c r="AM122" t="e">
        <f>AND(Bills!M451,"AAAAAGzM6yY=")</f>
        <v>#VALUE!</v>
      </c>
      <c r="AN122" t="e">
        <f>AND(Bills!N451,"AAAAAGzM6yc=")</f>
        <v>#VALUE!</v>
      </c>
      <c r="AO122" t="e">
        <f>AND(Bills!O451,"AAAAAGzM6yg=")</f>
        <v>#VALUE!</v>
      </c>
      <c r="AP122" t="e">
        <f>AND(Bills!P451,"AAAAAGzM6yk=")</f>
        <v>#VALUE!</v>
      </c>
      <c r="AQ122" t="e">
        <f>AND(Bills!Q451,"AAAAAGzM6yo=")</f>
        <v>#VALUE!</v>
      </c>
      <c r="AR122" t="e">
        <f>AND(Bills!R451,"AAAAAGzM6ys=")</f>
        <v>#VALUE!</v>
      </c>
      <c r="AS122" t="e">
        <f>AND(Bills!S451,"AAAAAGzM6yw=")</f>
        <v>#VALUE!</v>
      </c>
      <c r="AT122" t="e">
        <f>AND(Bills!T451,"AAAAAGzM6y0=")</f>
        <v>#VALUE!</v>
      </c>
      <c r="AU122" t="e">
        <f>AND(Bills!#REF!,"AAAAAGzM6y4=")</f>
        <v>#REF!</v>
      </c>
      <c r="AV122" t="e">
        <f>AND(Bills!U451,"AAAAAGzM6y8=")</f>
        <v>#VALUE!</v>
      </c>
      <c r="AW122" t="e">
        <f>AND(Bills!V451,"AAAAAGzM6zA=")</f>
        <v>#VALUE!</v>
      </c>
      <c r="AX122" t="e">
        <f>AND(Bills!W451,"AAAAAGzM6zE=")</f>
        <v>#VALUE!</v>
      </c>
      <c r="AY122" t="e">
        <f>AND(Bills!#REF!,"AAAAAGzM6zI=")</f>
        <v>#REF!</v>
      </c>
      <c r="AZ122" t="e">
        <f>AND(Bills!#REF!,"AAAAAGzM6zM=")</f>
        <v>#REF!</v>
      </c>
      <c r="BA122" t="e">
        <f>AND(Bills!Y451,"AAAAAGzM6zQ=")</f>
        <v>#VALUE!</v>
      </c>
      <c r="BB122" t="e">
        <f>AND(Bills!Z451,"AAAAAGzM6zU=")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AND(Bills!AA451,"AAAAAGzM6z8=")</f>
        <v>#VALUE!</v>
      </c>
      <c r="BM122" t="e">
        <f>AND(Bills!AB451,"AAAAAGzM60A=")</f>
        <v>#VALUE!</v>
      </c>
      <c r="BN122" t="e">
        <f>AND(Bills!#REF!,"AAAAAGzM60E=")</f>
        <v>#REF!</v>
      </c>
      <c r="BO122" t="e">
        <f>AND(Bills!#REF!,"AAAAAGzM60I=")</f>
        <v>#REF!</v>
      </c>
      <c r="BP122" t="e">
        <f>AND(Bills!#REF!,"AAAAAGzM60M=")</f>
        <v>#REF!</v>
      </c>
      <c r="BQ122" t="e">
        <f>AND(Bills!AC451,"AAAAAGzM60Q=")</f>
        <v>#VALUE!</v>
      </c>
      <c r="BR122" t="e">
        <f>AND(Bills!AD451,"AAAAAGzM60U=")</f>
        <v>#VALUE!</v>
      </c>
      <c r="BS122" t="e">
        <f>AND(Bills!#REF!,"AAAAAGzM60Y=")</f>
        <v>#REF!</v>
      </c>
      <c r="BT122">
        <f>IF(Bills!452:452,"AAAAAGzM60c=",0)</f>
        <v>0</v>
      </c>
      <c r="BU122" t="e">
        <f>AND(Bills!B452,"AAAAAGzM60g=")</f>
        <v>#VALUE!</v>
      </c>
      <c r="BV122" t="e">
        <f>AND(Bills!#REF!,"AAAAAGzM60k=")</f>
        <v>#REF!</v>
      </c>
      <c r="BW122" t="e">
        <f>AND(Bills!C452,"AAAAAGzM60o=")</f>
        <v>#VALUE!</v>
      </c>
      <c r="BX122" t="e">
        <f>AND(Bills!D452,"AAAAAGzM60s=")</f>
        <v>#VALUE!</v>
      </c>
      <c r="BY122" t="e">
        <f>AND(Bills!E452,"AAAAAGzM60w=")</f>
        <v>#VALUE!</v>
      </c>
      <c r="BZ122" t="e">
        <f>AND(Bills!#REF!,"AAAAAGzM600=")</f>
        <v>#REF!</v>
      </c>
      <c r="CA122" t="e">
        <f>AND(Bills!#REF!,"AAAAAGzM604=")</f>
        <v>#REF!</v>
      </c>
      <c r="CB122" t="e">
        <f>AND(Bills!#REF!,"AAAAAGzM608=")</f>
        <v>#REF!</v>
      </c>
      <c r="CC122" t="e">
        <f>AND(Bills!F452,"AAAAAGzM61A=")</f>
        <v>#VALUE!</v>
      </c>
      <c r="CD122" t="e">
        <f>AND(Bills!#REF!,"AAAAAGzM61E=")</f>
        <v>#REF!</v>
      </c>
      <c r="CE122" t="e">
        <f>AND(Bills!G452,"AAAAAGzM61I=")</f>
        <v>#VALUE!</v>
      </c>
      <c r="CF122" t="e">
        <f>AND(Bills!H452,"AAAAAGzM61M=")</f>
        <v>#VALUE!</v>
      </c>
      <c r="CG122" t="e">
        <f>AND(Bills!I452,"AAAAAGzM61Q=")</f>
        <v>#VALUE!</v>
      </c>
      <c r="CH122" t="e">
        <f>AND(Bills!J452,"AAAAAGzM61U=")</f>
        <v>#VALUE!</v>
      </c>
      <c r="CI122" t="e">
        <f>AND(Bills!K452,"AAAAAGzM61Y=")</f>
        <v>#VALUE!</v>
      </c>
      <c r="CJ122" t="e">
        <f>AND(Bills!L452,"AAAAAGzM61c=")</f>
        <v>#VALUE!</v>
      </c>
      <c r="CK122" t="e">
        <f>AND(Bills!#REF!,"AAAAAGzM61g=")</f>
        <v>#REF!</v>
      </c>
      <c r="CL122" t="e">
        <f>AND(Bills!M452,"AAAAAGzM61k=")</f>
        <v>#VALUE!</v>
      </c>
      <c r="CM122" t="e">
        <f>AND(Bills!N452,"AAAAAGzM61o=")</f>
        <v>#VALUE!</v>
      </c>
      <c r="CN122" t="e">
        <f>AND(Bills!O452,"AAAAAGzM61s=")</f>
        <v>#VALUE!</v>
      </c>
      <c r="CO122" t="e">
        <f>AND(Bills!P452,"AAAAAGzM61w=")</f>
        <v>#VALUE!</v>
      </c>
      <c r="CP122" t="e">
        <f>AND(Bills!Q452,"AAAAAGzM610=")</f>
        <v>#VALUE!</v>
      </c>
      <c r="CQ122" t="e">
        <f>AND(Bills!R452,"AAAAAGzM614=")</f>
        <v>#VALUE!</v>
      </c>
      <c r="CR122" t="e">
        <f>AND(Bills!S452,"AAAAAGzM618=")</f>
        <v>#VALUE!</v>
      </c>
      <c r="CS122" t="e">
        <f>AND(Bills!T452,"AAAAAGzM62A=")</f>
        <v>#VALUE!</v>
      </c>
      <c r="CT122" t="e">
        <f>AND(Bills!#REF!,"AAAAAGzM62E=")</f>
        <v>#REF!</v>
      </c>
      <c r="CU122" t="e">
        <f>AND(Bills!U452,"AAAAAGzM62I=")</f>
        <v>#VALUE!</v>
      </c>
      <c r="CV122" t="e">
        <f>AND(Bills!V452,"AAAAAGzM62M=")</f>
        <v>#VALUE!</v>
      </c>
      <c r="CW122" t="e">
        <f>AND(Bills!W452,"AAAAAGzM62Q=")</f>
        <v>#VALUE!</v>
      </c>
      <c r="CX122" t="e">
        <f>AND(Bills!#REF!,"AAAAAGzM62U=")</f>
        <v>#REF!</v>
      </c>
      <c r="CY122" t="e">
        <f>AND(Bills!#REF!,"AAAAAGzM62Y=")</f>
        <v>#REF!</v>
      </c>
      <c r="CZ122" t="e">
        <f>AND(Bills!Y452,"AAAAAGzM62c=")</f>
        <v>#VALUE!</v>
      </c>
      <c r="DA122" t="e">
        <f>AND(Bills!Z452,"AAAAAGzM62g=")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AND(Bills!AA452,"AAAAAGzM63I=")</f>
        <v>#VALUE!</v>
      </c>
      <c r="DL122" t="e">
        <f>AND(Bills!AB452,"AAAAAGzM63M=")</f>
        <v>#VALUE!</v>
      </c>
      <c r="DM122" t="e">
        <f>AND(Bills!#REF!,"AAAAAGzM63Q=")</f>
        <v>#REF!</v>
      </c>
      <c r="DN122" t="e">
        <f>AND(Bills!#REF!,"AAAAAGzM63U=")</f>
        <v>#REF!</v>
      </c>
      <c r="DO122" t="e">
        <f>AND(Bills!#REF!,"AAAAAGzM63Y=")</f>
        <v>#REF!</v>
      </c>
      <c r="DP122" t="e">
        <f>AND(Bills!AC452,"AAAAAGzM63c=")</f>
        <v>#VALUE!</v>
      </c>
      <c r="DQ122" t="e">
        <f>AND(Bills!AD452,"AAAAAGzM63g=")</f>
        <v>#VALUE!</v>
      </c>
      <c r="DR122" t="e">
        <f>AND(Bills!#REF!,"AAAAAGzM63k=")</f>
        <v>#REF!</v>
      </c>
      <c r="DS122">
        <f>IF(Bills!453:453,"AAAAAGzM63o=",0)</f>
        <v>0</v>
      </c>
      <c r="DT122" t="e">
        <f>AND(Bills!B453,"AAAAAGzM63s=")</f>
        <v>#VALUE!</v>
      </c>
      <c r="DU122" t="e">
        <f>AND(Bills!#REF!,"AAAAAGzM63w=")</f>
        <v>#REF!</v>
      </c>
      <c r="DV122" t="e">
        <f>AND(Bills!C453,"AAAAAGzM630=")</f>
        <v>#VALUE!</v>
      </c>
      <c r="DW122" t="e">
        <f>AND(Bills!D453,"AAAAAGzM634=")</f>
        <v>#VALUE!</v>
      </c>
      <c r="DX122" t="e">
        <f>AND(Bills!E453,"AAAAAGzM638=")</f>
        <v>#VALUE!</v>
      </c>
      <c r="DY122" t="e">
        <f>AND(Bills!#REF!,"AAAAAGzM64A=")</f>
        <v>#REF!</v>
      </c>
      <c r="DZ122" t="e">
        <f>AND(Bills!#REF!,"AAAAAGzM64E=")</f>
        <v>#REF!</v>
      </c>
      <c r="EA122" t="e">
        <f>AND(Bills!#REF!,"AAAAAGzM64I=")</f>
        <v>#REF!</v>
      </c>
      <c r="EB122" t="e">
        <f>AND(Bills!F453,"AAAAAGzM64M=")</f>
        <v>#VALUE!</v>
      </c>
      <c r="EC122" t="e">
        <f>AND(Bills!#REF!,"AAAAAGzM64Q=")</f>
        <v>#REF!</v>
      </c>
      <c r="ED122" t="e">
        <f>AND(Bills!G453,"AAAAAGzM64U=")</f>
        <v>#VALUE!</v>
      </c>
      <c r="EE122" t="e">
        <f>AND(Bills!H453,"AAAAAGzM64Y=")</f>
        <v>#VALUE!</v>
      </c>
      <c r="EF122" t="e">
        <f>AND(Bills!I453,"AAAAAGzM64c=")</f>
        <v>#VALUE!</v>
      </c>
      <c r="EG122" t="e">
        <f>AND(Bills!J453,"AAAAAGzM64g=")</f>
        <v>#VALUE!</v>
      </c>
      <c r="EH122" t="e">
        <f>AND(Bills!K453,"AAAAAGzM64k=")</f>
        <v>#VALUE!</v>
      </c>
      <c r="EI122" t="e">
        <f>AND(Bills!L453,"AAAAAGzM64o=")</f>
        <v>#VALUE!</v>
      </c>
      <c r="EJ122" t="e">
        <f>AND(Bills!#REF!,"AAAAAGzM64s=")</f>
        <v>#REF!</v>
      </c>
      <c r="EK122" t="e">
        <f>AND(Bills!M453,"AAAAAGzM64w=")</f>
        <v>#VALUE!</v>
      </c>
      <c r="EL122" t="e">
        <f>AND(Bills!N453,"AAAAAGzM640=")</f>
        <v>#VALUE!</v>
      </c>
      <c r="EM122" t="e">
        <f>AND(Bills!O453,"AAAAAGzM644=")</f>
        <v>#VALUE!</v>
      </c>
      <c r="EN122" t="e">
        <f>AND(Bills!P453,"AAAAAGzM648=")</f>
        <v>#VALUE!</v>
      </c>
      <c r="EO122" t="e">
        <f>AND(Bills!Q453,"AAAAAGzM65A=")</f>
        <v>#VALUE!</v>
      </c>
      <c r="EP122" t="e">
        <f>AND(Bills!R453,"AAAAAGzM65E=")</f>
        <v>#VALUE!</v>
      </c>
      <c r="EQ122" t="e">
        <f>AND(Bills!S453,"AAAAAGzM65I=")</f>
        <v>#VALUE!</v>
      </c>
      <c r="ER122" t="e">
        <f>AND(Bills!T453,"AAAAAGzM65M=")</f>
        <v>#VALUE!</v>
      </c>
      <c r="ES122" t="e">
        <f>AND(Bills!#REF!,"AAAAAGzM65Q=")</f>
        <v>#REF!</v>
      </c>
      <c r="ET122" t="e">
        <f>AND(Bills!U453,"AAAAAGzM65U=")</f>
        <v>#VALUE!</v>
      </c>
      <c r="EU122" t="e">
        <f>AND(Bills!V453,"AAAAAGzM65Y=")</f>
        <v>#VALUE!</v>
      </c>
      <c r="EV122" t="e">
        <f>AND(Bills!W453,"AAAAAGzM65c=")</f>
        <v>#VALUE!</v>
      </c>
      <c r="EW122" t="e">
        <f>AND(Bills!#REF!,"AAAAAGzM65g=")</f>
        <v>#REF!</v>
      </c>
      <c r="EX122" t="e">
        <f>AND(Bills!#REF!,"AAAAAGzM65k=")</f>
        <v>#REF!</v>
      </c>
      <c r="EY122" t="e">
        <f>AND(Bills!Y453,"AAAAAGzM65o=")</f>
        <v>#VALUE!</v>
      </c>
      <c r="EZ122" t="e">
        <f>AND(Bills!Z453,"AAAAAGzM65s=")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AND(Bills!AA453,"AAAAAGzM66U=")</f>
        <v>#VALUE!</v>
      </c>
      <c r="FK122" t="e">
        <f>AND(Bills!AB453,"AAAAAGzM66Y=")</f>
        <v>#VALUE!</v>
      </c>
      <c r="FL122" t="e">
        <f>AND(Bills!#REF!,"AAAAAGzM66c=")</f>
        <v>#REF!</v>
      </c>
      <c r="FM122" t="e">
        <f>AND(Bills!#REF!,"AAAAAGzM66g=")</f>
        <v>#REF!</v>
      </c>
      <c r="FN122" t="e">
        <f>AND(Bills!#REF!,"AAAAAGzM66k=")</f>
        <v>#REF!</v>
      </c>
      <c r="FO122" t="e">
        <f>AND(Bills!AC453,"AAAAAGzM66o=")</f>
        <v>#VALUE!</v>
      </c>
      <c r="FP122" t="e">
        <f>AND(Bills!AD453,"AAAAAGzM66s=")</f>
        <v>#VALUE!</v>
      </c>
      <c r="FQ122" t="e">
        <f>AND(Bills!#REF!,"AAAAAGzM66w=")</f>
        <v>#REF!</v>
      </c>
      <c r="FR122">
        <f>IF(Bills!454:454,"AAAAAGzM660=",0)</f>
        <v>0</v>
      </c>
      <c r="FS122" t="e">
        <f>AND(Bills!B454,"AAAAAGzM664=")</f>
        <v>#VALUE!</v>
      </c>
      <c r="FT122" t="e">
        <f>AND(Bills!#REF!,"AAAAAGzM668=")</f>
        <v>#REF!</v>
      </c>
      <c r="FU122" t="e">
        <f>AND(Bills!C454,"AAAAAGzM67A=")</f>
        <v>#VALUE!</v>
      </c>
      <c r="FV122" t="e">
        <f>AND(Bills!D454,"AAAAAGzM67E=")</f>
        <v>#VALUE!</v>
      </c>
      <c r="FW122" t="e">
        <f>AND(Bills!E454,"AAAAAGzM67I=")</f>
        <v>#VALUE!</v>
      </c>
      <c r="FX122" t="e">
        <f>AND(Bills!#REF!,"AAAAAGzM67M=")</f>
        <v>#REF!</v>
      </c>
      <c r="FY122" t="e">
        <f>AND(Bills!#REF!,"AAAAAGzM67Q=")</f>
        <v>#REF!</v>
      </c>
      <c r="FZ122" t="e">
        <f>AND(Bills!#REF!,"AAAAAGzM67U=")</f>
        <v>#REF!</v>
      </c>
      <c r="GA122" t="e">
        <f>AND(Bills!F454,"AAAAAGzM67Y=")</f>
        <v>#VALUE!</v>
      </c>
      <c r="GB122" t="e">
        <f>AND(Bills!#REF!,"AAAAAGzM67c=")</f>
        <v>#REF!</v>
      </c>
      <c r="GC122" t="e">
        <f>AND(Bills!G454,"AAAAAGzM67g=")</f>
        <v>#VALUE!</v>
      </c>
      <c r="GD122" t="e">
        <f>AND(Bills!H454,"AAAAAGzM67k=")</f>
        <v>#VALUE!</v>
      </c>
      <c r="GE122" t="e">
        <f>AND(Bills!I454,"AAAAAGzM67o=")</f>
        <v>#VALUE!</v>
      </c>
      <c r="GF122" t="e">
        <f>AND(Bills!J454,"AAAAAGzM67s=")</f>
        <v>#VALUE!</v>
      </c>
      <c r="GG122" t="e">
        <f>AND(Bills!K454,"AAAAAGzM67w=")</f>
        <v>#VALUE!</v>
      </c>
      <c r="GH122" t="e">
        <f>AND(Bills!L454,"AAAAAGzM670=")</f>
        <v>#VALUE!</v>
      </c>
      <c r="GI122" t="e">
        <f>AND(Bills!#REF!,"AAAAAGzM674=")</f>
        <v>#REF!</v>
      </c>
      <c r="GJ122" t="e">
        <f>AND(Bills!M454,"AAAAAGzM678=")</f>
        <v>#VALUE!</v>
      </c>
      <c r="GK122" t="e">
        <f>AND(Bills!N454,"AAAAAGzM68A=")</f>
        <v>#VALUE!</v>
      </c>
      <c r="GL122" t="e">
        <f>AND(Bills!O454,"AAAAAGzM68E=")</f>
        <v>#VALUE!</v>
      </c>
      <c r="GM122" t="e">
        <f>AND(Bills!P454,"AAAAAGzM68I=")</f>
        <v>#VALUE!</v>
      </c>
      <c r="GN122" t="e">
        <f>AND(Bills!Q454,"AAAAAGzM68M=")</f>
        <v>#VALUE!</v>
      </c>
      <c r="GO122" t="e">
        <f>AND(Bills!R454,"AAAAAGzM68Q=")</f>
        <v>#VALUE!</v>
      </c>
      <c r="GP122" t="e">
        <f>AND(Bills!S454,"AAAAAGzM68U=")</f>
        <v>#VALUE!</v>
      </c>
      <c r="GQ122" t="e">
        <f>AND(Bills!T454,"AAAAAGzM68Y=")</f>
        <v>#VALUE!</v>
      </c>
      <c r="GR122" t="e">
        <f>AND(Bills!#REF!,"AAAAAGzM68c=")</f>
        <v>#REF!</v>
      </c>
      <c r="GS122" t="e">
        <f>AND(Bills!U454,"AAAAAGzM68g=")</f>
        <v>#VALUE!</v>
      </c>
      <c r="GT122" t="e">
        <f>AND(Bills!V454,"AAAAAGzM68k=")</f>
        <v>#VALUE!</v>
      </c>
      <c r="GU122" t="e">
        <f>AND(Bills!W454,"AAAAAGzM68o=")</f>
        <v>#VALUE!</v>
      </c>
      <c r="GV122" t="e">
        <f>AND(Bills!#REF!,"AAAAAGzM68s=")</f>
        <v>#REF!</v>
      </c>
      <c r="GW122" t="e">
        <f>AND(Bills!#REF!,"AAAAAGzM68w=")</f>
        <v>#REF!</v>
      </c>
      <c r="GX122" t="e">
        <f>AND(Bills!Y454,"AAAAAGzM680=")</f>
        <v>#VALUE!</v>
      </c>
      <c r="GY122" t="e">
        <f>AND(Bills!Z454,"AAAAAGzM684=")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AND(Bills!AA454,"AAAAAGzM69g=")</f>
        <v>#VALUE!</v>
      </c>
      <c r="HJ122" t="e">
        <f>AND(Bills!AB454,"AAAAAGzM69k=")</f>
        <v>#VALUE!</v>
      </c>
      <c r="HK122" t="e">
        <f>AND(Bills!#REF!,"AAAAAGzM69o=")</f>
        <v>#REF!</v>
      </c>
      <c r="HL122" t="e">
        <f>AND(Bills!#REF!,"AAAAAGzM69s=")</f>
        <v>#REF!</v>
      </c>
      <c r="HM122" t="e">
        <f>AND(Bills!#REF!,"AAAAAGzM69w=")</f>
        <v>#REF!</v>
      </c>
      <c r="HN122" t="e">
        <f>AND(Bills!AC454,"AAAAAGzM690=")</f>
        <v>#VALUE!</v>
      </c>
      <c r="HO122" t="e">
        <f>AND(Bills!AD454,"AAAAAGzM694=")</f>
        <v>#VALUE!</v>
      </c>
      <c r="HP122" t="e">
        <f>AND(Bills!#REF!,"AAAAAGzM698=")</f>
        <v>#REF!</v>
      </c>
      <c r="HQ122">
        <f>IF(Bills!455:455,"AAAAAGzM6+A=",0)</f>
        <v>0</v>
      </c>
      <c r="HR122" t="e">
        <f>AND(Bills!B455,"AAAAAGzM6+E=")</f>
        <v>#VALUE!</v>
      </c>
      <c r="HS122" t="e">
        <f>AND(Bills!#REF!,"AAAAAGzM6+I=")</f>
        <v>#REF!</v>
      </c>
      <c r="HT122" t="e">
        <f>AND(Bills!C455,"AAAAAGzM6+M=")</f>
        <v>#VALUE!</v>
      </c>
      <c r="HU122" t="e">
        <f>AND(Bills!D455,"AAAAAGzM6+Q=")</f>
        <v>#VALUE!</v>
      </c>
      <c r="HV122" t="e">
        <f>AND(Bills!E455,"AAAAAGzM6+U=")</f>
        <v>#VALUE!</v>
      </c>
      <c r="HW122" t="e">
        <f>AND(Bills!#REF!,"AAAAAGzM6+Y=")</f>
        <v>#REF!</v>
      </c>
      <c r="HX122" t="e">
        <f>AND(Bills!#REF!,"AAAAAGzM6+c=")</f>
        <v>#REF!</v>
      </c>
      <c r="HY122" t="e">
        <f>AND(Bills!#REF!,"AAAAAGzM6+g=")</f>
        <v>#REF!</v>
      </c>
      <c r="HZ122" t="e">
        <f>AND(Bills!F455,"AAAAAGzM6+k=")</f>
        <v>#VALUE!</v>
      </c>
      <c r="IA122" t="e">
        <f>AND(Bills!#REF!,"AAAAAGzM6+o=")</f>
        <v>#REF!</v>
      </c>
      <c r="IB122" t="e">
        <f>AND(Bills!G455,"AAAAAGzM6+s=")</f>
        <v>#VALUE!</v>
      </c>
      <c r="IC122" t="e">
        <f>AND(Bills!H455,"AAAAAGzM6+w=")</f>
        <v>#VALUE!</v>
      </c>
      <c r="ID122" t="e">
        <f>AND(Bills!I455,"AAAAAGzM6+0=")</f>
        <v>#VALUE!</v>
      </c>
      <c r="IE122" t="e">
        <f>AND(Bills!J455,"AAAAAGzM6+4=")</f>
        <v>#VALUE!</v>
      </c>
      <c r="IF122" t="e">
        <f>AND(Bills!K455,"AAAAAGzM6+8=")</f>
        <v>#VALUE!</v>
      </c>
      <c r="IG122" t="e">
        <f>AND(Bills!L455,"AAAAAGzM6/A=")</f>
        <v>#VALUE!</v>
      </c>
      <c r="IH122" t="e">
        <f>AND(Bills!#REF!,"AAAAAGzM6/E=")</f>
        <v>#REF!</v>
      </c>
      <c r="II122" t="e">
        <f>AND(Bills!M455,"AAAAAGzM6/I=")</f>
        <v>#VALUE!</v>
      </c>
      <c r="IJ122" t="e">
        <f>AND(Bills!N455,"AAAAAGzM6/M=")</f>
        <v>#VALUE!</v>
      </c>
      <c r="IK122" t="e">
        <f>AND(Bills!O455,"AAAAAGzM6/Q=")</f>
        <v>#VALUE!</v>
      </c>
      <c r="IL122" t="e">
        <f>AND(Bills!P455,"AAAAAGzM6/U=")</f>
        <v>#VALUE!</v>
      </c>
      <c r="IM122" t="e">
        <f>AND(Bills!Q455,"AAAAAGzM6/Y=")</f>
        <v>#VALUE!</v>
      </c>
      <c r="IN122" t="e">
        <f>AND(Bills!R455,"AAAAAGzM6/c=")</f>
        <v>#VALUE!</v>
      </c>
      <c r="IO122" t="e">
        <f>AND(Bills!S455,"AAAAAGzM6/g=")</f>
        <v>#VALUE!</v>
      </c>
      <c r="IP122" t="e">
        <f>AND(Bills!T455,"AAAAAGzM6/k=")</f>
        <v>#VALUE!</v>
      </c>
      <c r="IQ122" t="e">
        <f>AND(Bills!#REF!,"AAAAAGzM6/o=")</f>
        <v>#REF!</v>
      </c>
      <c r="IR122" t="e">
        <f>AND(Bills!U455,"AAAAAGzM6/s=")</f>
        <v>#VALUE!</v>
      </c>
      <c r="IS122" t="e">
        <f>AND(Bills!V455,"AAAAAGzM6/w=")</f>
        <v>#VALUE!</v>
      </c>
      <c r="IT122" t="e">
        <f>AND(Bills!W455,"AAAAAGzM6/0=")</f>
        <v>#VALUE!</v>
      </c>
      <c r="IU122" t="e">
        <f>AND(Bills!#REF!,"AAAAAGzM6/4=")</f>
        <v>#REF!</v>
      </c>
      <c r="IV122" t="e">
        <f>AND(Bills!#REF!,"AAAAAGzM6/8=")</f>
        <v>#REF!</v>
      </c>
    </row>
    <row r="123" spans="1:256">
      <c r="A123" t="e">
        <f>AND(Bills!Y455,"AAAAAD/9/QA=")</f>
        <v>#VALUE!</v>
      </c>
      <c r="B123" t="e">
        <f>AND(Bills!Z455,"AAAAAD/9/QE=")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AND(Bills!AA455,"AAAAAD/9/Qs=")</f>
        <v>#VALUE!</v>
      </c>
      <c r="M123" t="e">
        <f>AND(Bills!AB455,"AAAAAD/9/Qw=")</f>
        <v>#VALUE!</v>
      </c>
      <c r="N123" t="e">
        <f>AND(Bills!#REF!,"AAAAAD/9/Q0=")</f>
        <v>#REF!</v>
      </c>
      <c r="O123" t="e">
        <f>AND(Bills!#REF!,"AAAAAD/9/Q4=")</f>
        <v>#REF!</v>
      </c>
      <c r="P123" t="e">
        <f>AND(Bills!#REF!,"AAAAAD/9/Q8=")</f>
        <v>#REF!</v>
      </c>
      <c r="Q123" t="e">
        <f>AND(Bills!AC455,"AAAAAD/9/RA=")</f>
        <v>#VALUE!</v>
      </c>
      <c r="R123" t="e">
        <f>AND(Bills!AD455,"AAAAAD/9/RE=")</f>
        <v>#VALUE!</v>
      </c>
      <c r="S123" t="e">
        <f>AND(Bills!#REF!,"AAAAAD/9/RI=")</f>
        <v>#REF!</v>
      </c>
      <c r="T123">
        <f>IF(Bills!456:456,"AAAAAD/9/RM=",0)</f>
        <v>0</v>
      </c>
      <c r="U123" t="e">
        <f>AND(Bills!B456,"AAAAAD/9/RQ=")</f>
        <v>#VALUE!</v>
      </c>
      <c r="V123" t="e">
        <f>AND(Bills!#REF!,"AAAAAD/9/RU=")</f>
        <v>#REF!</v>
      </c>
      <c r="W123" t="e">
        <f>AND(Bills!C456,"AAAAAD/9/RY=")</f>
        <v>#VALUE!</v>
      </c>
      <c r="X123" t="e">
        <f>AND(Bills!D456,"AAAAAD/9/Rc=")</f>
        <v>#VALUE!</v>
      </c>
      <c r="Y123" t="e">
        <f>AND(Bills!E456,"AAAAAD/9/Rg=")</f>
        <v>#VALUE!</v>
      </c>
      <c r="Z123" t="e">
        <f>AND(Bills!#REF!,"AAAAAD/9/Rk=")</f>
        <v>#REF!</v>
      </c>
      <c r="AA123" t="e">
        <f>AND(Bills!#REF!,"AAAAAD/9/Ro=")</f>
        <v>#REF!</v>
      </c>
      <c r="AB123" t="e">
        <f>AND(Bills!#REF!,"AAAAAD/9/Rs=")</f>
        <v>#REF!</v>
      </c>
      <c r="AC123" t="e">
        <f>AND(Bills!F456,"AAAAAD/9/Rw=")</f>
        <v>#VALUE!</v>
      </c>
      <c r="AD123" t="e">
        <f>AND(Bills!#REF!,"AAAAAD/9/R0=")</f>
        <v>#REF!</v>
      </c>
      <c r="AE123" t="e">
        <f>AND(Bills!G456,"AAAAAD/9/R4=")</f>
        <v>#VALUE!</v>
      </c>
      <c r="AF123" t="e">
        <f>AND(Bills!H456,"AAAAAD/9/R8=")</f>
        <v>#VALUE!</v>
      </c>
      <c r="AG123" t="e">
        <f>AND(Bills!I456,"AAAAAD/9/SA=")</f>
        <v>#VALUE!</v>
      </c>
      <c r="AH123" t="e">
        <f>AND(Bills!J456,"AAAAAD/9/SE=")</f>
        <v>#VALUE!</v>
      </c>
      <c r="AI123" t="e">
        <f>AND(Bills!K456,"AAAAAD/9/SI=")</f>
        <v>#VALUE!</v>
      </c>
      <c r="AJ123" t="e">
        <f>AND(Bills!L456,"AAAAAD/9/SM=")</f>
        <v>#VALUE!</v>
      </c>
      <c r="AK123" t="e">
        <f>AND(Bills!#REF!,"AAAAAD/9/SQ=")</f>
        <v>#REF!</v>
      </c>
      <c r="AL123" t="e">
        <f>AND(Bills!M456,"AAAAAD/9/SU=")</f>
        <v>#VALUE!</v>
      </c>
      <c r="AM123" t="e">
        <f>AND(Bills!N456,"AAAAAD/9/SY=")</f>
        <v>#VALUE!</v>
      </c>
      <c r="AN123" t="e">
        <f>AND(Bills!O456,"AAAAAD/9/Sc=")</f>
        <v>#VALUE!</v>
      </c>
      <c r="AO123" t="e">
        <f>AND(Bills!P456,"AAAAAD/9/Sg=")</f>
        <v>#VALUE!</v>
      </c>
      <c r="AP123" t="e">
        <f>AND(Bills!Q456,"AAAAAD/9/Sk=")</f>
        <v>#VALUE!</v>
      </c>
      <c r="AQ123" t="e">
        <f>AND(Bills!R456,"AAAAAD/9/So=")</f>
        <v>#VALUE!</v>
      </c>
      <c r="AR123" t="e">
        <f>AND(Bills!S456,"AAAAAD/9/Ss=")</f>
        <v>#VALUE!</v>
      </c>
      <c r="AS123" t="e">
        <f>AND(Bills!T456,"AAAAAD/9/Sw=")</f>
        <v>#VALUE!</v>
      </c>
      <c r="AT123" t="e">
        <f>AND(Bills!#REF!,"AAAAAD/9/S0=")</f>
        <v>#REF!</v>
      </c>
      <c r="AU123" t="e">
        <f>AND(Bills!U456,"AAAAAD/9/S4=")</f>
        <v>#VALUE!</v>
      </c>
      <c r="AV123" t="e">
        <f>AND(Bills!V456,"AAAAAD/9/S8=")</f>
        <v>#VALUE!</v>
      </c>
      <c r="AW123" t="e">
        <f>AND(Bills!W456,"AAAAAD/9/TA=")</f>
        <v>#VALUE!</v>
      </c>
      <c r="AX123" t="e">
        <f>AND(Bills!#REF!,"AAAAAD/9/TE=")</f>
        <v>#REF!</v>
      </c>
      <c r="AY123" t="e">
        <f>AND(Bills!#REF!,"AAAAAD/9/TI=")</f>
        <v>#REF!</v>
      </c>
      <c r="AZ123" t="e">
        <f>AND(Bills!Y456,"AAAAAD/9/TM=")</f>
        <v>#VALUE!</v>
      </c>
      <c r="BA123" t="e">
        <f>AND(Bills!Z456,"AAAAAD/9/TQ=")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AND(Bills!AA456,"AAAAAD/9/T4=")</f>
        <v>#VALUE!</v>
      </c>
      <c r="BL123" t="e">
        <f>AND(Bills!AB456,"AAAAAD/9/T8=")</f>
        <v>#VALUE!</v>
      </c>
      <c r="BM123" t="e">
        <f>AND(Bills!#REF!,"AAAAAD/9/UA=")</f>
        <v>#REF!</v>
      </c>
      <c r="BN123" t="e">
        <f>AND(Bills!#REF!,"AAAAAD/9/UE=")</f>
        <v>#REF!</v>
      </c>
      <c r="BO123" t="e">
        <f>AND(Bills!#REF!,"AAAAAD/9/UI=")</f>
        <v>#REF!</v>
      </c>
      <c r="BP123" t="e">
        <f>AND(Bills!AC456,"AAAAAD/9/UM=")</f>
        <v>#VALUE!</v>
      </c>
      <c r="BQ123" t="e">
        <f>AND(Bills!AD456,"AAAAAD/9/UQ=")</f>
        <v>#VALUE!</v>
      </c>
      <c r="BR123" t="e">
        <f>AND(Bills!#REF!,"AAAAAD/9/UU=")</f>
        <v>#REF!</v>
      </c>
      <c r="BS123">
        <f>IF(Bills!457:457,"AAAAAD/9/UY=",0)</f>
        <v>0</v>
      </c>
      <c r="BT123" t="e">
        <f>AND(Bills!B457,"AAAAAD/9/Uc=")</f>
        <v>#VALUE!</v>
      </c>
      <c r="BU123" t="e">
        <f>AND(Bills!#REF!,"AAAAAD/9/Ug=")</f>
        <v>#REF!</v>
      </c>
      <c r="BV123" t="e">
        <f>AND(Bills!C457,"AAAAAD/9/Uk=")</f>
        <v>#VALUE!</v>
      </c>
      <c r="BW123" t="e">
        <f>AND(Bills!D457,"AAAAAD/9/Uo=")</f>
        <v>#VALUE!</v>
      </c>
      <c r="BX123" t="e">
        <f>AND(Bills!E457,"AAAAAD/9/Us=")</f>
        <v>#VALUE!</v>
      </c>
      <c r="BY123" t="e">
        <f>AND(Bills!#REF!,"AAAAAD/9/Uw=")</f>
        <v>#REF!</v>
      </c>
      <c r="BZ123" t="e">
        <f>AND(Bills!#REF!,"AAAAAD/9/U0=")</f>
        <v>#REF!</v>
      </c>
      <c r="CA123" t="e">
        <f>AND(Bills!#REF!,"AAAAAD/9/U4=")</f>
        <v>#REF!</v>
      </c>
      <c r="CB123" t="e">
        <f>AND(Bills!F457,"AAAAAD/9/U8=")</f>
        <v>#VALUE!</v>
      </c>
      <c r="CC123" t="e">
        <f>AND(Bills!#REF!,"AAAAAD/9/VA=")</f>
        <v>#REF!</v>
      </c>
      <c r="CD123" t="e">
        <f>AND(Bills!G457,"AAAAAD/9/VE=")</f>
        <v>#VALUE!</v>
      </c>
      <c r="CE123" t="e">
        <f>AND(Bills!H457,"AAAAAD/9/VI=")</f>
        <v>#VALUE!</v>
      </c>
      <c r="CF123" t="e">
        <f>AND(Bills!I457,"AAAAAD/9/VM=")</f>
        <v>#VALUE!</v>
      </c>
      <c r="CG123" t="e">
        <f>AND(Bills!J457,"AAAAAD/9/VQ=")</f>
        <v>#VALUE!</v>
      </c>
      <c r="CH123" t="e">
        <f>AND(Bills!K457,"AAAAAD/9/VU=")</f>
        <v>#VALUE!</v>
      </c>
      <c r="CI123" t="e">
        <f>AND(Bills!L457,"AAAAAD/9/VY=")</f>
        <v>#VALUE!</v>
      </c>
      <c r="CJ123" t="e">
        <f>AND(Bills!#REF!,"AAAAAD/9/Vc=")</f>
        <v>#REF!</v>
      </c>
      <c r="CK123" t="e">
        <f>AND(Bills!M457,"AAAAAD/9/Vg=")</f>
        <v>#VALUE!</v>
      </c>
      <c r="CL123" t="e">
        <f>AND(Bills!N457,"AAAAAD/9/Vk=")</f>
        <v>#VALUE!</v>
      </c>
      <c r="CM123" t="e">
        <f>AND(Bills!O457,"AAAAAD/9/Vo=")</f>
        <v>#VALUE!</v>
      </c>
      <c r="CN123" t="e">
        <f>AND(Bills!P457,"AAAAAD/9/Vs=")</f>
        <v>#VALUE!</v>
      </c>
      <c r="CO123" t="e">
        <f>AND(Bills!Q457,"AAAAAD/9/Vw=")</f>
        <v>#VALUE!</v>
      </c>
      <c r="CP123" t="e">
        <f>AND(Bills!R457,"AAAAAD/9/V0=")</f>
        <v>#VALUE!</v>
      </c>
      <c r="CQ123" t="e">
        <f>AND(Bills!S457,"AAAAAD/9/V4=")</f>
        <v>#VALUE!</v>
      </c>
      <c r="CR123" t="e">
        <f>AND(Bills!T457,"AAAAAD/9/V8=")</f>
        <v>#VALUE!</v>
      </c>
      <c r="CS123" t="e">
        <f>AND(Bills!#REF!,"AAAAAD/9/WA=")</f>
        <v>#REF!</v>
      </c>
      <c r="CT123" t="e">
        <f>AND(Bills!U457,"AAAAAD/9/WE=")</f>
        <v>#VALUE!</v>
      </c>
      <c r="CU123" t="e">
        <f>AND(Bills!V457,"AAAAAD/9/WI=")</f>
        <v>#VALUE!</v>
      </c>
      <c r="CV123" t="e">
        <f>AND(Bills!W457,"AAAAAD/9/WM=")</f>
        <v>#VALUE!</v>
      </c>
      <c r="CW123" t="e">
        <f>AND(Bills!#REF!,"AAAAAD/9/WQ=")</f>
        <v>#REF!</v>
      </c>
      <c r="CX123" t="e">
        <f>AND(Bills!#REF!,"AAAAAD/9/WU=")</f>
        <v>#REF!</v>
      </c>
      <c r="CY123" t="e">
        <f>AND(Bills!Y457,"AAAAAD/9/WY=")</f>
        <v>#VALUE!</v>
      </c>
      <c r="CZ123" t="e">
        <f>AND(Bills!Z457,"AAAAAD/9/Wc=")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AND(Bills!AA457,"AAAAAD/9/XE=")</f>
        <v>#VALUE!</v>
      </c>
      <c r="DK123" t="e">
        <f>AND(Bills!AB457,"AAAAAD/9/XI=")</f>
        <v>#VALUE!</v>
      </c>
      <c r="DL123" t="e">
        <f>AND(Bills!#REF!,"AAAAAD/9/XM=")</f>
        <v>#REF!</v>
      </c>
      <c r="DM123" t="e">
        <f>AND(Bills!#REF!,"AAAAAD/9/XQ=")</f>
        <v>#REF!</v>
      </c>
      <c r="DN123" t="e">
        <f>AND(Bills!#REF!,"AAAAAD/9/XU=")</f>
        <v>#REF!</v>
      </c>
      <c r="DO123" t="e">
        <f>AND(Bills!AC457,"AAAAAD/9/XY=")</f>
        <v>#VALUE!</v>
      </c>
      <c r="DP123" t="e">
        <f>AND(Bills!AD457,"AAAAAD/9/Xc=")</f>
        <v>#VALUE!</v>
      </c>
      <c r="DQ123" t="e">
        <f>AND(Bills!#REF!,"AAAAAD/9/Xg=")</f>
        <v>#REF!</v>
      </c>
      <c r="DR123">
        <f>IF(Bills!458:458,"AAAAAD/9/Xk=",0)</f>
        <v>0</v>
      </c>
      <c r="DS123" t="e">
        <f>AND(Bills!B458,"AAAAAD/9/Xo=")</f>
        <v>#VALUE!</v>
      </c>
      <c r="DT123" t="e">
        <f>AND(Bills!#REF!,"AAAAAD/9/Xs=")</f>
        <v>#REF!</v>
      </c>
      <c r="DU123" t="e">
        <f>AND(Bills!C458,"AAAAAD/9/Xw=")</f>
        <v>#VALUE!</v>
      </c>
      <c r="DV123" t="e">
        <f>AND(Bills!D458,"AAAAAD/9/X0=")</f>
        <v>#VALUE!</v>
      </c>
      <c r="DW123" t="e">
        <f>AND(Bills!E458,"AAAAAD/9/X4=")</f>
        <v>#VALUE!</v>
      </c>
      <c r="DX123" t="e">
        <f>AND(Bills!#REF!,"AAAAAD/9/X8=")</f>
        <v>#REF!</v>
      </c>
      <c r="DY123" t="e">
        <f>AND(Bills!#REF!,"AAAAAD/9/YA=")</f>
        <v>#REF!</v>
      </c>
      <c r="DZ123" t="e">
        <f>AND(Bills!#REF!,"AAAAAD/9/YE=")</f>
        <v>#REF!</v>
      </c>
      <c r="EA123" t="e">
        <f>AND(Bills!F458,"AAAAAD/9/YI=")</f>
        <v>#VALUE!</v>
      </c>
      <c r="EB123" t="e">
        <f>AND(Bills!#REF!,"AAAAAD/9/YM=")</f>
        <v>#REF!</v>
      </c>
      <c r="EC123" t="e">
        <f>AND(Bills!G458,"AAAAAD/9/YQ=")</f>
        <v>#VALUE!</v>
      </c>
      <c r="ED123" t="e">
        <f>AND(Bills!H458,"AAAAAD/9/YU=")</f>
        <v>#VALUE!</v>
      </c>
      <c r="EE123" t="e">
        <f>AND(Bills!I458,"AAAAAD/9/YY=")</f>
        <v>#VALUE!</v>
      </c>
      <c r="EF123" t="e">
        <f>AND(Bills!J458,"AAAAAD/9/Yc=")</f>
        <v>#VALUE!</v>
      </c>
      <c r="EG123" t="e">
        <f>AND(Bills!K458,"AAAAAD/9/Yg=")</f>
        <v>#VALUE!</v>
      </c>
      <c r="EH123" t="e">
        <f>AND(Bills!L458,"AAAAAD/9/Yk=")</f>
        <v>#VALUE!</v>
      </c>
      <c r="EI123" t="e">
        <f>AND(Bills!#REF!,"AAAAAD/9/Yo=")</f>
        <v>#REF!</v>
      </c>
      <c r="EJ123" t="e">
        <f>AND(Bills!M458,"AAAAAD/9/Ys=")</f>
        <v>#VALUE!</v>
      </c>
      <c r="EK123" t="e">
        <f>AND(Bills!N458,"AAAAAD/9/Yw=")</f>
        <v>#VALUE!</v>
      </c>
      <c r="EL123" t="e">
        <f>AND(Bills!O458,"AAAAAD/9/Y0=")</f>
        <v>#VALUE!</v>
      </c>
      <c r="EM123" t="e">
        <f>AND(Bills!P458,"AAAAAD/9/Y4=")</f>
        <v>#VALUE!</v>
      </c>
      <c r="EN123" t="e">
        <f>AND(Bills!Q458,"AAAAAD/9/Y8=")</f>
        <v>#VALUE!</v>
      </c>
      <c r="EO123" t="e">
        <f>AND(Bills!R458,"AAAAAD/9/ZA=")</f>
        <v>#VALUE!</v>
      </c>
      <c r="EP123" t="e">
        <f>AND(Bills!S458,"AAAAAD/9/ZE=")</f>
        <v>#VALUE!</v>
      </c>
      <c r="EQ123" t="e">
        <f>AND(Bills!T458,"AAAAAD/9/ZI=")</f>
        <v>#VALUE!</v>
      </c>
      <c r="ER123" t="e">
        <f>AND(Bills!#REF!,"AAAAAD/9/ZM=")</f>
        <v>#REF!</v>
      </c>
      <c r="ES123" t="e">
        <f>AND(Bills!U458,"AAAAAD/9/ZQ=")</f>
        <v>#VALUE!</v>
      </c>
      <c r="ET123" t="e">
        <f>AND(Bills!V458,"AAAAAD/9/ZU=")</f>
        <v>#VALUE!</v>
      </c>
      <c r="EU123" t="e">
        <f>AND(Bills!W458,"AAAAAD/9/ZY=")</f>
        <v>#VALUE!</v>
      </c>
      <c r="EV123" t="e">
        <f>AND(Bills!#REF!,"AAAAAD/9/Zc=")</f>
        <v>#REF!</v>
      </c>
      <c r="EW123" t="e">
        <f>AND(Bills!#REF!,"AAAAAD/9/Zg=")</f>
        <v>#REF!</v>
      </c>
      <c r="EX123" t="e">
        <f>AND(Bills!Y458,"AAAAAD/9/Zk=")</f>
        <v>#VALUE!</v>
      </c>
      <c r="EY123" t="e">
        <f>AND(Bills!Z458,"AAAAAD/9/Zo=")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AND(Bills!AA458,"AAAAAD/9/aQ=")</f>
        <v>#VALUE!</v>
      </c>
      <c r="FJ123" t="e">
        <f>AND(Bills!AB458,"AAAAAD/9/aU=")</f>
        <v>#VALUE!</v>
      </c>
      <c r="FK123" t="e">
        <f>AND(Bills!#REF!,"AAAAAD/9/aY=")</f>
        <v>#REF!</v>
      </c>
      <c r="FL123" t="e">
        <f>AND(Bills!#REF!,"AAAAAD/9/ac=")</f>
        <v>#REF!</v>
      </c>
      <c r="FM123" t="e">
        <f>AND(Bills!#REF!,"AAAAAD/9/ag=")</f>
        <v>#REF!</v>
      </c>
      <c r="FN123" t="e">
        <f>AND(Bills!AC458,"AAAAAD/9/ak=")</f>
        <v>#VALUE!</v>
      </c>
      <c r="FO123" t="e">
        <f>AND(Bills!AD458,"AAAAAD/9/ao=")</f>
        <v>#VALUE!</v>
      </c>
      <c r="FP123" t="e">
        <f>AND(Bills!#REF!,"AAAAAD/9/as=")</f>
        <v>#REF!</v>
      </c>
      <c r="FQ123">
        <f>IF(Bills!459:459,"AAAAAD/9/aw=",0)</f>
        <v>0</v>
      </c>
      <c r="FR123" t="e">
        <f>AND(Bills!B459,"AAAAAD/9/a0=")</f>
        <v>#VALUE!</v>
      </c>
      <c r="FS123" t="e">
        <f>AND(Bills!#REF!,"AAAAAD/9/a4=")</f>
        <v>#REF!</v>
      </c>
      <c r="FT123" t="e">
        <f>AND(Bills!C459,"AAAAAD/9/a8=")</f>
        <v>#VALUE!</v>
      </c>
      <c r="FU123" t="e">
        <f>AND(Bills!D459,"AAAAAD/9/bA=")</f>
        <v>#VALUE!</v>
      </c>
      <c r="FV123" t="e">
        <f>AND(Bills!E459,"AAAAAD/9/bE=")</f>
        <v>#VALUE!</v>
      </c>
      <c r="FW123" t="e">
        <f>AND(Bills!#REF!,"AAAAAD/9/bI=")</f>
        <v>#REF!</v>
      </c>
      <c r="FX123" t="e">
        <f>AND(Bills!#REF!,"AAAAAD/9/bM=")</f>
        <v>#REF!</v>
      </c>
      <c r="FY123" t="e">
        <f>AND(Bills!#REF!,"AAAAAD/9/bQ=")</f>
        <v>#REF!</v>
      </c>
      <c r="FZ123" t="e">
        <f>AND(Bills!F459,"AAAAAD/9/bU=")</f>
        <v>#VALUE!</v>
      </c>
      <c r="GA123" t="e">
        <f>AND(Bills!#REF!,"AAAAAD/9/bY=")</f>
        <v>#REF!</v>
      </c>
      <c r="GB123" t="e">
        <f>AND(Bills!G459,"AAAAAD/9/bc=")</f>
        <v>#VALUE!</v>
      </c>
      <c r="GC123" t="e">
        <f>AND(Bills!H459,"AAAAAD/9/bg=")</f>
        <v>#VALUE!</v>
      </c>
      <c r="GD123" t="e">
        <f>AND(Bills!I459,"AAAAAD/9/bk=")</f>
        <v>#VALUE!</v>
      </c>
      <c r="GE123" t="e">
        <f>AND(Bills!J459,"AAAAAD/9/bo=")</f>
        <v>#VALUE!</v>
      </c>
      <c r="GF123" t="e">
        <f>AND(Bills!K459,"AAAAAD/9/bs=")</f>
        <v>#VALUE!</v>
      </c>
      <c r="GG123" t="e">
        <f>AND(Bills!L459,"AAAAAD/9/bw=")</f>
        <v>#VALUE!</v>
      </c>
      <c r="GH123" t="e">
        <f>AND(Bills!#REF!,"AAAAAD/9/b0=")</f>
        <v>#REF!</v>
      </c>
      <c r="GI123" t="e">
        <f>AND(Bills!M459,"AAAAAD/9/b4=")</f>
        <v>#VALUE!</v>
      </c>
      <c r="GJ123" t="e">
        <f>AND(Bills!N459,"AAAAAD/9/b8=")</f>
        <v>#VALUE!</v>
      </c>
      <c r="GK123" t="e">
        <f>AND(Bills!O459,"AAAAAD/9/cA=")</f>
        <v>#VALUE!</v>
      </c>
      <c r="GL123" t="e">
        <f>AND(Bills!P459,"AAAAAD/9/cE=")</f>
        <v>#VALUE!</v>
      </c>
      <c r="GM123" t="e">
        <f>AND(Bills!Q459,"AAAAAD/9/cI=")</f>
        <v>#VALUE!</v>
      </c>
      <c r="GN123" t="e">
        <f>AND(Bills!R459,"AAAAAD/9/cM=")</f>
        <v>#VALUE!</v>
      </c>
      <c r="GO123" t="e">
        <f>AND(Bills!S459,"AAAAAD/9/cQ=")</f>
        <v>#VALUE!</v>
      </c>
      <c r="GP123" t="e">
        <f>AND(Bills!T459,"AAAAAD/9/cU=")</f>
        <v>#VALUE!</v>
      </c>
      <c r="GQ123" t="e">
        <f>AND(Bills!#REF!,"AAAAAD/9/cY=")</f>
        <v>#REF!</v>
      </c>
      <c r="GR123" t="e">
        <f>AND(Bills!U459,"AAAAAD/9/cc=")</f>
        <v>#VALUE!</v>
      </c>
      <c r="GS123" t="e">
        <f>AND(Bills!V459,"AAAAAD/9/cg=")</f>
        <v>#VALUE!</v>
      </c>
      <c r="GT123" t="e">
        <f>AND(Bills!W459,"AAAAAD/9/ck=")</f>
        <v>#VALUE!</v>
      </c>
      <c r="GU123" t="e">
        <f>AND(Bills!#REF!,"AAAAAD/9/co=")</f>
        <v>#REF!</v>
      </c>
      <c r="GV123" t="e">
        <f>AND(Bills!#REF!,"AAAAAD/9/cs=")</f>
        <v>#REF!</v>
      </c>
      <c r="GW123" t="e">
        <f>AND(Bills!Y459,"AAAAAD/9/cw=")</f>
        <v>#VALUE!</v>
      </c>
      <c r="GX123" t="e">
        <f>AND(Bills!Z459,"AAAAAD/9/c0=")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AND(Bills!AA459,"AAAAAD/9/dc=")</f>
        <v>#VALUE!</v>
      </c>
      <c r="HI123" t="e">
        <f>AND(Bills!AB459,"AAAAAD/9/dg=")</f>
        <v>#VALUE!</v>
      </c>
      <c r="HJ123" t="e">
        <f>AND(Bills!#REF!,"AAAAAD/9/dk=")</f>
        <v>#REF!</v>
      </c>
      <c r="HK123" t="e">
        <f>AND(Bills!#REF!,"AAAAAD/9/do=")</f>
        <v>#REF!</v>
      </c>
      <c r="HL123" t="e">
        <f>AND(Bills!#REF!,"AAAAAD/9/ds=")</f>
        <v>#REF!</v>
      </c>
      <c r="HM123" t="e">
        <f>AND(Bills!AC459,"AAAAAD/9/dw=")</f>
        <v>#VALUE!</v>
      </c>
      <c r="HN123" t="e">
        <f>AND(Bills!AD459,"AAAAAD/9/d0=")</f>
        <v>#VALUE!</v>
      </c>
      <c r="HO123" t="e">
        <f>AND(Bills!#REF!,"AAAAAD/9/d4=")</f>
        <v>#REF!</v>
      </c>
      <c r="HP123">
        <f>IF(Bills!460:460,"AAAAAD/9/d8=",0)</f>
        <v>0</v>
      </c>
      <c r="HQ123" t="e">
        <f>AND(Bills!B460,"AAAAAD/9/eA=")</f>
        <v>#VALUE!</v>
      </c>
      <c r="HR123" t="e">
        <f>AND(Bills!#REF!,"AAAAAD/9/eE=")</f>
        <v>#REF!</v>
      </c>
      <c r="HS123" t="e">
        <f>AND(Bills!C460,"AAAAAD/9/eI=")</f>
        <v>#VALUE!</v>
      </c>
      <c r="HT123" t="e">
        <f>AND(Bills!D460,"AAAAAD/9/eM=")</f>
        <v>#VALUE!</v>
      </c>
      <c r="HU123" t="e">
        <f>AND(Bills!E460,"AAAAAD/9/eQ=")</f>
        <v>#VALUE!</v>
      </c>
      <c r="HV123" t="e">
        <f>AND(Bills!#REF!,"AAAAAD/9/eU=")</f>
        <v>#REF!</v>
      </c>
      <c r="HW123" t="e">
        <f>AND(Bills!#REF!,"AAAAAD/9/eY=")</f>
        <v>#REF!</v>
      </c>
      <c r="HX123" t="e">
        <f>AND(Bills!#REF!,"AAAAAD/9/ec=")</f>
        <v>#REF!</v>
      </c>
      <c r="HY123" t="e">
        <f>AND(Bills!F460,"AAAAAD/9/eg=")</f>
        <v>#VALUE!</v>
      </c>
      <c r="HZ123" t="e">
        <f>AND(Bills!#REF!,"AAAAAD/9/ek=")</f>
        <v>#REF!</v>
      </c>
      <c r="IA123" t="e">
        <f>AND(Bills!G460,"AAAAAD/9/eo=")</f>
        <v>#VALUE!</v>
      </c>
      <c r="IB123" t="e">
        <f>AND(Bills!H460,"AAAAAD/9/es=")</f>
        <v>#VALUE!</v>
      </c>
      <c r="IC123" t="e">
        <f>AND(Bills!I460,"AAAAAD/9/ew=")</f>
        <v>#VALUE!</v>
      </c>
      <c r="ID123" t="e">
        <f>AND(Bills!J460,"AAAAAD/9/e0=")</f>
        <v>#VALUE!</v>
      </c>
      <c r="IE123" t="e">
        <f>AND(Bills!K460,"AAAAAD/9/e4=")</f>
        <v>#VALUE!</v>
      </c>
      <c r="IF123" t="e">
        <f>AND(Bills!L460,"AAAAAD/9/e8=")</f>
        <v>#VALUE!</v>
      </c>
      <c r="IG123" t="e">
        <f>AND(Bills!#REF!,"AAAAAD/9/fA=")</f>
        <v>#REF!</v>
      </c>
      <c r="IH123" t="e">
        <f>AND(Bills!M460,"AAAAAD/9/fE=")</f>
        <v>#VALUE!</v>
      </c>
      <c r="II123" t="e">
        <f>AND(Bills!N460,"AAAAAD/9/fI=")</f>
        <v>#VALUE!</v>
      </c>
      <c r="IJ123" t="e">
        <f>AND(Bills!O460,"AAAAAD/9/fM=")</f>
        <v>#VALUE!</v>
      </c>
      <c r="IK123" t="e">
        <f>AND(Bills!P460,"AAAAAD/9/fQ=")</f>
        <v>#VALUE!</v>
      </c>
      <c r="IL123" t="e">
        <f>AND(Bills!Q460,"AAAAAD/9/fU=")</f>
        <v>#VALUE!</v>
      </c>
      <c r="IM123" t="e">
        <f>AND(Bills!R460,"AAAAAD/9/fY=")</f>
        <v>#VALUE!</v>
      </c>
      <c r="IN123" t="e">
        <f>AND(Bills!S460,"AAAAAD/9/fc=")</f>
        <v>#VALUE!</v>
      </c>
      <c r="IO123" t="e">
        <f>AND(Bills!T460,"AAAAAD/9/fg=")</f>
        <v>#VALUE!</v>
      </c>
      <c r="IP123" t="e">
        <f>AND(Bills!#REF!,"AAAAAD/9/fk=")</f>
        <v>#REF!</v>
      </c>
      <c r="IQ123" t="e">
        <f>AND(Bills!U460,"AAAAAD/9/fo=")</f>
        <v>#VALUE!</v>
      </c>
      <c r="IR123" t="e">
        <f>AND(Bills!V460,"AAAAAD/9/fs=")</f>
        <v>#VALUE!</v>
      </c>
      <c r="IS123" t="e">
        <f>AND(Bills!W460,"AAAAAD/9/fw=")</f>
        <v>#VALUE!</v>
      </c>
      <c r="IT123" t="e">
        <f>AND(Bills!#REF!,"AAAAAD/9/f0=")</f>
        <v>#REF!</v>
      </c>
      <c r="IU123" t="e">
        <f>AND(Bills!#REF!,"AAAAAD/9/f4=")</f>
        <v>#REF!</v>
      </c>
      <c r="IV123" t="e">
        <f>AND(Bills!Y460,"AAAAAD/9/f8=")</f>
        <v>#VALUE!</v>
      </c>
    </row>
    <row r="124" spans="1:256">
      <c r="A124" t="e">
        <f>AND(Bills!Z460,"AAAAAG/9fgA=")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AND(Bills!AA460,"AAAAAG/9fgo=")</f>
        <v>#VALUE!</v>
      </c>
      <c r="L124" t="e">
        <f>AND(Bills!AB460,"AAAAAG/9fgs=")</f>
        <v>#VALUE!</v>
      </c>
      <c r="M124" t="e">
        <f>AND(Bills!#REF!,"AAAAAG/9fgw=")</f>
        <v>#REF!</v>
      </c>
      <c r="N124" t="e">
        <f>AND(Bills!#REF!,"AAAAAG/9fg0=")</f>
        <v>#REF!</v>
      </c>
      <c r="O124" t="e">
        <f>AND(Bills!#REF!,"AAAAAG/9fg4=")</f>
        <v>#REF!</v>
      </c>
      <c r="P124" t="e">
        <f>AND(Bills!AC460,"AAAAAG/9fg8=")</f>
        <v>#VALUE!</v>
      </c>
      <c r="Q124" t="e">
        <f>AND(Bills!AD460,"AAAAAG/9fhA=")</f>
        <v>#VALUE!</v>
      </c>
      <c r="R124" t="e">
        <f>AND(Bills!#REF!,"AAAAAG/9fhE=")</f>
        <v>#REF!</v>
      </c>
      <c r="S124">
        <f>IF(Bills!461:461,"AAAAAG/9fhI=",0)</f>
        <v>0</v>
      </c>
      <c r="T124" t="e">
        <f>AND(Bills!B461,"AAAAAG/9fhM=")</f>
        <v>#VALUE!</v>
      </c>
      <c r="U124" t="e">
        <f>AND(Bills!#REF!,"AAAAAG/9fhQ=")</f>
        <v>#REF!</v>
      </c>
      <c r="V124" t="e">
        <f>AND(Bills!C461,"AAAAAG/9fhU=")</f>
        <v>#VALUE!</v>
      </c>
      <c r="W124" t="e">
        <f>AND(Bills!D461,"AAAAAG/9fhY=")</f>
        <v>#VALUE!</v>
      </c>
      <c r="X124" t="e">
        <f>AND(Bills!E461,"AAAAAG/9fhc=")</f>
        <v>#VALUE!</v>
      </c>
      <c r="Y124" t="e">
        <f>AND(Bills!#REF!,"AAAAAG/9fhg=")</f>
        <v>#REF!</v>
      </c>
      <c r="Z124" t="e">
        <f>AND(Bills!#REF!,"AAAAAG/9fhk=")</f>
        <v>#REF!</v>
      </c>
      <c r="AA124" t="e">
        <f>AND(Bills!#REF!,"AAAAAG/9fho=")</f>
        <v>#REF!</v>
      </c>
      <c r="AB124" t="e">
        <f>AND(Bills!F461,"AAAAAG/9fhs=")</f>
        <v>#VALUE!</v>
      </c>
      <c r="AC124" t="e">
        <f>AND(Bills!#REF!,"AAAAAG/9fhw=")</f>
        <v>#REF!</v>
      </c>
      <c r="AD124" t="e">
        <f>AND(Bills!G461,"AAAAAG/9fh0=")</f>
        <v>#VALUE!</v>
      </c>
      <c r="AE124" t="e">
        <f>AND(Bills!H461,"AAAAAG/9fh4=")</f>
        <v>#VALUE!</v>
      </c>
      <c r="AF124" t="e">
        <f>AND(Bills!I461,"AAAAAG/9fh8=")</f>
        <v>#VALUE!</v>
      </c>
      <c r="AG124" t="e">
        <f>AND(Bills!J461,"AAAAAG/9fiA=")</f>
        <v>#VALUE!</v>
      </c>
      <c r="AH124" t="e">
        <f>AND(Bills!K461,"AAAAAG/9fiE=")</f>
        <v>#VALUE!</v>
      </c>
      <c r="AI124" t="e">
        <f>AND(Bills!L461,"AAAAAG/9fiI=")</f>
        <v>#VALUE!</v>
      </c>
      <c r="AJ124" t="e">
        <f>AND(Bills!#REF!,"AAAAAG/9fiM=")</f>
        <v>#REF!</v>
      </c>
      <c r="AK124" t="e">
        <f>AND(Bills!M461,"AAAAAG/9fiQ=")</f>
        <v>#VALUE!</v>
      </c>
      <c r="AL124" t="e">
        <f>AND(Bills!N461,"AAAAAG/9fiU=")</f>
        <v>#VALUE!</v>
      </c>
      <c r="AM124" t="e">
        <f>AND(Bills!O461,"AAAAAG/9fiY=")</f>
        <v>#VALUE!</v>
      </c>
      <c r="AN124" t="e">
        <f>AND(Bills!P461,"AAAAAG/9fic=")</f>
        <v>#VALUE!</v>
      </c>
      <c r="AO124" t="e">
        <f>AND(Bills!Q461,"AAAAAG/9fig=")</f>
        <v>#VALUE!</v>
      </c>
      <c r="AP124" t="e">
        <f>AND(Bills!R461,"AAAAAG/9fik=")</f>
        <v>#VALUE!</v>
      </c>
      <c r="AQ124" t="e">
        <f>AND(Bills!S461,"AAAAAG/9fio=")</f>
        <v>#VALUE!</v>
      </c>
      <c r="AR124" t="e">
        <f>AND(Bills!T461,"AAAAAG/9fis=")</f>
        <v>#VALUE!</v>
      </c>
      <c r="AS124" t="e">
        <f>AND(Bills!#REF!,"AAAAAG/9fiw=")</f>
        <v>#REF!</v>
      </c>
      <c r="AT124" t="e">
        <f>AND(Bills!U461,"AAAAAG/9fi0=")</f>
        <v>#VALUE!</v>
      </c>
      <c r="AU124" t="e">
        <f>AND(Bills!V461,"AAAAAG/9fi4=")</f>
        <v>#VALUE!</v>
      </c>
      <c r="AV124" t="e">
        <f>AND(Bills!W461,"AAAAAG/9fi8=")</f>
        <v>#VALUE!</v>
      </c>
      <c r="AW124" t="e">
        <f>AND(Bills!#REF!,"AAAAAG/9fjA=")</f>
        <v>#REF!</v>
      </c>
      <c r="AX124" t="e">
        <f>AND(Bills!#REF!,"AAAAAG/9fjE=")</f>
        <v>#REF!</v>
      </c>
      <c r="AY124" t="e">
        <f>AND(Bills!Y461,"AAAAAG/9fjI=")</f>
        <v>#VALUE!</v>
      </c>
      <c r="AZ124" t="e">
        <f>AND(Bills!Z461,"AAAAAG/9fjM=")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AND(Bills!AA461,"AAAAAG/9fj0=")</f>
        <v>#VALUE!</v>
      </c>
      <c r="BK124" t="e">
        <f>AND(Bills!AB461,"AAAAAG/9fj4=")</f>
        <v>#VALUE!</v>
      </c>
      <c r="BL124" t="e">
        <f>AND(Bills!#REF!,"AAAAAG/9fj8=")</f>
        <v>#REF!</v>
      </c>
      <c r="BM124" t="e">
        <f>AND(Bills!#REF!,"AAAAAG/9fkA=")</f>
        <v>#REF!</v>
      </c>
      <c r="BN124" t="e">
        <f>AND(Bills!#REF!,"AAAAAG/9fkE=")</f>
        <v>#REF!</v>
      </c>
      <c r="BO124" t="e">
        <f>AND(Bills!AC461,"AAAAAG/9fkI=")</f>
        <v>#VALUE!</v>
      </c>
      <c r="BP124" t="e">
        <f>AND(Bills!AD461,"AAAAAG/9fkM=")</f>
        <v>#VALUE!</v>
      </c>
      <c r="BQ124" t="e">
        <f>AND(Bills!#REF!,"AAAAAG/9fkQ=")</f>
        <v>#REF!</v>
      </c>
      <c r="BR124">
        <f>IF(Bills!462:462,"AAAAAG/9fkU=",0)</f>
        <v>0</v>
      </c>
      <c r="BS124" t="e">
        <f>AND(Bills!B462,"AAAAAG/9fkY=")</f>
        <v>#VALUE!</v>
      </c>
      <c r="BT124" t="e">
        <f>AND(Bills!#REF!,"AAAAAG/9fkc=")</f>
        <v>#REF!</v>
      </c>
      <c r="BU124" t="e">
        <f>AND(Bills!C462,"AAAAAG/9fkg=")</f>
        <v>#VALUE!</v>
      </c>
      <c r="BV124" t="e">
        <f>AND(Bills!D462,"AAAAAG/9fkk=")</f>
        <v>#VALUE!</v>
      </c>
      <c r="BW124" t="e">
        <f>AND(Bills!E462,"AAAAAG/9fko=")</f>
        <v>#VALUE!</v>
      </c>
      <c r="BX124" t="e">
        <f>AND(Bills!#REF!,"AAAAAG/9fks=")</f>
        <v>#REF!</v>
      </c>
      <c r="BY124" t="e">
        <f>AND(Bills!#REF!,"AAAAAG/9fkw=")</f>
        <v>#REF!</v>
      </c>
      <c r="BZ124" t="e">
        <f>AND(Bills!#REF!,"AAAAAG/9fk0=")</f>
        <v>#REF!</v>
      </c>
      <c r="CA124" t="e">
        <f>AND(Bills!F462,"AAAAAG/9fk4=")</f>
        <v>#VALUE!</v>
      </c>
      <c r="CB124" t="e">
        <f>AND(Bills!#REF!,"AAAAAG/9fk8=")</f>
        <v>#REF!</v>
      </c>
      <c r="CC124" t="e">
        <f>AND(Bills!G462,"AAAAAG/9flA=")</f>
        <v>#VALUE!</v>
      </c>
      <c r="CD124" t="e">
        <f>AND(Bills!H462,"AAAAAG/9flE=")</f>
        <v>#VALUE!</v>
      </c>
      <c r="CE124" t="e">
        <f>AND(Bills!I462,"AAAAAG/9flI=")</f>
        <v>#VALUE!</v>
      </c>
      <c r="CF124" t="e">
        <f>AND(Bills!J462,"AAAAAG/9flM=")</f>
        <v>#VALUE!</v>
      </c>
      <c r="CG124" t="e">
        <f>AND(Bills!K462,"AAAAAG/9flQ=")</f>
        <v>#VALUE!</v>
      </c>
      <c r="CH124" t="e">
        <f>AND(Bills!L462,"AAAAAG/9flU=")</f>
        <v>#VALUE!</v>
      </c>
      <c r="CI124" t="e">
        <f>AND(Bills!#REF!,"AAAAAG/9flY=")</f>
        <v>#REF!</v>
      </c>
      <c r="CJ124" t="e">
        <f>AND(Bills!M462,"AAAAAG/9flc=")</f>
        <v>#VALUE!</v>
      </c>
      <c r="CK124" t="e">
        <f>AND(Bills!N462,"AAAAAG/9flg=")</f>
        <v>#VALUE!</v>
      </c>
      <c r="CL124" t="e">
        <f>AND(Bills!O462,"AAAAAG/9flk=")</f>
        <v>#VALUE!</v>
      </c>
      <c r="CM124" t="e">
        <f>AND(Bills!P462,"AAAAAG/9flo=")</f>
        <v>#VALUE!</v>
      </c>
      <c r="CN124" t="e">
        <f>AND(Bills!Q462,"AAAAAG/9fls=")</f>
        <v>#VALUE!</v>
      </c>
      <c r="CO124" t="e">
        <f>AND(Bills!R462,"AAAAAG/9flw=")</f>
        <v>#VALUE!</v>
      </c>
      <c r="CP124" t="e">
        <f>AND(Bills!S462,"AAAAAG/9fl0=")</f>
        <v>#VALUE!</v>
      </c>
      <c r="CQ124" t="e">
        <f>AND(Bills!T462,"AAAAAG/9fl4=")</f>
        <v>#VALUE!</v>
      </c>
      <c r="CR124" t="e">
        <f>AND(Bills!#REF!,"AAAAAG/9fl8=")</f>
        <v>#REF!</v>
      </c>
      <c r="CS124" t="e">
        <f>AND(Bills!U462,"AAAAAG/9fmA=")</f>
        <v>#VALUE!</v>
      </c>
      <c r="CT124" t="e">
        <f>AND(Bills!V462,"AAAAAG/9fmE=")</f>
        <v>#VALUE!</v>
      </c>
      <c r="CU124" t="e">
        <f>AND(Bills!W462,"AAAAAG/9fmI=")</f>
        <v>#VALUE!</v>
      </c>
      <c r="CV124" t="e">
        <f>AND(Bills!#REF!,"AAAAAG/9fmM=")</f>
        <v>#REF!</v>
      </c>
      <c r="CW124" t="e">
        <f>AND(Bills!#REF!,"AAAAAG/9fmQ=")</f>
        <v>#REF!</v>
      </c>
      <c r="CX124" t="e">
        <f>AND(Bills!Y462,"AAAAAG/9fmU=")</f>
        <v>#VALUE!</v>
      </c>
      <c r="CY124" t="e">
        <f>AND(Bills!Z462,"AAAAAG/9fmY=")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AND(Bills!AA462,"AAAAAG/9fnA=")</f>
        <v>#VALUE!</v>
      </c>
      <c r="DJ124" t="e">
        <f>AND(Bills!AB462,"AAAAAG/9fnE=")</f>
        <v>#VALUE!</v>
      </c>
      <c r="DK124" t="e">
        <f>AND(Bills!#REF!,"AAAAAG/9fnI=")</f>
        <v>#REF!</v>
      </c>
      <c r="DL124" t="e">
        <f>AND(Bills!#REF!,"AAAAAG/9fnM=")</f>
        <v>#REF!</v>
      </c>
      <c r="DM124" t="e">
        <f>AND(Bills!#REF!,"AAAAAG/9fnQ=")</f>
        <v>#REF!</v>
      </c>
      <c r="DN124" t="e">
        <f>AND(Bills!AC462,"AAAAAG/9fnU=")</f>
        <v>#VALUE!</v>
      </c>
      <c r="DO124" t="e">
        <f>AND(Bills!AD462,"AAAAAG/9fnY=")</f>
        <v>#VALUE!</v>
      </c>
      <c r="DP124" t="e">
        <f>AND(Bills!#REF!,"AAAAAG/9fnc=")</f>
        <v>#REF!</v>
      </c>
      <c r="DQ124">
        <f>IF(Bills!463:463,"AAAAAG/9fng=",0)</f>
        <v>0</v>
      </c>
      <c r="DR124" t="e">
        <f>AND(Bills!B463,"AAAAAG/9fnk=")</f>
        <v>#VALUE!</v>
      </c>
      <c r="DS124" t="e">
        <f>AND(Bills!#REF!,"AAAAAG/9fno=")</f>
        <v>#REF!</v>
      </c>
      <c r="DT124" t="e">
        <f>AND(Bills!C463,"AAAAAG/9fns=")</f>
        <v>#VALUE!</v>
      </c>
      <c r="DU124" t="e">
        <f>AND(Bills!D463,"AAAAAG/9fnw=")</f>
        <v>#VALUE!</v>
      </c>
      <c r="DV124" t="e">
        <f>AND(Bills!E463,"AAAAAG/9fn0=")</f>
        <v>#VALUE!</v>
      </c>
      <c r="DW124" t="e">
        <f>AND(Bills!#REF!,"AAAAAG/9fn4=")</f>
        <v>#REF!</v>
      </c>
      <c r="DX124" t="e">
        <f>AND(Bills!#REF!,"AAAAAG/9fn8=")</f>
        <v>#REF!</v>
      </c>
      <c r="DY124" t="e">
        <f>AND(Bills!#REF!,"AAAAAG/9foA=")</f>
        <v>#REF!</v>
      </c>
      <c r="DZ124" t="e">
        <f>AND(Bills!F463,"AAAAAG/9foE=")</f>
        <v>#VALUE!</v>
      </c>
      <c r="EA124" t="e">
        <f>AND(Bills!#REF!,"AAAAAG/9foI=")</f>
        <v>#REF!</v>
      </c>
      <c r="EB124" t="e">
        <f>AND(Bills!G463,"AAAAAG/9foM=")</f>
        <v>#VALUE!</v>
      </c>
      <c r="EC124" t="e">
        <f>AND(Bills!H463,"AAAAAG/9foQ=")</f>
        <v>#VALUE!</v>
      </c>
      <c r="ED124" t="e">
        <f>AND(Bills!I463,"AAAAAG/9foU=")</f>
        <v>#VALUE!</v>
      </c>
      <c r="EE124" t="e">
        <f>AND(Bills!J463,"AAAAAG/9foY=")</f>
        <v>#VALUE!</v>
      </c>
      <c r="EF124" t="e">
        <f>AND(Bills!K463,"AAAAAG/9foc=")</f>
        <v>#VALUE!</v>
      </c>
      <c r="EG124" t="e">
        <f>AND(Bills!L463,"AAAAAG/9fog=")</f>
        <v>#VALUE!</v>
      </c>
      <c r="EH124" t="e">
        <f>AND(Bills!#REF!,"AAAAAG/9fok=")</f>
        <v>#REF!</v>
      </c>
      <c r="EI124" t="e">
        <f>AND(Bills!M463,"AAAAAG/9foo=")</f>
        <v>#VALUE!</v>
      </c>
      <c r="EJ124" t="e">
        <f>AND(Bills!N463,"AAAAAG/9fos=")</f>
        <v>#VALUE!</v>
      </c>
      <c r="EK124" t="e">
        <f>AND(Bills!O463,"AAAAAG/9fow=")</f>
        <v>#VALUE!</v>
      </c>
      <c r="EL124" t="e">
        <f>AND(Bills!P463,"AAAAAG/9fo0=")</f>
        <v>#VALUE!</v>
      </c>
      <c r="EM124" t="e">
        <f>AND(Bills!Q463,"AAAAAG/9fo4=")</f>
        <v>#VALUE!</v>
      </c>
      <c r="EN124" t="e">
        <f>AND(Bills!R463,"AAAAAG/9fo8=")</f>
        <v>#VALUE!</v>
      </c>
      <c r="EO124" t="e">
        <f>AND(Bills!S463,"AAAAAG/9fpA=")</f>
        <v>#VALUE!</v>
      </c>
      <c r="EP124" t="e">
        <f>AND(Bills!T463,"AAAAAG/9fpE=")</f>
        <v>#VALUE!</v>
      </c>
      <c r="EQ124" t="e">
        <f>AND(Bills!#REF!,"AAAAAG/9fpI=")</f>
        <v>#REF!</v>
      </c>
      <c r="ER124" t="e">
        <f>AND(Bills!U463,"AAAAAG/9fpM=")</f>
        <v>#VALUE!</v>
      </c>
      <c r="ES124" t="e">
        <f>AND(Bills!V463,"AAAAAG/9fpQ=")</f>
        <v>#VALUE!</v>
      </c>
      <c r="ET124" t="e">
        <f>AND(Bills!W463,"AAAAAG/9fpU=")</f>
        <v>#VALUE!</v>
      </c>
      <c r="EU124" t="e">
        <f>AND(Bills!#REF!,"AAAAAG/9fpY=")</f>
        <v>#REF!</v>
      </c>
      <c r="EV124" t="e">
        <f>AND(Bills!#REF!,"AAAAAG/9fpc=")</f>
        <v>#REF!</v>
      </c>
      <c r="EW124" t="e">
        <f>AND(Bills!Y463,"AAAAAG/9fpg=")</f>
        <v>#VALUE!</v>
      </c>
      <c r="EX124" t="e">
        <f>AND(Bills!Z463,"AAAAAG/9fpk=")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AND(Bills!AA463,"AAAAAG/9fqM=")</f>
        <v>#VALUE!</v>
      </c>
      <c r="FI124" t="e">
        <f>AND(Bills!AB463,"AAAAAG/9fqQ=")</f>
        <v>#VALUE!</v>
      </c>
      <c r="FJ124" t="e">
        <f>AND(Bills!#REF!,"AAAAAG/9fqU=")</f>
        <v>#REF!</v>
      </c>
      <c r="FK124" t="e">
        <f>AND(Bills!#REF!,"AAAAAG/9fqY=")</f>
        <v>#REF!</v>
      </c>
      <c r="FL124" t="e">
        <f>AND(Bills!#REF!,"AAAAAG/9fqc=")</f>
        <v>#REF!</v>
      </c>
      <c r="FM124" t="e">
        <f>AND(Bills!AC463,"AAAAAG/9fqg=")</f>
        <v>#VALUE!</v>
      </c>
      <c r="FN124" t="e">
        <f>AND(Bills!AD463,"AAAAAG/9fqk=")</f>
        <v>#VALUE!</v>
      </c>
      <c r="FO124" t="e">
        <f>AND(Bills!#REF!,"AAAAAG/9fqo=")</f>
        <v>#REF!</v>
      </c>
      <c r="FP124">
        <f>IF(Bills!464:464,"AAAAAG/9fqs=",0)</f>
        <v>0</v>
      </c>
      <c r="FQ124" t="e">
        <f>AND(Bills!B464,"AAAAAG/9fqw=")</f>
        <v>#VALUE!</v>
      </c>
      <c r="FR124" t="e">
        <f>AND(Bills!#REF!,"AAAAAG/9fq0=")</f>
        <v>#REF!</v>
      </c>
      <c r="FS124" t="e">
        <f>AND(Bills!C464,"AAAAAG/9fq4=")</f>
        <v>#VALUE!</v>
      </c>
      <c r="FT124" t="e">
        <f>AND(Bills!D464,"AAAAAG/9fq8=")</f>
        <v>#VALUE!</v>
      </c>
      <c r="FU124" t="e">
        <f>AND(Bills!E464,"AAAAAG/9frA=")</f>
        <v>#VALUE!</v>
      </c>
      <c r="FV124" t="e">
        <f>AND(Bills!#REF!,"AAAAAG/9frE=")</f>
        <v>#REF!</v>
      </c>
      <c r="FW124" t="e">
        <f>AND(Bills!#REF!,"AAAAAG/9frI=")</f>
        <v>#REF!</v>
      </c>
      <c r="FX124" t="e">
        <f>AND(Bills!#REF!,"AAAAAG/9frM=")</f>
        <v>#REF!</v>
      </c>
      <c r="FY124" t="e">
        <f>AND(Bills!F464,"AAAAAG/9frQ=")</f>
        <v>#VALUE!</v>
      </c>
      <c r="FZ124" t="e">
        <f>AND(Bills!#REF!,"AAAAAG/9frU=")</f>
        <v>#REF!</v>
      </c>
      <c r="GA124" t="e">
        <f>AND(Bills!G464,"AAAAAG/9frY=")</f>
        <v>#VALUE!</v>
      </c>
      <c r="GB124" t="e">
        <f>AND(Bills!H464,"AAAAAG/9frc=")</f>
        <v>#VALUE!</v>
      </c>
      <c r="GC124" t="e">
        <f>AND(Bills!I464,"AAAAAG/9frg=")</f>
        <v>#VALUE!</v>
      </c>
      <c r="GD124" t="e">
        <f>AND(Bills!J464,"AAAAAG/9frk=")</f>
        <v>#VALUE!</v>
      </c>
      <c r="GE124" t="e">
        <f>AND(Bills!K464,"AAAAAG/9fro=")</f>
        <v>#VALUE!</v>
      </c>
      <c r="GF124" t="e">
        <f>AND(Bills!L464,"AAAAAG/9frs=")</f>
        <v>#VALUE!</v>
      </c>
      <c r="GG124" t="e">
        <f>AND(Bills!#REF!,"AAAAAG/9frw=")</f>
        <v>#REF!</v>
      </c>
      <c r="GH124" t="e">
        <f>AND(Bills!M464,"AAAAAG/9fr0=")</f>
        <v>#VALUE!</v>
      </c>
      <c r="GI124" t="e">
        <f>AND(Bills!N464,"AAAAAG/9fr4=")</f>
        <v>#VALUE!</v>
      </c>
      <c r="GJ124" t="e">
        <f>AND(Bills!O464,"AAAAAG/9fr8=")</f>
        <v>#VALUE!</v>
      </c>
      <c r="GK124" t="e">
        <f>AND(Bills!P464,"AAAAAG/9fsA=")</f>
        <v>#VALUE!</v>
      </c>
      <c r="GL124" t="e">
        <f>AND(Bills!Q464,"AAAAAG/9fsE=")</f>
        <v>#VALUE!</v>
      </c>
      <c r="GM124" t="e">
        <f>AND(Bills!R464,"AAAAAG/9fsI=")</f>
        <v>#VALUE!</v>
      </c>
      <c r="GN124" t="e">
        <f>AND(Bills!S464,"AAAAAG/9fsM=")</f>
        <v>#VALUE!</v>
      </c>
      <c r="GO124" t="e">
        <f>AND(Bills!T464,"AAAAAG/9fsQ=")</f>
        <v>#VALUE!</v>
      </c>
      <c r="GP124" t="e">
        <f>AND(Bills!#REF!,"AAAAAG/9fsU=")</f>
        <v>#REF!</v>
      </c>
      <c r="GQ124" t="e">
        <f>AND(Bills!U464,"AAAAAG/9fsY=")</f>
        <v>#VALUE!</v>
      </c>
      <c r="GR124" t="e">
        <f>AND(Bills!V464,"AAAAAG/9fsc=")</f>
        <v>#VALUE!</v>
      </c>
      <c r="GS124" t="e">
        <f>AND(Bills!W464,"AAAAAG/9fsg=")</f>
        <v>#VALUE!</v>
      </c>
      <c r="GT124" t="e">
        <f>AND(Bills!#REF!,"AAAAAG/9fsk=")</f>
        <v>#REF!</v>
      </c>
      <c r="GU124" t="e">
        <f>AND(Bills!#REF!,"AAAAAG/9fso=")</f>
        <v>#REF!</v>
      </c>
      <c r="GV124" t="e">
        <f>AND(Bills!Y464,"AAAAAG/9fss=")</f>
        <v>#VALUE!</v>
      </c>
      <c r="GW124" t="e">
        <f>AND(Bills!Z464,"AAAAAG/9fsw=")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AND(Bills!AA464,"AAAAAG/9ftY=")</f>
        <v>#VALUE!</v>
      </c>
      <c r="HH124" t="e">
        <f>AND(Bills!AB464,"AAAAAG/9ftc=")</f>
        <v>#VALUE!</v>
      </c>
      <c r="HI124" t="e">
        <f>AND(Bills!#REF!,"AAAAAG/9ftg=")</f>
        <v>#REF!</v>
      </c>
      <c r="HJ124" t="e">
        <f>AND(Bills!#REF!,"AAAAAG/9ftk=")</f>
        <v>#REF!</v>
      </c>
      <c r="HK124" t="e">
        <f>AND(Bills!#REF!,"AAAAAG/9fto=")</f>
        <v>#REF!</v>
      </c>
      <c r="HL124" t="e">
        <f>AND(Bills!AC464,"AAAAAG/9fts=")</f>
        <v>#VALUE!</v>
      </c>
      <c r="HM124" t="e">
        <f>AND(Bills!AD464,"AAAAAG/9ftw=")</f>
        <v>#VALUE!</v>
      </c>
      <c r="HN124" t="e">
        <f>AND(Bills!#REF!,"AAAAAG/9ft0=")</f>
        <v>#REF!</v>
      </c>
      <c r="HO124">
        <f>IF(Bills!465:465,"AAAAAG/9ft4=",0)</f>
        <v>0</v>
      </c>
      <c r="HP124" t="e">
        <f>AND(Bills!B465,"AAAAAG/9ft8=")</f>
        <v>#VALUE!</v>
      </c>
      <c r="HQ124" t="e">
        <f>AND(Bills!#REF!,"AAAAAG/9fuA=")</f>
        <v>#REF!</v>
      </c>
      <c r="HR124" t="e">
        <f>AND(Bills!C465,"AAAAAG/9fuE=")</f>
        <v>#VALUE!</v>
      </c>
      <c r="HS124" t="e">
        <f>AND(Bills!D465,"AAAAAG/9fuI=")</f>
        <v>#VALUE!</v>
      </c>
      <c r="HT124" t="e">
        <f>AND(Bills!E465,"AAAAAG/9fuM=")</f>
        <v>#VALUE!</v>
      </c>
      <c r="HU124" t="e">
        <f>AND(Bills!#REF!,"AAAAAG/9fuQ=")</f>
        <v>#REF!</v>
      </c>
      <c r="HV124" t="e">
        <f>AND(Bills!#REF!,"AAAAAG/9fuU=")</f>
        <v>#REF!</v>
      </c>
      <c r="HW124" t="e">
        <f>AND(Bills!#REF!,"AAAAAG/9fuY=")</f>
        <v>#REF!</v>
      </c>
      <c r="HX124" t="e">
        <f>AND(Bills!F465,"AAAAAG/9fuc=")</f>
        <v>#VALUE!</v>
      </c>
      <c r="HY124" t="e">
        <f>AND(Bills!#REF!,"AAAAAG/9fug=")</f>
        <v>#REF!</v>
      </c>
      <c r="HZ124" t="e">
        <f>AND(Bills!G465,"AAAAAG/9fuk=")</f>
        <v>#VALUE!</v>
      </c>
      <c r="IA124" t="e">
        <f>AND(Bills!H465,"AAAAAG/9fuo=")</f>
        <v>#VALUE!</v>
      </c>
      <c r="IB124" t="e">
        <f>AND(Bills!I465,"AAAAAG/9fus=")</f>
        <v>#VALUE!</v>
      </c>
      <c r="IC124" t="e">
        <f>AND(Bills!J465,"AAAAAG/9fuw=")</f>
        <v>#VALUE!</v>
      </c>
      <c r="ID124" t="e">
        <f>AND(Bills!K465,"AAAAAG/9fu0=")</f>
        <v>#VALUE!</v>
      </c>
      <c r="IE124" t="e">
        <f>AND(Bills!L465,"AAAAAG/9fu4=")</f>
        <v>#VALUE!</v>
      </c>
      <c r="IF124" t="e">
        <f>AND(Bills!#REF!,"AAAAAG/9fu8=")</f>
        <v>#REF!</v>
      </c>
      <c r="IG124" t="e">
        <f>AND(Bills!M465,"AAAAAG/9fvA=")</f>
        <v>#VALUE!</v>
      </c>
      <c r="IH124" t="e">
        <f>AND(Bills!N465,"AAAAAG/9fvE=")</f>
        <v>#VALUE!</v>
      </c>
      <c r="II124" t="e">
        <f>AND(Bills!O465,"AAAAAG/9fvI=")</f>
        <v>#VALUE!</v>
      </c>
      <c r="IJ124" t="e">
        <f>AND(Bills!P465,"AAAAAG/9fvM=")</f>
        <v>#VALUE!</v>
      </c>
      <c r="IK124" t="e">
        <f>AND(Bills!Q465,"AAAAAG/9fvQ=")</f>
        <v>#VALUE!</v>
      </c>
      <c r="IL124" t="e">
        <f>AND(Bills!R465,"AAAAAG/9fvU=")</f>
        <v>#VALUE!</v>
      </c>
      <c r="IM124" t="e">
        <f>AND(Bills!S465,"AAAAAG/9fvY=")</f>
        <v>#VALUE!</v>
      </c>
      <c r="IN124" t="e">
        <f>AND(Bills!T465,"AAAAAG/9fvc=")</f>
        <v>#VALUE!</v>
      </c>
      <c r="IO124" t="e">
        <f>AND(Bills!#REF!,"AAAAAG/9fvg=")</f>
        <v>#REF!</v>
      </c>
      <c r="IP124" t="e">
        <f>AND(Bills!U465,"AAAAAG/9fvk=")</f>
        <v>#VALUE!</v>
      </c>
      <c r="IQ124" t="e">
        <f>AND(Bills!V465,"AAAAAG/9fvo=")</f>
        <v>#VALUE!</v>
      </c>
      <c r="IR124" t="e">
        <f>AND(Bills!W465,"AAAAAG/9fvs=")</f>
        <v>#VALUE!</v>
      </c>
      <c r="IS124" t="e">
        <f>AND(Bills!#REF!,"AAAAAG/9fvw=")</f>
        <v>#REF!</v>
      </c>
      <c r="IT124" t="e">
        <f>AND(Bills!#REF!,"AAAAAG/9fv0=")</f>
        <v>#REF!</v>
      </c>
      <c r="IU124" t="e">
        <f>AND(Bills!Y465,"AAAAAG/9fv4=")</f>
        <v>#VALUE!</v>
      </c>
      <c r="IV124" t="e">
        <f>AND(Bills!Z465,"AAAAAG/9fv8=")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AND(Bills!AA465,"AAAAAG1v4wk=")</f>
        <v>#VALUE!</v>
      </c>
      <c r="K125" t="e">
        <f>AND(Bills!AB465,"AAAAAG1v4wo=")</f>
        <v>#VALUE!</v>
      </c>
      <c r="L125" t="e">
        <f>AND(Bills!#REF!,"AAAAAG1v4ws=")</f>
        <v>#REF!</v>
      </c>
      <c r="M125" t="e">
        <f>AND(Bills!#REF!,"AAAAAG1v4ww=")</f>
        <v>#REF!</v>
      </c>
      <c r="N125" t="e">
        <f>AND(Bills!#REF!,"AAAAAG1v4w0=")</f>
        <v>#REF!</v>
      </c>
      <c r="O125" t="e">
        <f>AND(Bills!AC465,"AAAAAG1v4w4=")</f>
        <v>#VALUE!</v>
      </c>
      <c r="P125" t="e">
        <f>AND(Bills!AD465,"AAAAAG1v4w8=")</f>
        <v>#VALUE!</v>
      </c>
      <c r="Q125" t="e">
        <f>AND(Bills!#REF!,"AAAAAG1v4xA=")</f>
        <v>#REF!</v>
      </c>
      <c r="R125">
        <f>IF(Bills!466:466,"AAAAAG1v4xE=",0)</f>
        <v>0</v>
      </c>
      <c r="S125" t="e">
        <f>AND(Bills!B466,"AAAAAG1v4xI=")</f>
        <v>#VALUE!</v>
      </c>
      <c r="T125" t="e">
        <f>AND(Bills!#REF!,"AAAAAG1v4xM=")</f>
        <v>#REF!</v>
      </c>
      <c r="U125" t="e">
        <f>AND(Bills!C466,"AAAAAG1v4xQ=")</f>
        <v>#VALUE!</v>
      </c>
      <c r="V125" t="e">
        <f>AND(Bills!D466,"AAAAAG1v4xU=")</f>
        <v>#VALUE!</v>
      </c>
      <c r="W125" t="e">
        <f>AND(Bills!E466,"AAAAAG1v4xY=")</f>
        <v>#VALUE!</v>
      </c>
      <c r="X125" t="e">
        <f>AND(Bills!#REF!,"AAAAAG1v4xc=")</f>
        <v>#REF!</v>
      </c>
      <c r="Y125" t="e">
        <f>AND(Bills!#REF!,"AAAAAG1v4xg=")</f>
        <v>#REF!</v>
      </c>
      <c r="Z125" t="e">
        <f>AND(Bills!#REF!,"AAAAAG1v4xk=")</f>
        <v>#REF!</v>
      </c>
      <c r="AA125" t="e">
        <f>AND(Bills!F466,"AAAAAG1v4xo=")</f>
        <v>#VALUE!</v>
      </c>
      <c r="AB125" t="e">
        <f>AND(Bills!#REF!,"AAAAAG1v4xs=")</f>
        <v>#REF!</v>
      </c>
      <c r="AC125" t="e">
        <f>AND(Bills!G466,"AAAAAG1v4xw=")</f>
        <v>#VALUE!</v>
      </c>
      <c r="AD125" t="e">
        <f>AND(Bills!H466,"AAAAAG1v4x0=")</f>
        <v>#VALUE!</v>
      </c>
      <c r="AE125" t="e">
        <f>AND(Bills!I466,"AAAAAG1v4x4=")</f>
        <v>#VALUE!</v>
      </c>
      <c r="AF125" t="e">
        <f>AND(Bills!J466,"AAAAAG1v4x8=")</f>
        <v>#VALUE!</v>
      </c>
      <c r="AG125" t="e">
        <f>AND(Bills!K466,"AAAAAG1v4yA=")</f>
        <v>#VALUE!</v>
      </c>
      <c r="AH125" t="e">
        <f>AND(Bills!L466,"AAAAAG1v4yE=")</f>
        <v>#VALUE!</v>
      </c>
      <c r="AI125" t="e">
        <f>AND(Bills!#REF!,"AAAAAG1v4yI=")</f>
        <v>#REF!</v>
      </c>
      <c r="AJ125" t="e">
        <f>AND(Bills!M466,"AAAAAG1v4yM=")</f>
        <v>#VALUE!</v>
      </c>
      <c r="AK125" t="e">
        <f>AND(Bills!N466,"AAAAAG1v4yQ=")</f>
        <v>#VALUE!</v>
      </c>
      <c r="AL125" t="e">
        <f>AND(Bills!O466,"AAAAAG1v4yU=")</f>
        <v>#VALUE!</v>
      </c>
      <c r="AM125" t="e">
        <f>AND(Bills!P466,"AAAAAG1v4yY=")</f>
        <v>#VALUE!</v>
      </c>
      <c r="AN125" t="e">
        <f>AND(Bills!Q466,"AAAAAG1v4yc=")</f>
        <v>#VALUE!</v>
      </c>
      <c r="AO125" t="e">
        <f>AND(Bills!R466,"AAAAAG1v4yg=")</f>
        <v>#VALUE!</v>
      </c>
      <c r="AP125" t="e">
        <f>AND(Bills!S466,"AAAAAG1v4yk=")</f>
        <v>#VALUE!</v>
      </c>
      <c r="AQ125" t="e">
        <f>AND(Bills!T466,"AAAAAG1v4yo=")</f>
        <v>#VALUE!</v>
      </c>
      <c r="AR125" t="e">
        <f>AND(Bills!#REF!,"AAAAAG1v4ys=")</f>
        <v>#REF!</v>
      </c>
      <c r="AS125" t="e">
        <f>AND(Bills!U466,"AAAAAG1v4yw=")</f>
        <v>#VALUE!</v>
      </c>
      <c r="AT125" t="e">
        <f>AND(Bills!V466,"AAAAAG1v4y0=")</f>
        <v>#VALUE!</v>
      </c>
      <c r="AU125" t="e">
        <f>AND(Bills!W466,"AAAAAG1v4y4=")</f>
        <v>#VALUE!</v>
      </c>
      <c r="AV125" t="e">
        <f>AND(Bills!#REF!,"AAAAAG1v4y8=")</f>
        <v>#REF!</v>
      </c>
      <c r="AW125" t="e">
        <f>AND(Bills!#REF!,"AAAAAG1v4zA=")</f>
        <v>#REF!</v>
      </c>
      <c r="AX125" t="e">
        <f>AND(Bills!Y466,"AAAAAG1v4zE=")</f>
        <v>#VALUE!</v>
      </c>
      <c r="AY125" t="e">
        <f>AND(Bills!Z466,"AAAAAG1v4zI=")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AND(Bills!AA466,"AAAAAG1v4zw=")</f>
        <v>#VALUE!</v>
      </c>
      <c r="BJ125" t="e">
        <f>AND(Bills!AB466,"AAAAAG1v4z0=")</f>
        <v>#VALUE!</v>
      </c>
      <c r="BK125" t="e">
        <f>AND(Bills!#REF!,"AAAAAG1v4z4=")</f>
        <v>#REF!</v>
      </c>
      <c r="BL125" t="e">
        <f>AND(Bills!#REF!,"AAAAAG1v4z8=")</f>
        <v>#REF!</v>
      </c>
      <c r="BM125" t="e">
        <f>AND(Bills!#REF!,"AAAAAG1v40A=")</f>
        <v>#REF!</v>
      </c>
      <c r="BN125" t="e">
        <f>AND(Bills!AC466,"AAAAAG1v40E=")</f>
        <v>#VALUE!</v>
      </c>
      <c r="BO125" t="e">
        <f>AND(Bills!AD466,"AAAAAG1v40I=")</f>
        <v>#VALUE!</v>
      </c>
      <c r="BP125" t="e">
        <f>AND(Bills!#REF!,"AAAAAG1v40M=")</f>
        <v>#REF!</v>
      </c>
      <c r="BQ125">
        <f>IF(Bills!467:467,"AAAAAG1v40Q=",0)</f>
        <v>0</v>
      </c>
      <c r="BR125" t="e">
        <f>AND(Bills!B467,"AAAAAG1v40U=")</f>
        <v>#VALUE!</v>
      </c>
      <c r="BS125" t="e">
        <f>AND(Bills!#REF!,"AAAAAG1v40Y=")</f>
        <v>#REF!</v>
      </c>
      <c r="BT125" t="e">
        <f>AND(Bills!C467,"AAAAAG1v40c=")</f>
        <v>#VALUE!</v>
      </c>
      <c r="BU125" t="e">
        <f>AND(Bills!D467,"AAAAAG1v40g=")</f>
        <v>#VALUE!</v>
      </c>
      <c r="BV125" t="e">
        <f>AND(Bills!E467,"AAAAAG1v40k=")</f>
        <v>#VALUE!</v>
      </c>
      <c r="BW125" t="e">
        <f>AND(Bills!#REF!,"AAAAAG1v40o=")</f>
        <v>#REF!</v>
      </c>
      <c r="BX125" t="e">
        <f>AND(Bills!#REF!,"AAAAAG1v40s=")</f>
        <v>#REF!</v>
      </c>
      <c r="BY125" t="e">
        <f>AND(Bills!#REF!,"AAAAAG1v40w=")</f>
        <v>#REF!</v>
      </c>
      <c r="BZ125" t="e">
        <f>AND(Bills!F467,"AAAAAG1v400=")</f>
        <v>#VALUE!</v>
      </c>
      <c r="CA125" t="e">
        <f>AND(Bills!#REF!,"AAAAAG1v404=")</f>
        <v>#REF!</v>
      </c>
      <c r="CB125" t="e">
        <f>AND(Bills!G467,"AAAAAG1v408=")</f>
        <v>#VALUE!</v>
      </c>
      <c r="CC125" t="e">
        <f>AND(Bills!H467,"AAAAAG1v41A=")</f>
        <v>#VALUE!</v>
      </c>
      <c r="CD125" t="e">
        <f>AND(Bills!I467,"AAAAAG1v41E=")</f>
        <v>#VALUE!</v>
      </c>
      <c r="CE125" t="e">
        <f>AND(Bills!J467,"AAAAAG1v41I=")</f>
        <v>#VALUE!</v>
      </c>
      <c r="CF125" t="e">
        <f>AND(Bills!K467,"AAAAAG1v41M=")</f>
        <v>#VALUE!</v>
      </c>
      <c r="CG125" t="e">
        <f>AND(Bills!L467,"AAAAAG1v41Q=")</f>
        <v>#VALUE!</v>
      </c>
      <c r="CH125" t="e">
        <f>AND(Bills!#REF!,"AAAAAG1v41U=")</f>
        <v>#REF!</v>
      </c>
      <c r="CI125" t="e">
        <f>AND(Bills!M467,"AAAAAG1v41Y=")</f>
        <v>#VALUE!</v>
      </c>
      <c r="CJ125" t="e">
        <f>AND(Bills!N467,"AAAAAG1v41c=")</f>
        <v>#VALUE!</v>
      </c>
      <c r="CK125" t="e">
        <f>AND(Bills!O467,"AAAAAG1v41g=")</f>
        <v>#VALUE!</v>
      </c>
      <c r="CL125" t="e">
        <f>AND(Bills!P467,"AAAAAG1v41k=")</f>
        <v>#VALUE!</v>
      </c>
      <c r="CM125" t="e">
        <f>AND(Bills!Q467,"AAAAAG1v41o=")</f>
        <v>#VALUE!</v>
      </c>
      <c r="CN125" t="e">
        <f>AND(Bills!R467,"AAAAAG1v41s=")</f>
        <v>#VALUE!</v>
      </c>
      <c r="CO125" t="e">
        <f>AND(Bills!S467,"AAAAAG1v41w=")</f>
        <v>#VALUE!</v>
      </c>
      <c r="CP125" t="e">
        <f>AND(Bills!T467,"AAAAAG1v410=")</f>
        <v>#VALUE!</v>
      </c>
      <c r="CQ125" t="e">
        <f>AND(Bills!#REF!,"AAAAAG1v414=")</f>
        <v>#REF!</v>
      </c>
      <c r="CR125" t="e">
        <f>AND(Bills!U467,"AAAAAG1v418=")</f>
        <v>#VALUE!</v>
      </c>
      <c r="CS125" t="e">
        <f>AND(Bills!V467,"AAAAAG1v42A=")</f>
        <v>#VALUE!</v>
      </c>
      <c r="CT125" t="e">
        <f>AND(Bills!W467,"AAAAAG1v42E=")</f>
        <v>#VALUE!</v>
      </c>
      <c r="CU125" t="e">
        <f>AND(Bills!#REF!,"AAAAAG1v42I=")</f>
        <v>#REF!</v>
      </c>
      <c r="CV125" t="e">
        <f>AND(Bills!#REF!,"AAAAAG1v42M=")</f>
        <v>#REF!</v>
      </c>
      <c r="CW125" t="e">
        <f>AND(Bills!Y467,"AAAAAG1v42Q=")</f>
        <v>#VALUE!</v>
      </c>
      <c r="CX125" t="e">
        <f>AND(Bills!Z467,"AAAAAG1v42U=")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AND(Bills!AA467,"AAAAAG1v428=")</f>
        <v>#VALUE!</v>
      </c>
      <c r="DI125" t="e">
        <f>AND(Bills!AB467,"AAAAAG1v43A=")</f>
        <v>#VALUE!</v>
      </c>
      <c r="DJ125" t="e">
        <f>AND(Bills!#REF!,"AAAAAG1v43E=")</f>
        <v>#REF!</v>
      </c>
      <c r="DK125" t="e">
        <f>AND(Bills!#REF!,"AAAAAG1v43I=")</f>
        <v>#REF!</v>
      </c>
      <c r="DL125" t="e">
        <f>AND(Bills!#REF!,"AAAAAG1v43M=")</f>
        <v>#REF!</v>
      </c>
      <c r="DM125" t="e">
        <f>AND(Bills!AC467,"AAAAAG1v43Q=")</f>
        <v>#VALUE!</v>
      </c>
      <c r="DN125" t="e">
        <f>AND(Bills!AD467,"AAAAAG1v43U=")</f>
        <v>#VALUE!</v>
      </c>
      <c r="DO125" t="e">
        <f>AND(Bills!#REF!,"AAAAAG1v43Y=")</f>
        <v>#REF!</v>
      </c>
      <c r="DP125">
        <f>IF(Bills!468:468,"AAAAAG1v43c=",0)</f>
        <v>0</v>
      </c>
      <c r="DQ125" t="e">
        <f>AND(Bills!B468,"AAAAAG1v43g=")</f>
        <v>#VALUE!</v>
      </c>
      <c r="DR125" t="e">
        <f>AND(Bills!#REF!,"AAAAAG1v43k=")</f>
        <v>#REF!</v>
      </c>
      <c r="DS125" t="e">
        <f>AND(Bills!C468,"AAAAAG1v43o=")</f>
        <v>#VALUE!</v>
      </c>
      <c r="DT125" t="e">
        <f>AND(Bills!D468,"AAAAAG1v43s=")</f>
        <v>#VALUE!</v>
      </c>
      <c r="DU125" t="e">
        <f>AND(Bills!E468,"AAAAAG1v43w=")</f>
        <v>#VALUE!</v>
      </c>
      <c r="DV125" t="e">
        <f>AND(Bills!#REF!,"AAAAAG1v430=")</f>
        <v>#REF!</v>
      </c>
      <c r="DW125" t="e">
        <f>AND(Bills!#REF!,"AAAAAG1v434=")</f>
        <v>#REF!</v>
      </c>
      <c r="DX125" t="e">
        <f>AND(Bills!#REF!,"AAAAAG1v438=")</f>
        <v>#REF!</v>
      </c>
      <c r="DY125" t="e">
        <f>AND(Bills!F468,"AAAAAG1v44A=")</f>
        <v>#VALUE!</v>
      </c>
      <c r="DZ125" t="e">
        <f>AND(Bills!#REF!,"AAAAAG1v44E=")</f>
        <v>#REF!</v>
      </c>
      <c r="EA125" t="e">
        <f>AND(Bills!G468,"AAAAAG1v44I=")</f>
        <v>#VALUE!</v>
      </c>
      <c r="EB125" t="e">
        <f>AND(Bills!H468,"AAAAAG1v44M=")</f>
        <v>#VALUE!</v>
      </c>
      <c r="EC125" t="e">
        <f>AND(Bills!I468,"AAAAAG1v44Q=")</f>
        <v>#VALUE!</v>
      </c>
      <c r="ED125" t="e">
        <f>AND(Bills!J468,"AAAAAG1v44U=")</f>
        <v>#VALUE!</v>
      </c>
      <c r="EE125" t="e">
        <f>AND(Bills!K468,"AAAAAG1v44Y=")</f>
        <v>#VALUE!</v>
      </c>
      <c r="EF125" t="e">
        <f>AND(Bills!L468,"AAAAAG1v44c=")</f>
        <v>#VALUE!</v>
      </c>
      <c r="EG125" t="e">
        <f>AND(Bills!#REF!,"AAAAAG1v44g=")</f>
        <v>#REF!</v>
      </c>
      <c r="EH125" t="e">
        <f>AND(Bills!M468,"AAAAAG1v44k=")</f>
        <v>#VALUE!</v>
      </c>
      <c r="EI125" t="e">
        <f>AND(Bills!N468,"AAAAAG1v44o=")</f>
        <v>#VALUE!</v>
      </c>
      <c r="EJ125" t="e">
        <f>AND(Bills!O468,"AAAAAG1v44s=")</f>
        <v>#VALUE!</v>
      </c>
      <c r="EK125" t="e">
        <f>AND(Bills!P468,"AAAAAG1v44w=")</f>
        <v>#VALUE!</v>
      </c>
      <c r="EL125" t="e">
        <f>AND(Bills!Q468,"AAAAAG1v440=")</f>
        <v>#VALUE!</v>
      </c>
      <c r="EM125" t="e">
        <f>AND(Bills!R468,"AAAAAG1v444=")</f>
        <v>#VALUE!</v>
      </c>
      <c r="EN125" t="e">
        <f>AND(Bills!S468,"AAAAAG1v448=")</f>
        <v>#VALUE!</v>
      </c>
      <c r="EO125" t="e">
        <f>AND(Bills!T468,"AAAAAG1v45A=")</f>
        <v>#VALUE!</v>
      </c>
      <c r="EP125" t="e">
        <f>AND(Bills!#REF!,"AAAAAG1v45E=")</f>
        <v>#REF!</v>
      </c>
      <c r="EQ125" t="e">
        <f>AND(Bills!U468,"AAAAAG1v45I=")</f>
        <v>#VALUE!</v>
      </c>
      <c r="ER125" t="e">
        <f>AND(Bills!V468,"AAAAAG1v45M=")</f>
        <v>#VALUE!</v>
      </c>
      <c r="ES125" t="e">
        <f>AND(Bills!W468,"AAAAAG1v45Q=")</f>
        <v>#VALUE!</v>
      </c>
      <c r="ET125" t="e">
        <f>AND(Bills!#REF!,"AAAAAG1v45U=")</f>
        <v>#REF!</v>
      </c>
      <c r="EU125" t="e">
        <f>AND(Bills!#REF!,"AAAAAG1v45Y=")</f>
        <v>#REF!</v>
      </c>
      <c r="EV125" t="e">
        <f>AND(Bills!Y468,"AAAAAG1v45c=")</f>
        <v>#VALUE!</v>
      </c>
      <c r="EW125" t="e">
        <f>AND(Bills!Z468,"AAAAAG1v45g=")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AND(Bills!AA468,"AAAAAG1v46I=")</f>
        <v>#VALUE!</v>
      </c>
      <c r="FH125" t="e">
        <f>AND(Bills!AB468,"AAAAAG1v46M=")</f>
        <v>#VALUE!</v>
      </c>
      <c r="FI125" t="e">
        <f>AND(Bills!#REF!,"AAAAAG1v46Q=")</f>
        <v>#REF!</v>
      </c>
      <c r="FJ125" t="e">
        <f>AND(Bills!#REF!,"AAAAAG1v46U=")</f>
        <v>#REF!</v>
      </c>
      <c r="FK125" t="e">
        <f>AND(Bills!#REF!,"AAAAAG1v46Y=")</f>
        <v>#REF!</v>
      </c>
      <c r="FL125" t="e">
        <f>AND(Bills!AC468,"AAAAAG1v46c=")</f>
        <v>#VALUE!</v>
      </c>
      <c r="FM125" t="e">
        <f>AND(Bills!AD468,"AAAAAG1v46g=")</f>
        <v>#VALUE!</v>
      </c>
      <c r="FN125" t="e">
        <f>AND(Bills!#REF!,"AAAAAG1v46k=")</f>
        <v>#REF!</v>
      </c>
      <c r="FO125">
        <f>IF(Bills!469:469,"AAAAAG1v46o=",0)</f>
        <v>0</v>
      </c>
      <c r="FP125" t="e">
        <f>AND(Bills!B469,"AAAAAG1v46s=")</f>
        <v>#VALUE!</v>
      </c>
      <c r="FQ125" t="e">
        <f>AND(Bills!#REF!,"AAAAAG1v46w=")</f>
        <v>#REF!</v>
      </c>
      <c r="FR125" t="e">
        <f>AND(Bills!C469,"AAAAAG1v460=")</f>
        <v>#VALUE!</v>
      </c>
      <c r="FS125" t="e">
        <f>AND(Bills!D469,"AAAAAG1v464=")</f>
        <v>#VALUE!</v>
      </c>
      <c r="FT125" t="e">
        <f>AND(Bills!E469,"AAAAAG1v468=")</f>
        <v>#VALUE!</v>
      </c>
      <c r="FU125" t="e">
        <f>AND(Bills!#REF!,"AAAAAG1v47A=")</f>
        <v>#REF!</v>
      </c>
      <c r="FV125" t="e">
        <f>AND(Bills!#REF!,"AAAAAG1v47E=")</f>
        <v>#REF!</v>
      </c>
      <c r="FW125" t="e">
        <f>AND(Bills!#REF!,"AAAAAG1v47I=")</f>
        <v>#REF!</v>
      </c>
      <c r="FX125" t="e">
        <f>AND(Bills!F469,"AAAAAG1v47M=")</f>
        <v>#VALUE!</v>
      </c>
      <c r="FY125" t="e">
        <f>AND(Bills!#REF!,"AAAAAG1v47Q=")</f>
        <v>#REF!</v>
      </c>
      <c r="FZ125" t="e">
        <f>AND(Bills!G469,"AAAAAG1v47U=")</f>
        <v>#VALUE!</v>
      </c>
      <c r="GA125" t="e">
        <f>AND(Bills!H469,"AAAAAG1v47Y=")</f>
        <v>#VALUE!</v>
      </c>
      <c r="GB125" t="e">
        <f>AND(Bills!I469,"AAAAAG1v47c=")</f>
        <v>#VALUE!</v>
      </c>
      <c r="GC125" t="e">
        <f>AND(Bills!J469,"AAAAAG1v47g=")</f>
        <v>#VALUE!</v>
      </c>
      <c r="GD125" t="e">
        <f>AND(Bills!K469,"AAAAAG1v47k=")</f>
        <v>#VALUE!</v>
      </c>
      <c r="GE125" t="e">
        <f>AND(Bills!L469,"AAAAAG1v47o=")</f>
        <v>#VALUE!</v>
      </c>
      <c r="GF125" t="e">
        <f>AND(Bills!#REF!,"AAAAAG1v47s=")</f>
        <v>#REF!</v>
      </c>
      <c r="GG125" t="e">
        <f>AND(Bills!M469,"AAAAAG1v47w=")</f>
        <v>#VALUE!</v>
      </c>
      <c r="GH125" t="e">
        <f>AND(Bills!N469,"AAAAAG1v470=")</f>
        <v>#VALUE!</v>
      </c>
      <c r="GI125" t="e">
        <f>AND(Bills!O469,"AAAAAG1v474=")</f>
        <v>#VALUE!</v>
      </c>
      <c r="GJ125" t="e">
        <f>AND(Bills!P469,"AAAAAG1v478=")</f>
        <v>#VALUE!</v>
      </c>
      <c r="GK125" t="e">
        <f>AND(Bills!Q469,"AAAAAG1v48A=")</f>
        <v>#VALUE!</v>
      </c>
      <c r="GL125" t="e">
        <f>AND(Bills!R469,"AAAAAG1v48E=")</f>
        <v>#VALUE!</v>
      </c>
      <c r="GM125" t="e">
        <f>AND(Bills!S469,"AAAAAG1v48I=")</f>
        <v>#VALUE!</v>
      </c>
      <c r="GN125" t="e">
        <f>AND(Bills!T469,"AAAAAG1v48M=")</f>
        <v>#VALUE!</v>
      </c>
      <c r="GO125" t="e">
        <f>AND(Bills!#REF!,"AAAAAG1v48Q=")</f>
        <v>#REF!</v>
      </c>
      <c r="GP125" t="e">
        <f>AND(Bills!U469,"AAAAAG1v48U=")</f>
        <v>#VALUE!</v>
      </c>
      <c r="GQ125" t="e">
        <f>AND(Bills!V469,"AAAAAG1v48Y=")</f>
        <v>#VALUE!</v>
      </c>
      <c r="GR125" t="e">
        <f>AND(Bills!W469,"AAAAAG1v48c=")</f>
        <v>#VALUE!</v>
      </c>
      <c r="GS125" t="e">
        <f>AND(Bills!#REF!,"AAAAAG1v48g=")</f>
        <v>#REF!</v>
      </c>
      <c r="GT125" t="e">
        <f>AND(Bills!#REF!,"AAAAAG1v48k=")</f>
        <v>#REF!</v>
      </c>
      <c r="GU125" t="e">
        <f>AND(Bills!Y469,"AAAAAG1v48o=")</f>
        <v>#VALUE!</v>
      </c>
      <c r="GV125" t="e">
        <f>AND(Bills!Z469,"AAAAAG1v48s=")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AND(Bills!AA469,"AAAAAG1v49U=")</f>
        <v>#VALUE!</v>
      </c>
      <c r="HG125" t="e">
        <f>AND(Bills!AB469,"AAAAAG1v49Y=")</f>
        <v>#VALUE!</v>
      </c>
      <c r="HH125" t="e">
        <f>AND(Bills!#REF!,"AAAAAG1v49c=")</f>
        <v>#REF!</v>
      </c>
      <c r="HI125" t="e">
        <f>AND(Bills!#REF!,"AAAAAG1v49g=")</f>
        <v>#REF!</v>
      </c>
      <c r="HJ125" t="e">
        <f>AND(Bills!#REF!,"AAAAAG1v49k=")</f>
        <v>#REF!</v>
      </c>
      <c r="HK125" t="e">
        <f>AND(Bills!AC469,"AAAAAG1v49o=")</f>
        <v>#VALUE!</v>
      </c>
      <c r="HL125" t="e">
        <f>AND(Bills!AD469,"AAAAAG1v49s=")</f>
        <v>#VALUE!</v>
      </c>
      <c r="HM125" t="e">
        <f>AND(Bills!#REF!,"AAAAAG1v49w=")</f>
        <v>#REF!</v>
      </c>
      <c r="HN125">
        <f>IF(Bills!470:470,"AAAAAG1v490=",0)</f>
        <v>0</v>
      </c>
      <c r="HO125" t="e">
        <f>AND(Bills!B470,"AAAAAG1v494=")</f>
        <v>#VALUE!</v>
      </c>
      <c r="HP125" t="e">
        <f>AND(Bills!#REF!,"AAAAAG1v498=")</f>
        <v>#REF!</v>
      </c>
      <c r="HQ125" t="e">
        <f>AND(Bills!C470,"AAAAAG1v4+A=")</f>
        <v>#VALUE!</v>
      </c>
      <c r="HR125" t="e">
        <f>AND(Bills!D470,"AAAAAG1v4+E=")</f>
        <v>#VALUE!</v>
      </c>
      <c r="HS125" t="e">
        <f>AND(Bills!E470,"AAAAAG1v4+I=")</f>
        <v>#VALUE!</v>
      </c>
      <c r="HT125" t="e">
        <f>AND(Bills!#REF!,"AAAAAG1v4+M=")</f>
        <v>#REF!</v>
      </c>
      <c r="HU125" t="e">
        <f>AND(Bills!#REF!,"AAAAAG1v4+Q=")</f>
        <v>#REF!</v>
      </c>
      <c r="HV125" t="e">
        <f>AND(Bills!#REF!,"AAAAAG1v4+U=")</f>
        <v>#REF!</v>
      </c>
      <c r="HW125" t="e">
        <f>AND(Bills!F470,"AAAAAG1v4+Y=")</f>
        <v>#VALUE!</v>
      </c>
      <c r="HX125" t="e">
        <f>AND(Bills!#REF!,"AAAAAG1v4+c=")</f>
        <v>#REF!</v>
      </c>
      <c r="HY125" t="e">
        <f>AND(Bills!G470,"AAAAAG1v4+g=")</f>
        <v>#VALUE!</v>
      </c>
      <c r="HZ125" t="e">
        <f>AND(Bills!H470,"AAAAAG1v4+k=")</f>
        <v>#VALUE!</v>
      </c>
      <c r="IA125" t="e">
        <f>AND(Bills!I470,"AAAAAG1v4+o=")</f>
        <v>#VALUE!</v>
      </c>
      <c r="IB125" t="e">
        <f>AND(Bills!J470,"AAAAAG1v4+s=")</f>
        <v>#VALUE!</v>
      </c>
      <c r="IC125" t="e">
        <f>AND(Bills!K470,"AAAAAG1v4+w=")</f>
        <v>#VALUE!</v>
      </c>
      <c r="ID125" t="e">
        <f>AND(Bills!L470,"AAAAAG1v4+0=")</f>
        <v>#VALUE!</v>
      </c>
      <c r="IE125" t="e">
        <f>AND(Bills!#REF!,"AAAAAG1v4+4=")</f>
        <v>#REF!</v>
      </c>
      <c r="IF125" t="e">
        <f>AND(Bills!M470,"AAAAAG1v4+8=")</f>
        <v>#VALUE!</v>
      </c>
      <c r="IG125" t="e">
        <f>AND(Bills!N470,"AAAAAG1v4/A=")</f>
        <v>#VALUE!</v>
      </c>
      <c r="IH125" t="e">
        <f>AND(Bills!O470,"AAAAAG1v4/E=")</f>
        <v>#VALUE!</v>
      </c>
      <c r="II125" t="e">
        <f>AND(Bills!P470,"AAAAAG1v4/I=")</f>
        <v>#VALUE!</v>
      </c>
      <c r="IJ125" t="e">
        <f>AND(Bills!Q470,"AAAAAG1v4/M=")</f>
        <v>#VALUE!</v>
      </c>
      <c r="IK125" t="e">
        <f>AND(Bills!R470,"AAAAAG1v4/Q=")</f>
        <v>#VALUE!</v>
      </c>
      <c r="IL125" t="e">
        <f>AND(Bills!S470,"AAAAAG1v4/U=")</f>
        <v>#VALUE!</v>
      </c>
      <c r="IM125" t="e">
        <f>AND(Bills!T470,"AAAAAG1v4/Y=")</f>
        <v>#VALUE!</v>
      </c>
      <c r="IN125" t="e">
        <f>AND(Bills!#REF!,"AAAAAG1v4/c=")</f>
        <v>#REF!</v>
      </c>
      <c r="IO125" t="e">
        <f>AND(Bills!U470,"AAAAAG1v4/g=")</f>
        <v>#VALUE!</v>
      </c>
      <c r="IP125" t="e">
        <f>AND(Bills!V470,"AAAAAG1v4/k=")</f>
        <v>#VALUE!</v>
      </c>
      <c r="IQ125" t="e">
        <f>AND(Bills!W470,"AAAAAG1v4/o=")</f>
        <v>#VALUE!</v>
      </c>
      <c r="IR125" t="e">
        <f>AND(Bills!#REF!,"AAAAAG1v4/s=")</f>
        <v>#REF!</v>
      </c>
      <c r="IS125" t="e">
        <f>AND(Bills!#REF!,"AAAAAG1v4/w=")</f>
        <v>#REF!</v>
      </c>
      <c r="IT125" t="e">
        <f>AND(Bills!Y470,"AAAAAG1v4/0=")</f>
        <v>#VALUE!</v>
      </c>
      <c r="IU125" t="e">
        <f>AND(Bills!Z470,"AAAAAG1v4/4=")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AND(Bills!AA470,"AAAAABX+/Qg=")</f>
        <v>#VALUE!</v>
      </c>
      <c r="J126" t="e">
        <f>AND(Bills!AB470,"AAAAABX+/Qk=")</f>
        <v>#VALUE!</v>
      </c>
      <c r="K126" t="e">
        <f>AND(Bills!#REF!,"AAAAABX+/Qo=")</f>
        <v>#REF!</v>
      </c>
      <c r="L126" t="e">
        <f>AND(Bills!#REF!,"AAAAABX+/Qs=")</f>
        <v>#REF!</v>
      </c>
      <c r="M126" t="e">
        <f>AND(Bills!#REF!,"AAAAABX+/Qw=")</f>
        <v>#REF!</v>
      </c>
      <c r="N126" t="e">
        <f>AND(Bills!AC470,"AAAAABX+/Q0=")</f>
        <v>#VALUE!</v>
      </c>
      <c r="O126" t="e">
        <f>AND(Bills!AD470,"AAAAABX+/Q4=")</f>
        <v>#VALUE!</v>
      </c>
      <c r="P126" t="e">
        <f>AND(Bills!#REF!,"AAAAABX+/Q8=")</f>
        <v>#REF!</v>
      </c>
      <c r="Q126">
        <f>IF(Bills!471:471,"AAAAABX+/RA=",0)</f>
        <v>0</v>
      </c>
      <c r="R126" t="e">
        <f>AND(Bills!B471,"AAAAABX+/RE=")</f>
        <v>#VALUE!</v>
      </c>
      <c r="S126" t="e">
        <f>AND(Bills!#REF!,"AAAAABX+/RI=")</f>
        <v>#REF!</v>
      </c>
      <c r="T126" t="e">
        <f>AND(Bills!C471,"AAAAABX+/RM=")</f>
        <v>#VALUE!</v>
      </c>
      <c r="U126" t="e">
        <f>AND(Bills!D471,"AAAAABX+/RQ=")</f>
        <v>#VALUE!</v>
      </c>
      <c r="V126" t="e">
        <f>AND(Bills!E471,"AAAAABX+/RU=")</f>
        <v>#VALUE!</v>
      </c>
      <c r="W126" t="e">
        <f>AND(Bills!#REF!,"AAAAABX+/RY=")</f>
        <v>#REF!</v>
      </c>
      <c r="X126" t="e">
        <f>AND(Bills!#REF!,"AAAAABX+/Rc=")</f>
        <v>#REF!</v>
      </c>
      <c r="Y126" t="e">
        <f>AND(Bills!#REF!,"AAAAABX+/Rg=")</f>
        <v>#REF!</v>
      </c>
      <c r="Z126" t="e">
        <f>AND(Bills!F471,"AAAAABX+/Rk=")</f>
        <v>#VALUE!</v>
      </c>
      <c r="AA126" t="e">
        <f>AND(Bills!#REF!,"AAAAABX+/Ro=")</f>
        <v>#REF!</v>
      </c>
      <c r="AB126" t="e">
        <f>AND(Bills!G471,"AAAAABX+/Rs=")</f>
        <v>#VALUE!</v>
      </c>
      <c r="AC126" t="e">
        <f>AND(Bills!H471,"AAAAABX+/Rw=")</f>
        <v>#VALUE!</v>
      </c>
      <c r="AD126" t="e">
        <f>AND(Bills!I471,"AAAAABX+/R0=")</f>
        <v>#VALUE!</v>
      </c>
      <c r="AE126" t="e">
        <f>AND(Bills!J471,"AAAAABX+/R4=")</f>
        <v>#VALUE!</v>
      </c>
      <c r="AF126" t="e">
        <f>AND(Bills!K471,"AAAAABX+/R8=")</f>
        <v>#VALUE!</v>
      </c>
      <c r="AG126" t="e">
        <f>AND(Bills!L471,"AAAAABX+/SA=")</f>
        <v>#VALUE!</v>
      </c>
      <c r="AH126" t="e">
        <f>AND(Bills!#REF!,"AAAAABX+/SE=")</f>
        <v>#REF!</v>
      </c>
      <c r="AI126" t="e">
        <f>AND(Bills!M471,"AAAAABX+/SI=")</f>
        <v>#VALUE!</v>
      </c>
      <c r="AJ126" t="e">
        <f>AND(Bills!N471,"AAAAABX+/SM=")</f>
        <v>#VALUE!</v>
      </c>
      <c r="AK126" t="e">
        <f>AND(Bills!O471,"AAAAABX+/SQ=")</f>
        <v>#VALUE!</v>
      </c>
      <c r="AL126" t="e">
        <f>AND(Bills!P471,"AAAAABX+/SU=")</f>
        <v>#VALUE!</v>
      </c>
      <c r="AM126" t="e">
        <f>AND(Bills!Q471,"AAAAABX+/SY=")</f>
        <v>#VALUE!</v>
      </c>
      <c r="AN126" t="e">
        <f>AND(Bills!R471,"AAAAABX+/Sc=")</f>
        <v>#VALUE!</v>
      </c>
      <c r="AO126" t="e">
        <f>AND(Bills!S471,"AAAAABX+/Sg=")</f>
        <v>#VALUE!</v>
      </c>
      <c r="AP126" t="e">
        <f>AND(Bills!T471,"AAAAABX+/Sk=")</f>
        <v>#VALUE!</v>
      </c>
      <c r="AQ126" t="e">
        <f>AND(Bills!#REF!,"AAAAABX+/So=")</f>
        <v>#REF!</v>
      </c>
      <c r="AR126" t="e">
        <f>AND(Bills!U471,"AAAAABX+/Ss=")</f>
        <v>#VALUE!</v>
      </c>
      <c r="AS126" t="e">
        <f>AND(Bills!V471,"AAAAABX+/Sw=")</f>
        <v>#VALUE!</v>
      </c>
      <c r="AT126" t="e">
        <f>AND(Bills!W471,"AAAAABX+/S0=")</f>
        <v>#VALUE!</v>
      </c>
      <c r="AU126" t="e">
        <f>AND(Bills!#REF!,"AAAAABX+/S4=")</f>
        <v>#REF!</v>
      </c>
      <c r="AV126" t="e">
        <f>AND(Bills!#REF!,"AAAAABX+/S8=")</f>
        <v>#REF!</v>
      </c>
      <c r="AW126" t="e">
        <f>AND(Bills!Y471,"AAAAABX+/TA=")</f>
        <v>#VALUE!</v>
      </c>
      <c r="AX126" t="e">
        <f>AND(Bills!Z471,"AAAAABX+/TE=")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AND(Bills!AA471,"AAAAABX+/Ts=")</f>
        <v>#VALUE!</v>
      </c>
      <c r="BI126" t="e">
        <f>AND(Bills!AB471,"AAAAABX+/Tw=")</f>
        <v>#VALUE!</v>
      </c>
      <c r="BJ126" t="e">
        <f>AND(Bills!#REF!,"AAAAABX+/T0=")</f>
        <v>#REF!</v>
      </c>
      <c r="BK126" t="e">
        <f>AND(Bills!#REF!,"AAAAABX+/T4=")</f>
        <v>#REF!</v>
      </c>
      <c r="BL126" t="e">
        <f>AND(Bills!#REF!,"AAAAABX+/T8=")</f>
        <v>#REF!</v>
      </c>
      <c r="BM126" t="e">
        <f>AND(Bills!AC471,"AAAAABX+/UA=")</f>
        <v>#VALUE!</v>
      </c>
      <c r="BN126" t="e">
        <f>AND(Bills!AD471,"AAAAABX+/UE=")</f>
        <v>#VALUE!</v>
      </c>
      <c r="BO126" t="e">
        <f>AND(Bills!#REF!,"AAAAABX+/UI=")</f>
        <v>#REF!</v>
      </c>
      <c r="BP126">
        <f>IF(Bills!472:472,"AAAAABX+/UM=",0)</f>
        <v>0</v>
      </c>
      <c r="BQ126" t="e">
        <f>AND(Bills!B472,"AAAAABX+/UQ=")</f>
        <v>#VALUE!</v>
      </c>
      <c r="BR126" t="e">
        <f>AND(Bills!#REF!,"AAAAABX+/UU=")</f>
        <v>#REF!</v>
      </c>
      <c r="BS126" t="e">
        <f>AND(Bills!C472,"AAAAABX+/UY=")</f>
        <v>#VALUE!</v>
      </c>
      <c r="BT126" t="e">
        <f>AND(Bills!D472,"AAAAABX+/Uc=")</f>
        <v>#VALUE!</v>
      </c>
      <c r="BU126" t="e">
        <f>AND(Bills!E472,"AAAAABX+/Ug=")</f>
        <v>#VALUE!</v>
      </c>
      <c r="BV126" t="e">
        <f>AND(Bills!#REF!,"AAAAABX+/Uk=")</f>
        <v>#REF!</v>
      </c>
      <c r="BW126" t="e">
        <f>AND(Bills!#REF!,"AAAAABX+/Uo=")</f>
        <v>#REF!</v>
      </c>
      <c r="BX126" t="e">
        <f>AND(Bills!#REF!,"AAAAABX+/Us=")</f>
        <v>#REF!</v>
      </c>
      <c r="BY126" t="e">
        <f>AND(Bills!F472,"AAAAABX+/Uw=")</f>
        <v>#VALUE!</v>
      </c>
      <c r="BZ126" t="e">
        <f>AND(Bills!#REF!,"AAAAABX+/U0=")</f>
        <v>#REF!</v>
      </c>
      <c r="CA126" t="e">
        <f>AND(Bills!G472,"AAAAABX+/U4=")</f>
        <v>#VALUE!</v>
      </c>
      <c r="CB126" t="e">
        <f>AND(Bills!H472,"AAAAABX+/U8=")</f>
        <v>#VALUE!</v>
      </c>
      <c r="CC126" t="e">
        <f>AND(Bills!I472,"AAAAABX+/VA=")</f>
        <v>#VALUE!</v>
      </c>
      <c r="CD126" t="e">
        <f>AND(Bills!J472,"AAAAABX+/VE=")</f>
        <v>#VALUE!</v>
      </c>
      <c r="CE126" t="e">
        <f>AND(Bills!K472,"AAAAABX+/VI=")</f>
        <v>#VALUE!</v>
      </c>
      <c r="CF126" t="e">
        <f>AND(Bills!L472,"AAAAABX+/VM=")</f>
        <v>#VALUE!</v>
      </c>
      <c r="CG126" t="e">
        <f>AND(Bills!#REF!,"AAAAABX+/VQ=")</f>
        <v>#REF!</v>
      </c>
      <c r="CH126" t="e">
        <f>AND(Bills!M472,"AAAAABX+/VU=")</f>
        <v>#VALUE!</v>
      </c>
      <c r="CI126" t="e">
        <f>AND(Bills!N472,"AAAAABX+/VY=")</f>
        <v>#VALUE!</v>
      </c>
      <c r="CJ126" t="e">
        <f>AND(Bills!O472,"AAAAABX+/Vc=")</f>
        <v>#VALUE!</v>
      </c>
      <c r="CK126" t="e">
        <f>AND(Bills!P472,"AAAAABX+/Vg=")</f>
        <v>#VALUE!</v>
      </c>
      <c r="CL126" t="e">
        <f>AND(Bills!Q472,"AAAAABX+/Vk=")</f>
        <v>#VALUE!</v>
      </c>
      <c r="CM126" t="e">
        <f>AND(Bills!R472,"AAAAABX+/Vo=")</f>
        <v>#VALUE!</v>
      </c>
      <c r="CN126" t="e">
        <f>AND(Bills!S472,"AAAAABX+/Vs=")</f>
        <v>#VALUE!</v>
      </c>
      <c r="CO126" t="e">
        <f>AND(Bills!T472,"AAAAABX+/Vw=")</f>
        <v>#VALUE!</v>
      </c>
      <c r="CP126" t="e">
        <f>AND(Bills!#REF!,"AAAAABX+/V0=")</f>
        <v>#REF!</v>
      </c>
      <c r="CQ126" t="e">
        <f>AND(Bills!U472,"AAAAABX+/V4=")</f>
        <v>#VALUE!</v>
      </c>
      <c r="CR126" t="e">
        <f>AND(Bills!V472,"AAAAABX+/V8=")</f>
        <v>#VALUE!</v>
      </c>
      <c r="CS126" t="e">
        <f>AND(Bills!W472,"AAAAABX+/WA=")</f>
        <v>#VALUE!</v>
      </c>
      <c r="CT126" t="e">
        <f>AND(Bills!#REF!,"AAAAABX+/WE=")</f>
        <v>#REF!</v>
      </c>
      <c r="CU126" t="e">
        <f>AND(Bills!#REF!,"AAAAABX+/WI=")</f>
        <v>#REF!</v>
      </c>
      <c r="CV126" t="e">
        <f>AND(Bills!Y472,"AAAAABX+/WM=")</f>
        <v>#VALUE!</v>
      </c>
      <c r="CW126" t="e">
        <f>AND(Bills!Z472,"AAAAABX+/WQ=")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AND(Bills!AA472,"AAAAABX+/W4=")</f>
        <v>#VALUE!</v>
      </c>
      <c r="DH126" t="e">
        <f>AND(Bills!AB472,"AAAAABX+/W8=")</f>
        <v>#VALUE!</v>
      </c>
      <c r="DI126" t="e">
        <f>AND(Bills!#REF!,"AAAAABX+/XA=")</f>
        <v>#REF!</v>
      </c>
      <c r="DJ126" t="e">
        <f>AND(Bills!#REF!,"AAAAABX+/XE=")</f>
        <v>#REF!</v>
      </c>
      <c r="DK126" t="e">
        <f>AND(Bills!#REF!,"AAAAABX+/XI=")</f>
        <v>#REF!</v>
      </c>
      <c r="DL126" t="e">
        <f>AND(Bills!AC472,"AAAAABX+/XM=")</f>
        <v>#VALUE!</v>
      </c>
      <c r="DM126" t="e">
        <f>AND(Bills!AD472,"AAAAABX+/XQ=")</f>
        <v>#VALUE!</v>
      </c>
      <c r="DN126" t="e">
        <f>AND(Bills!#REF!,"AAAAABX+/XU=")</f>
        <v>#REF!</v>
      </c>
      <c r="DO126">
        <f>IF(Bills!473:473,"AAAAABX+/XY=",0)</f>
        <v>0</v>
      </c>
      <c r="DP126" t="e">
        <f>AND(Bills!B473,"AAAAABX+/Xc=")</f>
        <v>#VALUE!</v>
      </c>
      <c r="DQ126" t="e">
        <f>AND(Bills!#REF!,"AAAAABX+/Xg=")</f>
        <v>#REF!</v>
      </c>
      <c r="DR126" t="e">
        <f>AND(Bills!C473,"AAAAABX+/Xk=")</f>
        <v>#VALUE!</v>
      </c>
      <c r="DS126" t="e">
        <f>AND(Bills!D473,"AAAAABX+/Xo=")</f>
        <v>#VALUE!</v>
      </c>
      <c r="DT126" t="e">
        <f>AND(Bills!E473,"AAAAABX+/Xs=")</f>
        <v>#VALUE!</v>
      </c>
      <c r="DU126" t="e">
        <f>AND(Bills!#REF!,"AAAAABX+/Xw=")</f>
        <v>#REF!</v>
      </c>
      <c r="DV126" t="e">
        <f>AND(Bills!#REF!,"AAAAABX+/X0=")</f>
        <v>#REF!</v>
      </c>
      <c r="DW126" t="e">
        <f>AND(Bills!#REF!,"AAAAABX+/X4=")</f>
        <v>#REF!</v>
      </c>
      <c r="DX126" t="e">
        <f>AND(Bills!F473,"AAAAABX+/X8=")</f>
        <v>#VALUE!</v>
      </c>
      <c r="DY126" t="e">
        <f>AND(Bills!#REF!,"AAAAABX+/YA=")</f>
        <v>#REF!</v>
      </c>
      <c r="DZ126" t="e">
        <f>AND(Bills!G473,"AAAAABX+/YE=")</f>
        <v>#VALUE!</v>
      </c>
      <c r="EA126" t="e">
        <f>AND(Bills!H473,"AAAAABX+/YI=")</f>
        <v>#VALUE!</v>
      </c>
      <c r="EB126" t="e">
        <f>AND(Bills!I473,"AAAAABX+/YM=")</f>
        <v>#VALUE!</v>
      </c>
      <c r="EC126" t="e">
        <f>AND(Bills!J473,"AAAAABX+/YQ=")</f>
        <v>#VALUE!</v>
      </c>
      <c r="ED126" t="e">
        <f>AND(Bills!K473,"AAAAABX+/YU=")</f>
        <v>#VALUE!</v>
      </c>
      <c r="EE126" t="e">
        <f>AND(Bills!L473,"AAAAABX+/YY=")</f>
        <v>#VALUE!</v>
      </c>
      <c r="EF126" t="e">
        <f>AND(Bills!#REF!,"AAAAABX+/Yc=")</f>
        <v>#REF!</v>
      </c>
      <c r="EG126" t="e">
        <f>AND(Bills!M473,"AAAAABX+/Yg=")</f>
        <v>#VALUE!</v>
      </c>
      <c r="EH126" t="e">
        <f>AND(Bills!N473,"AAAAABX+/Yk=")</f>
        <v>#VALUE!</v>
      </c>
      <c r="EI126" t="e">
        <f>AND(Bills!O473,"AAAAABX+/Yo=")</f>
        <v>#VALUE!</v>
      </c>
      <c r="EJ126" t="e">
        <f>AND(Bills!P473,"AAAAABX+/Ys=")</f>
        <v>#VALUE!</v>
      </c>
      <c r="EK126" t="e">
        <f>AND(Bills!Q473,"AAAAABX+/Yw=")</f>
        <v>#VALUE!</v>
      </c>
      <c r="EL126" t="e">
        <f>AND(Bills!R473,"AAAAABX+/Y0=")</f>
        <v>#VALUE!</v>
      </c>
      <c r="EM126" t="e">
        <f>AND(Bills!S473,"AAAAABX+/Y4=")</f>
        <v>#VALUE!</v>
      </c>
      <c r="EN126" t="e">
        <f>AND(Bills!T473,"AAAAABX+/Y8=")</f>
        <v>#VALUE!</v>
      </c>
      <c r="EO126" t="e">
        <f>AND(Bills!#REF!,"AAAAABX+/ZA=")</f>
        <v>#REF!</v>
      </c>
      <c r="EP126" t="e">
        <f>AND(Bills!U473,"AAAAABX+/ZE=")</f>
        <v>#VALUE!</v>
      </c>
      <c r="EQ126" t="e">
        <f>AND(Bills!V473,"AAAAABX+/ZI=")</f>
        <v>#VALUE!</v>
      </c>
      <c r="ER126" t="e">
        <f>AND(Bills!W473,"AAAAABX+/ZM=")</f>
        <v>#VALUE!</v>
      </c>
      <c r="ES126" t="e">
        <f>AND(Bills!#REF!,"AAAAABX+/ZQ=")</f>
        <v>#REF!</v>
      </c>
      <c r="ET126" t="e">
        <f>AND(Bills!#REF!,"AAAAABX+/ZU=")</f>
        <v>#REF!</v>
      </c>
      <c r="EU126" t="e">
        <f>AND(Bills!Y473,"AAAAABX+/ZY=")</f>
        <v>#VALUE!</v>
      </c>
      <c r="EV126" t="e">
        <f>AND(Bills!Z473,"AAAAABX+/Zc=")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AND(Bills!AA473,"AAAAABX+/aE=")</f>
        <v>#VALUE!</v>
      </c>
      <c r="FG126" t="e">
        <f>AND(Bills!AB473,"AAAAABX+/aI=")</f>
        <v>#VALUE!</v>
      </c>
      <c r="FH126" t="e">
        <f>AND(Bills!#REF!,"AAAAABX+/aM=")</f>
        <v>#REF!</v>
      </c>
      <c r="FI126" t="e">
        <f>AND(Bills!#REF!,"AAAAABX+/aQ=")</f>
        <v>#REF!</v>
      </c>
      <c r="FJ126" t="e">
        <f>AND(Bills!#REF!,"AAAAABX+/aU=")</f>
        <v>#REF!</v>
      </c>
      <c r="FK126" t="e">
        <f>AND(Bills!AC473,"AAAAABX+/aY=")</f>
        <v>#VALUE!</v>
      </c>
      <c r="FL126" t="e">
        <f>AND(Bills!AD473,"AAAAABX+/ac=")</f>
        <v>#VALUE!</v>
      </c>
      <c r="FM126" t="e">
        <f>AND(Bills!#REF!,"AAAAABX+/ag=")</f>
        <v>#REF!</v>
      </c>
      <c r="FN126">
        <f>IF(Bills!474:474,"AAAAABX+/ak=",0)</f>
        <v>0</v>
      </c>
      <c r="FO126" t="e">
        <f>AND(Bills!B474,"AAAAABX+/ao=")</f>
        <v>#VALUE!</v>
      </c>
      <c r="FP126" t="e">
        <f>AND(Bills!#REF!,"AAAAABX+/as=")</f>
        <v>#REF!</v>
      </c>
      <c r="FQ126" t="e">
        <f>AND(Bills!C474,"AAAAABX+/aw=")</f>
        <v>#VALUE!</v>
      </c>
      <c r="FR126" t="e">
        <f>AND(Bills!D474,"AAAAABX+/a0=")</f>
        <v>#VALUE!</v>
      </c>
      <c r="FS126" t="e">
        <f>AND(Bills!E474,"AAAAABX+/a4=")</f>
        <v>#VALUE!</v>
      </c>
      <c r="FT126" t="e">
        <f>AND(Bills!#REF!,"AAAAABX+/a8=")</f>
        <v>#REF!</v>
      </c>
      <c r="FU126" t="e">
        <f>AND(Bills!#REF!,"AAAAABX+/bA=")</f>
        <v>#REF!</v>
      </c>
      <c r="FV126" t="e">
        <f>AND(Bills!#REF!,"AAAAABX+/bE=")</f>
        <v>#REF!</v>
      </c>
      <c r="FW126" t="e">
        <f>AND(Bills!F474,"AAAAABX+/bI=")</f>
        <v>#VALUE!</v>
      </c>
      <c r="FX126" t="e">
        <f>AND(Bills!#REF!,"AAAAABX+/bM=")</f>
        <v>#REF!</v>
      </c>
      <c r="FY126" t="e">
        <f>AND(Bills!G474,"AAAAABX+/bQ=")</f>
        <v>#VALUE!</v>
      </c>
      <c r="FZ126" t="e">
        <f>AND(Bills!H474,"AAAAABX+/bU=")</f>
        <v>#VALUE!</v>
      </c>
      <c r="GA126" t="e">
        <f>AND(Bills!I474,"AAAAABX+/bY=")</f>
        <v>#VALUE!</v>
      </c>
      <c r="GB126" t="e">
        <f>AND(Bills!J474,"AAAAABX+/bc=")</f>
        <v>#VALUE!</v>
      </c>
      <c r="GC126" t="e">
        <f>AND(Bills!K474,"AAAAABX+/bg=")</f>
        <v>#VALUE!</v>
      </c>
      <c r="GD126" t="e">
        <f>AND(Bills!L474,"AAAAABX+/bk=")</f>
        <v>#VALUE!</v>
      </c>
      <c r="GE126" t="e">
        <f>AND(Bills!#REF!,"AAAAABX+/bo=")</f>
        <v>#REF!</v>
      </c>
      <c r="GF126" t="e">
        <f>AND(Bills!M474,"AAAAABX+/bs=")</f>
        <v>#VALUE!</v>
      </c>
      <c r="GG126" t="e">
        <f>AND(Bills!N474,"AAAAABX+/bw=")</f>
        <v>#VALUE!</v>
      </c>
      <c r="GH126" t="e">
        <f>AND(Bills!O474,"AAAAABX+/b0=")</f>
        <v>#VALUE!</v>
      </c>
      <c r="GI126" t="e">
        <f>AND(Bills!P474,"AAAAABX+/b4=")</f>
        <v>#VALUE!</v>
      </c>
      <c r="GJ126" t="e">
        <f>AND(Bills!Q474,"AAAAABX+/b8=")</f>
        <v>#VALUE!</v>
      </c>
      <c r="GK126" t="e">
        <f>AND(Bills!R474,"AAAAABX+/cA=")</f>
        <v>#VALUE!</v>
      </c>
      <c r="GL126" t="e">
        <f>AND(Bills!S474,"AAAAABX+/cE=")</f>
        <v>#VALUE!</v>
      </c>
      <c r="GM126" t="e">
        <f>AND(Bills!T474,"AAAAABX+/cI=")</f>
        <v>#VALUE!</v>
      </c>
      <c r="GN126" t="e">
        <f>AND(Bills!#REF!,"AAAAABX+/cM=")</f>
        <v>#REF!</v>
      </c>
      <c r="GO126" t="e">
        <f>AND(Bills!U474,"AAAAABX+/cQ=")</f>
        <v>#VALUE!</v>
      </c>
      <c r="GP126" t="e">
        <f>AND(Bills!V474,"AAAAABX+/cU=")</f>
        <v>#VALUE!</v>
      </c>
      <c r="GQ126" t="e">
        <f>AND(Bills!W474,"AAAAABX+/cY=")</f>
        <v>#VALUE!</v>
      </c>
      <c r="GR126" t="e">
        <f>AND(Bills!#REF!,"AAAAABX+/cc=")</f>
        <v>#REF!</v>
      </c>
      <c r="GS126" t="e">
        <f>AND(Bills!#REF!,"AAAAABX+/cg=")</f>
        <v>#REF!</v>
      </c>
      <c r="GT126" t="e">
        <f>AND(Bills!Y474,"AAAAABX+/ck=")</f>
        <v>#VALUE!</v>
      </c>
      <c r="GU126" t="e">
        <f>AND(Bills!Z474,"AAAAABX+/co=")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AND(Bills!AA474,"AAAAABX+/dQ=")</f>
        <v>#VALUE!</v>
      </c>
      <c r="HF126" t="e">
        <f>AND(Bills!AB474,"AAAAABX+/dU=")</f>
        <v>#VALUE!</v>
      </c>
      <c r="HG126" t="e">
        <f>AND(Bills!#REF!,"AAAAABX+/dY=")</f>
        <v>#REF!</v>
      </c>
      <c r="HH126" t="e">
        <f>AND(Bills!#REF!,"AAAAABX+/dc=")</f>
        <v>#REF!</v>
      </c>
      <c r="HI126" t="e">
        <f>AND(Bills!#REF!,"AAAAABX+/dg=")</f>
        <v>#REF!</v>
      </c>
      <c r="HJ126" t="e">
        <f>AND(Bills!AC474,"AAAAABX+/dk=")</f>
        <v>#VALUE!</v>
      </c>
      <c r="HK126" t="e">
        <f>AND(Bills!AD474,"AAAAABX+/do=")</f>
        <v>#VALUE!</v>
      </c>
      <c r="HL126" t="e">
        <f>AND(Bills!#REF!,"AAAAABX+/ds=")</f>
        <v>#REF!</v>
      </c>
      <c r="HM126">
        <f>IF(Bills!475:475,"AAAAABX+/dw=",0)</f>
        <v>0</v>
      </c>
      <c r="HN126" t="e">
        <f>AND(Bills!B475,"AAAAABX+/d0=")</f>
        <v>#VALUE!</v>
      </c>
      <c r="HO126" t="e">
        <f>AND(Bills!#REF!,"AAAAABX+/d4=")</f>
        <v>#REF!</v>
      </c>
      <c r="HP126" t="e">
        <f>AND(Bills!C475,"AAAAABX+/d8=")</f>
        <v>#VALUE!</v>
      </c>
      <c r="HQ126" t="e">
        <f>AND(Bills!D475,"AAAAABX+/eA=")</f>
        <v>#VALUE!</v>
      </c>
      <c r="HR126" t="e">
        <f>AND(Bills!E475,"AAAAABX+/eE=")</f>
        <v>#VALUE!</v>
      </c>
      <c r="HS126" t="e">
        <f>AND(Bills!#REF!,"AAAAABX+/eI=")</f>
        <v>#REF!</v>
      </c>
      <c r="HT126" t="e">
        <f>AND(Bills!#REF!,"AAAAABX+/eM=")</f>
        <v>#REF!</v>
      </c>
      <c r="HU126" t="e">
        <f>AND(Bills!#REF!,"AAAAABX+/eQ=")</f>
        <v>#REF!</v>
      </c>
      <c r="HV126" t="e">
        <f>AND(Bills!F475,"AAAAABX+/eU=")</f>
        <v>#VALUE!</v>
      </c>
      <c r="HW126" t="e">
        <f>AND(Bills!#REF!,"AAAAABX+/eY=")</f>
        <v>#REF!</v>
      </c>
      <c r="HX126" t="e">
        <f>AND(Bills!G475,"AAAAABX+/ec=")</f>
        <v>#VALUE!</v>
      </c>
      <c r="HY126" t="e">
        <f>AND(Bills!H475,"AAAAABX+/eg=")</f>
        <v>#VALUE!</v>
      </c>
      <c r="HZ126" t="e">
        <f>AND(Bills!I475,"AAAAABX+/ek=")</f>
        <v>#VALUE!</v>
      </c>
      <c r="IA126" t="e">
        <f>AND(Bills!J475,"AAAAABX+/eo=")</f>
        <v>#VALUE!</v>
      </c>
      <c r="IB126" t="e">
        <f>AND(Bills!K475,"AAAAABX+/es=")</f>
        <v>#VALUE!</v>
      </c>
      <c r="IC126" t="e">
        <f>AND(Bills!L475,"AAAAABX+/ew=")</f>
        <v>#VALUE!</v>
      </c>
      <c r="ID126" t="e">
        <f>AND(Bills!#REF!,"AAAAABX+/e0=")</f>
        <v>#REF!</v>
      </c>
      <c r="IE126" t="e">
        <f>AND(Bills!M475,"AAAAABX+/e4=")</f>
        <v>#VALUE!</v>
      </c>
      <c r="IF126" t="e">
        <f>AND(Bills!N475,"AAAAABX+/e8=")</f>
        <v>#VALUE!</v>
      </c>
      <c r="IG126" t="e">
        <f>AND(Bills!O475,"AAAAABX+/fA=")</f>
        <v>#VALUE!</v>
      </c>
      <c r="IH126" t="e">
        <f>AND(Bills!P475,"AAAAABX+/fE=")</f>
        <v>#VALUE!</v>
      </c>
      <c r="II126" t="e">
        <f>AND(Bills!Q475,"AAAAABX+/fI=")</f>
        <v>#VALUE!</v>
      </c>
      <c r="IJ126" t="e">
        <f>AND(Bills!R475,"AAAAABX+/fM=")</f>
        <v>#VALUE!</v>
      </c>
      <c r="IK126" t="e">
        <f>AND(Bills!S475,"AAAAABX+/fQ=")</f>
        <v>#VALUE!</v>
      </c>
      <c r="IL126" t="e">
        <f>AND(Bills!T475,"AAAAABX+/fU=")</f>
        <v>#VALUE!</v>
      </c>
      <c r="IM126" t="e">
        <f>AND(Bills!#REF!,"AAAAABX+/fY=")</f>
        <v>#REF!</v>
      </c>
      <c r="IN126" t="e">
        <f>AND(Bills!U475,"AAAAABX+/fc=")</f>
        <v>#VALUE!</v>
      </c>
      <c r="IO126" t="e">
        <f>AND(Bills!V475,"AAAAABX+/fg=")</f>
        <v>#VALUE!</v>
      </c>
      <c r="IP126" t="e">
        <f>AND(Bills!W475,"AAAAABX+/fk=")</f>
        <v>#VALUE!</v>
      </c>
      <c r="IQ126" t="e">
        <f>AND(Bills!#REF!,"AAAAABX+/fo=")</f>
        <v>#REF!</v>
      </c>
      <c r="IR126" t="e">
        <f>AND(Bills!#REF!,"AAAAABX+/fs=")</f>
        <v>#REF!</v>
      </c>
      <c r="IS126" t="e">
        <f>AND(Bills!Y475,"AAAAABX+/fw=")</f>
        <v>#VALUE!</v>
      </c>
      <c r="IT126" t="e">
        <f>AND(Bills!Z475,"AAAAABX+/f0=")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AND(Bills!AA475,"AAAAAF/5ewc=")</f>
        <v>#VALUE!</v>
      </c>
      <c r="I127" t="e">
        <f>AND(Bills!AB475,"AAAAAF/5ewg=")</f>
        <v>#VALUE!</v>
      </c>
      <c r="J127" t="e">
        <f>AND(Bills!#REF!,"AAAAAF/5ewk=")</f>
        <v>#REF!</v>
      </c>
      <c r="K127" t="e">
        <f>AND(Bills!#REF!,"AAAAAF/5ewo=")</f>
        <v>#REF!</v>
      </c>
      <c r="L127" t="e">
        <f>AND(Bills!#REF!,"AAAAAF/5ews=")</f>
        <v>#REF!</v>
      </c>
      <c r="M127" t="e">
        <f>AND(Bills!AC475,"AAAAAF/5eww=")</f>
        <v>#VALUE!</v>
      </c>
      <c r="N127" t="e">
        <f>AND(Bills!AD475,"AAAAAF/5ew0=")</f>
        <v>#VALUE!</v>
      </c>
      <c r="O127" t="e">
        <f>AND(Bills!#REF!,"AAAAAF/5ew4=")</f>
        <v>#REF!</v>
      </c>
      <c r="P127">
        <f>IF(Bills!476:476,"AAAAAF/5ew8=",0)</f>
        <v>0</v>
      </c>
      <c r="Q127" t="e">
        <f>AND(Bills!B476,"AAAAAF/5exA=")</f>
        <v>#VALUE!</v>
      </c>
      <c r="R127" t="e">
        <f>AND(Bills!#REF!,"AAAAAF/5exE=")</f>
        <v>#REF!</v>
      </c>
      <c r="S127" t="e">
        <f>AND(Bills!C476,"AAAAAF/5exI=")</f>
        <v>#VALUE!</v>
      </c>
      <c r="T127" t="e">
        <f>AND(Bills!D476,"AAAAAF/5exM=")</f>
        <v>#VALUE!</v>
      </c>
      <c r="U127" t="e">
        <f>AND(Bills!E476,"AAAAAF/5exQ=")</f>
        <v>#VALUE!</v>
      </c>
      <c r="V127" t="e">
        <f>AND(Bills!#REF!,"AAAAAF/5exU=")</f>
        <v>#REF!</v>
      </c>
      <c r="W127" t="e">
        <f>AND(Bills!#REF!,"AAAAAF/5exY=")</f>
        <v>#REF!</v>
      </c>
      <c r="X127" t="e">
        <f>AND(Bills!#REF!,"AAAAAF/5exc=")</f>
        <v>#REF!</v>
      </c>
      <c r="Y127" t="e">
        <f>AND(Bills!F476,"AAAAAF/5exg=")</f>
        <v>#VALUE!</v>
      </c>
      <c r="Z127" t="e">
        <f>AND(Bills!#REF!,"AAAAAF/5exk=")</f>
        <v>#REF!</v>
      </c>
      <c r="AA127" t="e">
        <f>AND(Bills!G476,"AAAAAF/5exo=")</f>
        <v>#VALUE!</v>
      </c>
      <c r="AB127" t="e">
        <f>AND(Bills!H476,"AAAAAF/5exs=")</f>
        <v>#VALUE!</v>
      </c>
      <c r="AC127" t="e">
        <f>AND(Bills!I476,"AAAAAF/5exw=")</f>
        <v>#VALUE!</v>
      </c>
      <c r="AD127" t="e">
        <f>AND(Bills!J476,"AAAAAF/5ex0=")</f>
        <v>#VALUE!</v>
      </c>
      <c r="AE127" t="e">
        <f>AND(Bills!K476,"AAAAAF/5ex4=")</f>
        <v>#VALUE!</v>
      </c>
      <c r="AF127" t="e">
        <f>AND(Bills!L476,"AAAAAF/5ex8=")</f>
        <v>#VALUE!</v>
      </c>
      <c r="AG127" t="e">
        <f>AND(Bills!#REF!,"AAAAAF/5eyA=")</f>
        <v>#REF!</v>
      </c>
      <c r="AH127" t="e">
        <f>AND(Bills!M476,"AAAAAF/5eyE=")</f>
        <v>#VALUE!</v>
      </c>
      <c r="AI127" t="e">
        <f>AND(Bills!N476,"AAAAAF/5eyI=")</f>
        <v>#VALUE!</v>
      </c>
      <c r="AJ127" t="e">
        <f>AND(Bills!O476,"AAAAAF/5eyM=")</f>
        <v>#VALUE!</v>
      </c>
      <c r="AK127" t="e">
        <f>AND(Bills!P476,"AAAAAF/5eyQ=")</f>
        <v>#VALUE!</v>
      </c>
      <c r="AL127" t="e">
        <f>AND(Bills!Q476,"AAAAAF/5eyU=")</f>
        <v>#VALUE!</v>
      </c>
      <c r="AM127" t="e">
        <f>AND(Bills!R476,"AAAAAF/5eyY=")</f>
        <v>#VALUE!</v>
      </c>
      <c r="AN127" t="e">
        <f>AND(Bills!S476,"AAAAAF/5eyc=")</f>
        <v>#VALUE!</v>
      </c>
      <c r="AO127" t="e">
        <f>AND(Bills!T476,"AAAAAF/5eyg=")</f>
        <v>#VALUE!</v>
      </c>
      <c r="AP127" t="e">
        <f>AND(Bills!#REF!,"AAAAAF/5eyk=")</f>
        <v>#REF!</v>
      </c>
      <c r="AQ127" t="e">
        <f>AND(Bills!U476,"AAAAAF/5eyo=")</f>
        <v>#VALUE!</v>
      </c>
      <c r="AR127" t="e">
        <f>AND(Bills!V476,"AAAAAF/5eys=")</f>
        <v>#VALUE!</v>
      </c>
      <c r="AS127" t="e">
        <f>AND(Bills!W476,"AAAAAF/5eyw=")</f>
        <v>#VALUE!</v>
      </c>
      <c r="AT127" t="e">
        <f>AND(Bills!#REF!,"AAAAAF/5ey0=")</f>
        <v>#REF!</v>
      </c>
      <c r="AU127" t="e">
        <f>AND(Bills!#REF!,"AAAAAF/5ey4=")</f>
        <v>#REF!</v>
      </c>
      <c r="AV127" t="e">
        <f>AND(Bills!Y476,"AAAAAF/5ey8=")</f>
        <v>#VALUE!</v>
      </c>
      <c r="AW127" t="e">
        <f>AND(Bills!Z476,"AAAAAF/5ezA=")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AND(Bills!AA476,"AAAAAF/5ezo=")</f>
        <v>#VALUE!</v>
      </c>
      <c r="BH127" t="e">
        <f>AND(Bills!AB476,"AAAAAF/5ezs=")</f>
        <v>#VALUE!</v>
      </c>
      <c r="BI127" t="e">
        <f>AND(Bills!#REF!,"AAAAAF/5ezw=")</f>
        <v>#REF!</v>
      </c>
      <c r="BJ127" t="e">
        <f>AND(Bills!#REF!,"AAAAAF/5ez0=")</f>
        <v>#REF!</v>
      </c>
      <c r="BK127" t="e">
        <f>AND(Bills!#REF!,"AAAAAF/5ez4=")</f>
        <v>#REF!</v>
      </c>
      <c r="BL127" t="e">
        <f>AND(Bills!AC476,"AAAAAF/5ez8=")</f>
        <v>#VALUE!</v>
      </c>
      <c r="BM127" t="e">
        <f>AND(Bills!AD476,"AAAAAF/5e0A=")</f>
        <v>#VALUE!</v>
      </c>
      <c r="BN127" t="e">
        <f>AND(Bills!#REF!,"AAAAAF/5e0E=")</f>
        <v>#REF!</v>
      </c>
      <c r="BO127">
        <f>IF(Bills!477:477,"AAAAAF/5e0I=",0)</f>
        <v>0</v>
      </c>
      <c r="BP127" t="e">
        <f>AND(Bills!B477,"AAAAAF/5e0M=")</f>
        <v>#VALUE!</v>
      </c>
      <c r="BQ127" t="e">
        <f>AND(Bills!#REF!,"AAAAAF/5e0Q=")</f>
        <v>#REF!</v>
      </c>
      <c r="BR127" t="e">
        <f>AND(Bills!C477,"AAAAAF/5e0U=")</f>
        <v>#VALUE!</v>
      </c>
      <c r="BS127" t="e">
        <f>AND(Bills!D477,"AAAAAF/5e0Y=")</f>
        <v>#VALUE!</v>
      </c>
      <c r="BT127" t="e">
        <f>AND(Bills!E477,"AAAAAF/5e0c=")</f>
        <v>#VALUE!</v>
      </c>
      <c r="BU127" t="e">
        <f>AND(Bills!#REF!,"AAAAAF/5e0g=")</f>
        <v>#REF!</v>
      </c>
      <c r="BV127" t="e">
        <f>AND(Bills!#REF!,"AAAAAF/5e0k=")</f>
        <v>#REF!</v>
      </c>
      <c r="BW127" t="e">
        <f>AND(Bills!#REF!,"AAAAAF/5e0o=")</f>
        <v>#REF!</v>
      </c>
      <c r="BX127" t="e">
        <f>AND(Bills!F477,"AAAAAF/5e0s=")</f>
        <v>#VALUE!</v>
      </c>
      <c r="BY127" t="e">
        <f>AND(Bills!#REF!,"AAAAAF/5e0w=")</f>
        <v>#REF!</v>
      </c>
      <c r="BZ127" t="e">
        <f>AND(Bills!G477,"AAAAAF/5e00=")</f>
        <v>#VALUE!</v>
      </c>
      <c r="CA127" t="e">
        <f>AND(Bills!H477,"AAAAAF/5e04=")</f>
        <v>#VALUE!</v>
      </c>
      <c r="CB127" t="e">
        <f>AND(Bills!I477,"AAAAAF/5e08=")</f>
        <v>#VALUE!</v>
      </c>
      <c r="CC127" t="e">
        <f>AND(Bills!J477,"AAAAAF/5e1A=")</f>
        <v>#VALUE!</v>
      </c>
      <c r="CD127" t="e">
        <f>AND(Bills!K477,"AAAAAF/5e1E=")</f>
        <v>#VALUE!</v>
      </c>
      <c r="CE127" t="e">
        <f>AND(Bills!L477,"AAAAAF/5e1I=")</f>
        <v>#VALUE!</v>
      </c>
      <c r="CF127" t="e">
        <f>AND(Bills!#REF!,"AAAAAF/5e1M=")</f>
        <v>#REF!</v>
      </c>
      <c r="CG127" t="e">
        <f>AND(Bills!M477,"AAAAAF/5e1Q=")</f>
        <v>#VALUE!</v>
      </c>
      <c r="CH127" t="e">
        <f>AND(Bills!N477,"AAAAAF/5e1U=")</f>
        <v>#VALUE!</v>
      </c>
      <c r="CI127" t="e">
        <f>AND(Bills!O477,"AAAAAF/5e1Y=")</f>
        <v>#VALUE!</v>
      </c>
      <c r="CJ127" t="e">
        <f>AND(Bills!P477,"AAAAAF/5e1c=")</f>
        <v>#VALUE!</v>
      </c>
      <c r="CK127" t="e">
        <f>AND(Bills!Q477,"AAAAAF/5e1g=")</f>
        <v>#VALUE!</v>
      </c>
      <c r="CL127" t="e">
        <f>AND(Bills!R477,"AAAAAF/5e1k=")</f>
        <v>#VALUE!</v>
      </c>
      <c r="CM127" t="e">
        <f>AND(Bills!S477,"AAAAAF/5e1o=")</f>
        <v>#VALUE!</v>
      </c>
      <c r="CN127" t="e">
        <f>AND(Bills!T477,"AAAAAF/5e1s=")</f>
        <v>#VALUE!</v>
      </c>
      <c r="CO127" t="e">
        <f>AND(Bills!#REF!,"AAAAAF/5e1w=")</f>
        <v>#REF!</v>
      </c>
      <c r="CP127" t="e">
        <f>AND(Bills!U477,"AAAAAF/5e10=")</f>
        <v>#VALUE!</v>
      </c>
      <c r="CQ127" t="e">
        <f>AND(Bills!V477,"AAAAAF/5e14=")</f>
        <v>#VALUE!</v>
      </c>
      <c r="CR127" t="e">
        <f>AND(Bills!W477,"AAAAAF/5e18=")</f>
        <v>#VALUE!</v>
      </c>
      <c r="CS127" t="e">
        <f>AND(Bills!#REF!,"AAAAAF/5e2A=")</f>
        <v>#REF!</v>
      </c>
      <c r="CT127" t="e">
        <f>AND(Bills!#REF!,"AAAAAF/5e2E=")</f>
        <v>#REF!</v>
      </c>
      <c r="CU127" t="e">
        <f>AND(Bills!Y477,"AAAAAF/5e2I=")</f>
        <v>#VALUE!</v>
      </c>
      <c r="CV127" t="e">
        <f>AND(Bills!Z477,"AAAAAF/5e2M=")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AND(Bills!AA477,"AAAAAF/5e20=")</f>
        <v>#VALUE!</v>
      </c>
      <c r="DG127" t="e">
        <f>AND(Bills!AB477,"AAAAAF/5e24=")</f>
        <v>#VALUE!</v>
      </c>
      <c r="DH127" t="e">
        <f>AND(Bills!#REF!,"AAAAAF/5e28=")</f>
        <v>#REF!</v>
      </c>
      <c r="DI127" t="e">
        <f>AND(Bills!#REF!,"AAAAAF/5e3A=")</f>
        <v>#REF!</v>
      </c>
      <c r="DJ127" t="e">
        <f>AND(Bills!#REF!,"AAAAAF/5e3E=")</f>
        <v>#REF!</v>
      </c>
      <c r="DK127" t="e">
        <f>AND(Bills!AC477,"AAAAAF/5e3I=")</f>
        <v>#VALUE!</v>
      </c>
      <c r="DL127" t="e">
        <f>AND(Bills!AD477,"AAAAAF/5e3M=")</f>
        <v>#VALUE!</v>
      </c>
      <c r="DM127" t="e">
        <f>AND(Bills!#REF!,"AAAAAF/5e3Q=")</f>
        <v>#REF!</v>
      </c>
      <c r="DN127">
        <f>IF(Bills!478:478,"AAAAAF/5e3U=",0)</f>
        <v>0</v>
      </c>
      <c r="DO127" t="e">
        <f>AND(Bills!B478,"AAAAAF/5e3Y=")</f>
        <v>#VALUE!</v>
      </c>
      <c r="DP127" t="e">
        <f>AND(Bills!#REF!,"AAAAAF/5e3c=")</f>
        <v>#REF!</v>
      </c>
      <c r="DQ127" t="e">
        <f>AND(Bills!C478,"AAAAAF/5e3g=")</f>
        <v>#VALUE!</v>
      </c>
      <c r="DR127" t="e">
        <f>AND(Bills!D478,"AAAAAF/5e3k=")</f>
        <v>#VALUE!</v>
      </c>
      <c r="DS127" t="e">
        <f>AND(Bills!E478,"AAAAAF/5e3o=")</f>
        <v>#VALUE!</v>
      </c>
      <c r="DT127" t="e">
        <f>AND(Bills!#REF!,"AAAAAF/5e3s=")</f>
        <v>#REF!</v>
      </c>
      <c r="DU127" t="e">
        <f>AND(Bills!#REF!,"AAAAAF/5e3w=")</f>
        <v>#REF!</v>
      </c>
      <c r="DV127" t="e">
        <f>AND(Bills!#REF!,"AAAAAF/5e30=")</f>
        <v>#REF!</v>
      </c>
      <c r="DW127" t="e">
        <f>AND(Bills!F478,"AAAAAF/5e34=")</f>
        <v>#VALUE!</v>
      </c>
      <c r="DX127" t="e">
        <f>AND(Bills!#REF!,"AAAAAF/5e38=")</f>
        <v>#REF!</v>
      </c>
      <c r="DY127" t="e">
        <f>AND(Bills!G478,"AAAAAF/5e4A=")</f>
        <v>#VALUE!</v>
      </c>
      <c r="DZ127" t="e">
        <f>AND(Bills!H478,"AAAAAF/5e4E=")</f>
        <v>#VALUE!</v>
      </c>
      <c r="EA127" t="e">
        <f>AND(Bills!I478,"AAAAAF/5e4I=")</f>
        <v>#VALUE!</v>
      </c>
      <c r="EB127" t="e">
        <f>AND(Bills!J478,"AAAAAF/5e4M=")</f>
        <v>#VALUE!</v>
      </c>
      <c r="EC127" t="e">
        <f>AND(Bills!K478,"AAAAAF/5e4Q=")</f>
        <v>#VALUE!</v>
      </c>
      <c r="ED127" t="e">
        <f>AND(Bills!L478,"AAAAAF/5e4U=")</f>
        <v>#VALUE!</v>
      </c>
      <c r="EE127" t="e">
        <f>AND(Bills!#REF!,"AAAAAF/5e4Y=")</f>
        <v>#REF!</v>
      </c>
      <c r="EF127" t="e">
        <f>AND(Bills!M478,"AAAAAF/5e4c=")</f>
        <v>#VALUE!</v>
      </c>
      <c r="EG127" t="e">
        <f>AND(Bills!N478,"AAAAAF/5e4g=")</f>
        <v>#VALUE!</v>
      </c>
      <c r="EH127" t="e">
        <f>AND(Bills!O478,"AAAAAF/5e4k=")</f>
        <v>#VALUE!</v>
      </c>
      <c r="EI127" t="e">
        <f>AND(Bills!P478,"AAAAAF/5e4o=")</f>
        <v>#VALUE!</v>
      </c>
      <c r="EJ127" t="e">
        <f>AND(Bills!Q478,"AAAAAF/5e4s=")</f>
        <v>#VALUE!</v>
      </c>
      <c r="EK127" t="e">
        <f>AND(Bills!R478,"AAAAAF/5e4w=")</f>
        <v>#VALUE!</v>
      </c>
      <c r="EL127" t="e">
        <f>AND(Bills!S478,"AAAAAF/5e40=")</f>
        <v>#VALUE!</v>
      </c>
      <c r="EM127" t="e">
        <f>AND(Bills!T478,"AAAAAF/5e44=")</f>
        <v>#VALUE!</v>
      </c>
      <c r="EN127" t="e">
        <f>AND(Bills!#REF!,"AAAAAF/5e48=")</f>
        <v>#REF!</v>
      </c>
      <c r="EO127" t="e">
        <f>AND(Bills!U478,"AAAAAF/5e5A=")</f>
        <v>#VALUE!</v>
      </c>
      <c r="EP127" t="e">
        <f>AND(Bills!V478,"AAAAAF/5e5E=")</f>
        <v>#VALUE!</v>
      </c>
      <c r="EQ127" t="e">
        <f>AND(Bills!W478,"AAAAAF/5e5I=")</f>
        <v>#VALUE!</v>
      </c>
      <c r="ER127" t="e">
        <f>AND(Bills!#REF!,"AAAAAF/5e5M=")</f>
        <v>#REF!</v>
      </c>
      <c r="ES127" t="e">
        <f>AND(Bills!#REF!,"AAAAAF/5e5Q=")</f>
        <v>#REF!</v>
      </c>
      <c r="ET127" t="e">
        <f>AND(Bills!Y478,"AAAAAF/5e5U=")</f>
        <v>#VALUE!</v>
      </c>
      <c r="EU127" t="e">
        <f>AND(Bills!Z478,"AAAAAF/5e5Y=")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AND(Bills!AA478,"AAAAAF/5e6A=")</f>
        <v>#VALUE!</v>
      </c>
      <c r="FF127" t="e">
        <f>AND(Bills!AB478,"AAAAAF/5e6E=")</f>
        <v>#VALUE!</v>
      </c>
      <c r="FG127" t="e">
        <f>AND(Bills!#REF!,"AAAAAF/5e6I=")</f>
        <v>#REF!</v>
      </c>
      <c r="FH127" t="e">
        <f>AND(Bills!#REF!,"AAAAAF/5e6M=")</f>
        <v>#REF!</v>
      </c>
      <c r="FI127" t="e">
        <f>AND(Bills!#REF!,"AAAAAF/5e6Q=")</f>
        <v>#REF!</v>
      </c>
      <c r="FJ127" t="e">
        <f>AND(Bills!AC478,"AAAAAF/5e6U=")</f>
        <v>#VALUE!</v>
      </c>
      <c r="FK127" t="e">
        <f>AND(Bills!AD478,"AAAAAF/5e6Y=")</f>
        <v>#VALUE!</v>
      </c>
      <c r="FL127" t="e">
        <f>AND(Bills!#REF!,"AAAAAF/5e6c=")</f>
        <v>#REF!</v>
      </c>
      <c r="FM127">
        <f>IF(Bills!479:479,"AAAAAF/5e6g=",0)</f>
        <v>0</v>
      </c>
      <c r="FN127" t="e">
        <f>AND(Bills!B479,"AAAAAF/5e6k=")</f>
        <v>#VALUE!</v>
      </c>
      <c r="FO127" t="e">
        <f>AND(Bills!#REF!,"AAAAAF/5e6o=")</f>
        <v>#REF!</v>
      </c>
      <c r="FP127" t="e">
        <f>AND(Bills!C479,"AAAAAF/5e6s=")</f>
        <v>#VALUE!</v>
      </c>
      <c r="FQ127" t="e">
        <f>AND(Bills!D479,"AAAAAF/5e6w=")</f>
        <v>#VALUE!</v>
      </c>
      <c r="FR127" t="e">
        <f>AND(Bills!E479,"AAAAAF/5e60=")</f>
        <v>#VALUE!</v>
      </c>
      <c r="FS127" t="e">
        <f>AND(Bills!#REF!,"AAAAAF/5e64=")</f>
        <v>#REF!</v>
      </c>
      <c r="FT127" t="e">
        <f>AND(Bills!#REF!,"AAAAAF/5e68=")</f>
        <v>#REF!</v>
      </c>
      <c r="FU127" t="e">
        <f>AND(Bills!#REF!,"AAAAAF/5e7A=")</f>
        <v>#REF!</v>
      </c>
      <c r="FV127" t="e">
        <f>AND(Bills!F479,"AAAAAF/5e7E=")</f>
        <v>#VALUE!</v>
      </c>
      <c r="FW127" t="e">
        <f>AND(Bills!#REF!,"AAAAAF/5e7I=")</f>
        <v>#REF!</v>
      </c>
      <c r="FX127" t="e">
        <f>AND(Bills!G479,"AAAAAF/5e7M=")</f>
        <v>#VALUE!</v>
      </c>
      <c r="FY127" t="e">
        <f>AND(Bills!H479,"AAAAAF/5e7Q=")</f>
        <v>#VALUE!</v>
      </c>
      <c r="FZ127" t="e">
        <f>AND(Bills!I479,"AAAAAF/5e7U=")</f>
        <v>#VALUE!</v>
      </c>
      <c r="GA127" t="e">
        <f>AND(Bills!J479,"AAAAAF/5e7Y=")</f>
        <v>#VALUE!</v>
      </c>
      <c r="GB127" t="e">
        <f>AND(Bills!K479,"AAAAAF/5e7c=")</f>
        <v>#VALUE!</v>
      </c>
      <c r="GC127" t="e">
        <f>AND(Bills!L479,"AAAAAF/5e7g=")</f>
        <v>#VALUE!</v>
      </c>
      <c r="GD127" t="e">
        <f>AND(Bills!#REF!,"AAAAAF/5e7k=")</f>
        <v>#REF!</v>
      </c>
      <c r="GE127" t="e">
        <f>AND(Bills!M479,"AAAAAF/5e7o=")</f>
        <v>#VALUE!</v>
      </c>
      <c r="GF127" t="e">
        <f>AND(Bills!N479,"AAAAAF/5e7s=")</f>
        <v>#VALUE!</v>
      </c>
      <c r="GG127" t="e">
        <f>AND(Bills!O479,"AAAAAF/5e7w=")</f>
        <v>#VALUE!</v>
      </c>
      <c r="GH127" t="e">
        <f>AND(Bills!P479,"AAAAAF/5e70=")</f>
        <v>#VALUE!</v>
      </c>
      <c r="GI127" t="e">
        <f>AND(Bills!Q479,"AAAAAF/5e74=")</f>
        <v>#VALUE!</v>
      </c>
      <c r="GJ127" t="e">
        <f>AND(Bills!R479,"AAAAAF/5e78=")</f>
        <v>#VALUE!</v>
      </c>
      <c r="GK127" t="e">
        <f>AND(Bills!S479,"AAAAAF/5e8A=")</f>
        <v>#VALUE!</v>
      </c>
      <c r="GL127" t="e">
        <f>AND(Bills!T479,"AAAAAF/5e8E=")</f>
        <v>#VALUE!</v>
      </c>
      <c r="GM127" t="e">
        <f>AND(Bills!#REF!,"AAAAAF/5e8I=")</f>
        <v>#REF!</v>
      </c>
      <c r="GN127" t="e">
        <f>AND(Bills!U479,"AAAAAF/5e8M=")</f>
        <v>#VALUE!</v>
      </c>
      <c r="GO127" t="e">
        <f>AND(Bills!V479,"AAAAAF/5e8Q=")</f>
        <v>#VALUE!</v>
      </c>
      <c r="GP127" t="e">
        <f>AND(Bills!W479,"AAAAAF/5e8U=")</f>
        <v>#VALUE!</v>
      </c>
      <c r="GQ127" t="e">
        <f>AND(Bills!#REF!,"AAAAAF/5e8Y=")</f>
        <v>#REF!</v>
      </c>
      <c r="GR127" t="e">
        <f>AND(Bills!#REF!,"AAAAAF/5e8c=")</f>
        <v>#REF!</v>
      </c>
      <c r="GS127" t="e">
        <f>AND(Bills!Y479,"AAAAAF/5e8g=")</f>
        <v>#VALUE!</v>
      </c>
      <c r="GT127" t="e">
        <f>AND(Bills!Z479,"AAAAAF/5e8k=")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AND(Bills!AA479,"AAAAAF/5e9M=")</f>
        <v>#VALUE!</v>
      </c>
      <c r="HE127" t="e">
        <f>AND(Bills!AB479,"AAAAAF/5e9Q=")</f>
        <v>#VALUE!</v>
      </c>
      <c r="HF127" t="e">
        <f>AND(Bills!#REF!,"AAAAAF/5e9U=")</f>
        <v>#REF!</v>
      </c>
      <c r="HG127" t="e">
        <f>AND(Bills!#REF!,"AAAAAF/5e9Y=")</f>
        <v>#REF!</v>
      </c>
      <c r="HH127" t="e">
        <f>AND(Bills!#REF!,"AAAAAF/5e9c=")</f>
        <v>#REF!</v>
      </c>
      <c r="HI127" t="e">
        <f>AND(Bills!AC479,"AAAAAF/5e9g=")</f>
        <v>#VALUE!</v>
      </c>
      <c r="HJ127" t="e">
        <f>AND(Bills!AD479,"AAAAAF/5e9k=")</f>
        <v>#VALUE!</v>
      </c>
      <c r="HK127" t="e">
        <f>AND(Bills!#REF!,"AAAAAF/5e9o=")</f>
        <v>#REF!</v>
      </c>
      <c r="HL127">
        <f>IF(Bills!480:480,"AAAAAF/5e9s=",0)</f>
        <v>0</v>
      </c>
      <c r="HM127" t="e">
        <f>AND(Bills!B480,"AAAAAF/5e9w=")</f>
        <v>#VALUE!</v>
      </c>
      <c r="HN127" t="e">
        <f>AND(Bills!#REF!,"AAAAAF/5e90=")</f>
        <v>#REF!</v>
      </c>
      <c r="HO127" t="e">
        <f>AND(Bills!C480,"AAAAAF/5e94=")</f>
        <v>#VALUE!</v>
      </c>
      <c r="HP127" t="e">
        <f>AND(Bills!D480,"AAAAAF/5e98=")</f>
        <v>#VALUE!</v>
      </c>
      <c r="HQ127" t="e">
        <f>AND(Bills!E480,"AAAAAF/5e+A=")</f>
        <v>#VALUE!</v>
      </c>
      <c r="HR127" t="e">
        <f>AND(Bills!#REF!,"AAAAAF/5e+E=")</f>
        <v>#REF!</v>
      </c>
      <c r="HS127" t="e">
        <f>AND(Bills!#REF!,"AAAAAF/5e+I=")</f>
        <v>#REF!</v>
      </c>
      <c r="HT127" t="e">
        <f>AND(Bills!#REF!,"AAAAAF/5e+M=")</f>
        <v>#REF!</v>
      </c>
      <c r="HU127" t="e">
        <f>AND(Bills!F480,"AAAAAF/5e+Q=")</f>
        <v>#VALUE!</v>
      </c>
      <c r="HV127" t="e">
        <f>AND(Bills!#REF!,"AAAAAF/5e+U=")</f>
        <v>#REF!</v>
      </c>
      <c r="HW127" t="e">
        <f>AND(Bills!G480,"AAAAAF/5e+Y=")</f>
        <v>#VALUE!</v>
      </c>
      <c r="HX127" t="e">
        <f>AND(Bills!H480,"AAAAAF/5e+c=")</f>
        <v>#VALUE!</v>
      </c>
      <c r="HY127" t="e">
        <f>AND(Bills!I480,"AAAAAF/5e+g=")</f>
        <v>#VALUE!</v>
      </c>
      <c r="HZ127" t="e">
        <f>AND(Bills!J480,"AAAAAF/5e+k=")</f>
        <v>#VALUE!</v>
      </c>
      <c r="IA127" t="e">
        <f>AND(Bills!K480,"AAAAAF/5e+o=")</f>
        <v>#VALUE!</v>
      </c>
      <c r="IB127" t="e">
        <f>AND(Bills!L480,"AAAAAF/5e+s=")</f>
        <v>#VALUE!</v>
      </c>
      <c r="IC127" t="e">
        <f>AND(Bills!#REF!,"AAAAAF/5e+w=")</f>
        <v>#REF!</v>
      </c>
      <c r="ID127" t="e">
        <f>AND(Bills!M480,"AAAAAF/5e+0=")</f>
        <v>#VALUE!</v>
      </c>
      <c r="IE127" t="e">
        <f>AND(Bills!N480,"AAAAAF/5e+4=")</f>
        <v>#VALUE!</v>
      </c>
      <c r="IF127" t="e">
        <f>AND(Bills!O480,"AAAAAF/5e+8=")</f>
        <v>#VALUE!</v>
      </c>
      <c r="IG127" t="e">
        <f>AND(Bills!P480,"AAAAAF/5e/A=")</f>
        <v>#VALUE!</v>
      </c>
      <c r="IH127" t="e">
        <f>AND(Bills!Q480,"AAAAAF/5e/E=")</f>
        <v>#VALUE!</v>
      </c>
      <c r="II127" t="e">
        <f>AND(Bills!R480,"AAAAAF/5e/I=")</f>
        <v>#VALUE!</v>
      </c>
      <c r="IJ127" t="e">
        <f>AND(Bills!S480,"AAAAAF/5e/M=")</f>
        <v>#VALUE!</v>
      </c>
      <c r="IK127" t="e">
        <f>AND(Bills!T480,"AAAAAF/5e/Q=")</f>
        <v>#VALUE!</v>
      </c>
      <c r="IL127" t="e">
        <f>AND(Bills!#REF!,"AAAAAF/5e/U=")</f>
        <v>#REF!</v>
      </c>
      <c r="IM127" t="e">
        <f>AND(Bills!U480,"AAAAAF/5e/Y=")</f>
        <v>#VALUE!</v>
      </c>
      <c r="IN127" t="e">
        <f>AND(Bills!V480,"AAAAAF/5e/c=")</f>
        <v>#VALUE!</v>
      </c>
      <c r="IO127" t="e">
        <f>AND(Bills!W480,"AAAAAF/5e/g=")</f>
        <v>#VALUE!</v>
      </c>
      <c r="IP127" t="e">
        <f>AND(Bills!#REF!,"AAAAAF/5e/k=")</f>
        <v>#REF!</v>
      </c>
      <c r="IQ127" t="e">
        <f>AND(Bills!#REF!,"AAAAAF/5e/o=")</f>
        <v>#REF!</v>
      </c>
      <c r="IR127" t="e">
        <f>AND(Bills!Y480,"AAAAAF/5e/s=")</f>
        <v>#VALUE!</v>
      </c>
      <c r="IS127" t="e">
        <f>AND(Bills!Z480,"AAAAAF/5e/w=")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AND(Bills!AA480,"AAAAAHf03QY=")</f>
        <v>#VALUE!</v>
      </c>
      <c r="H128" t="e">
        <f>AND(Bills!AB480,"AAAAAHf03Qc=")</f>
        <v>#VALUE!</v>
      </c>
      <c r="I128" t="e">
        <f>AND(Bills!#REF!,"AAAAAHf03Qg=")</f>
        <v>#REF!</v>
      </c>
      <c r="J128" t="e">
        <f>AND(Bills!#REF!,"AAAAAHf03Qk=")</f>
        <v>#REF!</v>
      </c>
      <c r="K128" t="e">
        <f>AND(Bills!#REF!,"AAAAAHf03Qo=")</f>
        <v>#REF!</v>
      </c>
      <c r="L128" t="e">
        <f>AND(Bills!AC480,"AAAAAHf03Qs=")</f>
        <v>#VALUE!</v>
      </c>
      <c r="M128" t="e">
        <f>AND(Bills!AD480,"AAAAAHf03Qw=")</f>
        <v>#VALUE!</v>
      </c>
      <c r="N128" t="e">
        <f>AND(Bills!#REF!,"AAAAAHf03Q0=")</f>
        <v>#REF!</v>
      </c>
      <c r="O128">
        <f>IF(Bills!481:481,"AAAAAHf03Q4=",0)</f>
        <v>0</v>
      </c>
      <c r="P128" t="e">
        <f>AND(Bills!B481,"AAAAAHf03Q8=")</f>
        <v>#VALUE!</v>
      </c>
      <c r="Q128" t="e">
        <f>AND(Bills!#REF!,"AAAAAHf03RA=")</f>
        <v>#REF!</v>
      </c>
      <c r="R128" t="e">
        <f>AND(Bills!C481,"AAAAAHf03RE=")</f>
        <v>#VALUE!</v>
      </c>
      <c r="S128" t="e">
        <f>AND(Bills!D481,"AAAAAHf03RI=")</f>
        <v>#VALUE!</v>
      </c>
      <c r="T128" t="e">
        <f>AND(Bills!E481,"AAAAAHf03RM=")</f>
        <v>#VALUE!</v>
      </c>
      <c r="U128" t="e">
        <f>AND(Bills!#REF!,"AAAAAHf03RQ=")</f>
        <v>#REF!</v>
      </c>
      <c r="V128" t="e">
        <f>AND(Bills!#REF!,"AAAAAHf03RU=")</f>
        <v>#REF!</v>
      </c>
      <c r="W128" t="e">
        <f>AND(Bills!#REF!,"AAAAAHf03RY=")</f>
        <v>#REF!</v>
      </c>
      <c r="X128" t="e">
        <f>AND(Bills!F481,"AAAAAHf03Rc=")</f>
        <v>#VALUE!</v>
      </c>
      <c r="Y128" t="e">
        <f>AND(Bills!#REF!,"AAAAAHf03Rg=")</f>
        <v>#REF!</v>
      </c>
      <c r="Z128" t="e">
        <f>AND(Bills!G481,"AAAAAHf03Rk=")</f>
        <v>#VALUE!</v>
      </c>
      <c r="AA128" t="e">
        <f>AND(Bills!H481,"AAAAAHf03Ro=")</f>
        <v>#VALUE!</v>
      </c>
      <c r="AB128" t="e">
        <f>AND(Bills!I481,"AAAAAHf03Rs=")</f>
        <v>#VALUE!</v>
      </c>
      <c r="AC128" t="e">
        <f>AND(Bills!J481,"AAAAAHf03Rw=")</f>
        <v>#VALUE!</v>
      </c>
      <c r="AD128" t="e">
        <f>AND(Bills!K481,"AAAAAHf03R0=")</f>
        <v>#VALUE!</v>
      </c>
      <c r="AE128" t="e">
        <f>AND(Bills!L481,"AAAAAHf03R4=")</f>
        <v>#VALUE!</v>
      </c>
      <c r="AF128" t="e">
        <f>AND(Bills!#REF!,"AAAAAHf03R8=")</f>
        <v>#REF!</v>
      </c>
      <c r="AG128" t="e">
        <f>AND(Bills!M481,"AAAAAHf03SA=")</f>
        <v>#VALUE!</v>
      </c>
      <c r="AH128" t="e">
        <f>AND(Bills!N481,"AAAAAHf03SE=")</f>
        <v>#VALUE!</v>
      </c>
      <c r="AI128" t="e">
        <f>AND(Bills!O481,"AAAAAHf03SI=")</f>
        <v>#VALUE!</v>
      </c>
      <c r="AJ128" t="e">
        <f>AND(Bills!P481,"AAAAAHf03SM=")</f>
        <v>#VALUE!</v>
      </c>
      <c r="AK128" t="e">
        <f>AND(Bills!Q481,"AAAAAHf03SQ=")</f>
        <v>#VALUE!</v>
      </c>
      <c r="AL128" t="e">
        <f>AND(Bills!R481,"AAAAAHf03SU=")</f>
        <v>#VALUE!</v>
      </c>
      <c r="AM128" t="e">
        <f>AND(Bills!S481,"AAAAAHf03SY=")</f>
        <v>#VALUE!</v>
      </c>
      <c r="AN128" t="e">
        <f>AND(Bills!T481,"AAAAAHf03Sc=")</f>
        <v>#VALUE!</v>
      </c>
      <c r="AO128" t="e">
        <f>AND(Bills!#REF!,"AAAAAHf03Sg=")</f>
        <v>#REF!</v>
      </c>
      <c r="AP128" t="e">
        <f>AND(Bills!U481,"AAAAAHf03Sk=")</f>
        <v>#VALUE!</v>
      </c>
      <c r="AQ128" t="e">
        <f>AND(Bills!V481,"AAAAAHf03So=")</f>
        <v>#VALUE!</v>
      </c>
      <c r="AR128" t="e">
        <f>AND(Bills!W481,"AAAAAHf03Ss=")</f>
        <v>#VALUE!</v>
      </c>
      <c r="AS128" t="e">
        <f>AND(Bills!#REF!,"AAAAAHf03Sw=")</f>
        <v>#REF!</v>
      </c>
      <c r="AT128" t="e">
        <f>AND(Bills!#REF!,"AAAAAHf03S0=")</f>
        <v>#REF!</v>
      </c>
      <c r="AU128" t="e">
        <f>AND(Bills!Y481,"AAAAAHf03S4=")</f>
        <v>#VALUE!</v>
      </c>
      <c r="AV128" t="e">
        <f>AND(Bills!Z481,"AAAAAHf03S8=")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AND(Bills!AA481,"AAAAAHf03Tk=")</f>
        <v>#VALUE!</v>
      </c>
      <c r="BG128" t="e">
        <f>AND(Bills!AB481,"AAAAAHf03To=")</f>
        <v>#VALUE!</v>
      </c>
      <c r="BH128" t="e">
        <f>AND(Bills!#REF!,"AAAAAHf03Ts=")</f>
        <v>#REF!</v>
      </c>
      <c r="BI128" t="e">
        <f>AND(Bills!#REF!,"AAAAAHf03Tw=")</f>
        <v>#REF!</v>
      </c>
      <c r="BJ128" t="e">
        <f>AND(Bills!#REF!,"AAAAAHf03T0=")</f>
        <v>#REF!</v>
      </c>
      <c r="BK128" t="e">
        <f>AND(Bills!AC481,"AAAAAHf03T4=")</f>
        <v>#VALUE!</v>
      </c>
      <c r="BL128" t="e">
        <f>AND(Bills!AD481,"AAAAAHf03T8=")</f>
        <v>#VALUE!</v>
      </c>
      <c r="BM128" t="e">
        <f>AND(Bills!#REF!,"AAAAAHf03UA=")</f>
        <v>#REF!</v>
      </c>
      <c r="BN128">
        <f>IF(Bills!482:482,"AAAAAHf03UE=",0)</f>
        <v>0</v>
      </c>
      <c r="BO128" t="e">
        <f>AND(Bills!B482,"AAAAAHf03UI=")</f>
        <v>#VALUE!</v>
      </c>
      <c r="BP128" t="e">
        <f>AND(Bills!#REF!,"AAAAAHf03UM=")</f>
        <v>#REF!</v>
      </c>
      <c r="BQ128" t="e">
        <f>AND(Bills!C482,"AAAAAHf03UQ=")</f>
        <v>#VALUE!</v>
      </c>
      <c r="BR128" t="e">
        <f>AND(Bills!D482,"AAAAAHf03UU=")</f>
        <v>#VALUE!</v>
      </c>
      <c r="BS128" t="e">
        <f>AND(Bills!E482,"AAAAAHf03UY=")</f>
        <v>#VALUE!</v>
      </c>
      <c r="BT128" t="e">
        <f>AND(Bills!#REF!,"AAAAAHf03Uc=")</f>
        <v>#REF!</v>
      </c>
      <c r="BU128" t="e">
        <f>AND(Bills!#REF!,"AAAAAHf03Ug=")</f>
        <v>#REF!</v>
      </c>
      <c r="BV128" t="e">
        <f>AND(Bills!#REF!,"AAAAAHf03Uk=")</f>
        <v>#REF!</v>
      </c>
      <c r="BW128" t="e">
        <f>AND(Bills!F482,"AAAAAHf03Uo=")</f>
        <v>#VALUE!</v>
      </c>
      <c r="BX128" t="e">
        <f>AND(Bills!#REF!,"AAAAAHf03Us=")</f>
        <v>#REF!</v>
      </c>
      <c r="BY128" t="e">
        <f>AND(Bills!G482,"AAAAAHf03Uw=")</f>
        <v>#VALUE!</v>
      </c>
      <c r="BZ128" t="e">
        <f>AND(Bills!H482,"AAAAAHf03U0=")</f>
        <v>#VALUE!</v>
      </c>
      <c r="CA128" t="e">
        <f>AND(Bills!I482,"AAAAAHf03U4=")</f>
        <v>#VALUE!</v>
      </c>
      <c r="CB128" t="e">
        <f>AND(Bills!J482,"AAAAAHf03U8=")</f>
        <v>#VALUE!</v>
      </c>
      <c r="CC128" t="e">
        <f>AND(Bills!K482,"AAAAAHf03VA=")</f>
        <v>#VALUE!</v>
      </c>
      <c r="CD128" t="e">
        <f>AND(Bills!L482,"AAAAAHf03VE=")</f>
        <v>#VALUE!</v>
      </c>
      <c r="CE128" t="e">
        <f>AND(Bills!#REF!,"AAAAAHf03VI=")</f>
        <v>#REF!</v>
      </c>
      <c r="CF128" t="e">
        <f>AND(Bills!M482,"AAAAAHf03VM=")</f>
        <v>#VALUE!</v>
      </c>
      <c r="CG128" t="e">
        <f>AND(Bills!N482,"AAAAAHf03VQ=")</f>
        <v>#VALUE!</v>
      </c>
      <c r="CH128" t="e">
        <f>AND(Bills!O482,"AAAAAHf03VU=")</f>
        <v>#VALUE!</v>
      </c>
      <c r="CI128" t="e">
        <f>AND(Bills!P482,"AAAAAHf03VY=")</f>
        <v>#VALUE!</v>
      </c>
      <c r="CJ128" t="e">
        <f>AND(Bills!Q482,"AAAAAHf03Vc=")</f>
        <v>#VALUE!</v>
      </c>
      <c r="CK128" t="e">
        <f>AND(Bills!R482,"AAAAAHf03Vg=")</f>
        <v>#VALUE!</v>
      </c>
      <c r="CL128" t="e">
        <f>AND(Bills!S482,"AAAAAHf03Vk=")</f>
        <v>#VALUE!</v>
      </c>
      <c r="CM128" t="e">
        <f>AND(Bills!T482,"AAAAAHf03Vo=")</f>
        <v>#VALUE!</v>
      </c>
      <c r="CN128" t="e">
        <f>AND(Bills!#REF!,"AAAAAHf03Vs=")</f>
        <v>#REF!</v>
      </c>
      <c r="CO128" t="e">
        <f>AND(Bills!U482,"AAAAAHf03Vw=")</f>
        <v>#VALUE!</v>
      </c>
      <c r="CP128" t="e">
        <f>AND(Bills!V482,"AAAAAHf03V0=")</f>
        <v>#VALUE!</v>
      </c>
      <c r="CQ128" t="e">
        <f>AND(Bills!W482,"AAAAAHf03V4=")</f>
        <v>#VALUE!</v>
      </c>
      <c r="CR128" t="e">
        <f>AND(Bills!#REF!,"AAAAAHf03V8=")</f>
        <v>#REF!</v>
      </c>
      <c r="CS128" t="e">
        <f>AND(Bills!#REF!,"AAAAAHf03WA=")</f>
        <v>#REF!</v>
      </c>
      <c r="CT128" t="e">
        <f>AND(Bills!Y482,"AAAAAHf03WE=")</f>
        <v>#VALUE!</v>
      </c>
      <c r="CU128" t="e">
        <f>AND(Bills!Z482,"AAAAAHf03WI=")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AND(Bills!AA482,"AAAAAHf03Ww=")</f>
        <v>#VALUE!</v>
      </c>
      <c r="DF128" t="e">
        <f>AND(Bills!AB482,"AAAAAHf03W0=")</f>
        <v>#VALUE!</v>
      </c>
      <c r="DG128" t="e">
        <f>AND(Bills!#REF!,"AAAAAHf03W4=")</f>
        <v>#REF!</v>
      </c>
      <c r="DH128" t="e">
        <f>AND(Bills!#REF!,"AAAAAHf03W8=")</f>
        <v>#REF!</v>
      </c>
      <c r="DI128" t="e">
        <f>AND(Bills!#REF!,"AAAAAHf03XA=")</f>
        <v>#REF!</v>
      </c>
      <c r="DJ128" t="e">
        <f>AND(Bills!AC482,"AAAAAHf03XE=")</f>
        <v>#VALUE!</v>
      </c>
      <c r="DK128" t="e">
        <f>AND(Bills!AD482,"AAAAAHf03XI=")</f>
        <v>#VALUE!</v>
      </c>
      <c r="DL128" t="e">
        <f>AND(Bills!#REF!,"AAAAAHf03XM=")</f>
        <v>#REF!</v>
      </c>
      <c r="DM128">
        <f>IF(Bills!483:483,"AAAAAHf03XQ=",0)</f>
        <v>0</v>
      </c>
      <c r="DN128" t="e">
        <f>AND(Bills!B483,"AAAAAHf03XU=")</f>
        <v>#VALUE!</v>
      </c>
      <c r="DO128" t="e">
        <f>AND(Bills!#REF!,"AAAAAHf03XY=")</f>
        <v>#REF!</v>
      </c>
      <c r="DP128" t="e">
        <f>AND(Bills!C483,"AAAAAHf03Xc=")</f>
        <v>#VALUE!</v>
      </c>
      <c r="DQ128" t="e">
        <f>AND(Bills!D483,"AAAAAHf03Xg=")</f>
        <v>#VALUE!</v>
      </c>
      <c r="DR128" t="e">
        <f>AND(Bills!E483,"AAAAAHf03Xk=")</f>
        <v>#VALUE!</v>
      </c>
      <c r="DS128" t="e">
        <f>AND(Bills!#REF!,"AAAAAHf03Xo=")</f>
        <v>#REF!</v>
      </c>
      <c r="DT128" t="e">
        <f>AND(Bills!#REF!,"AAAAAHf03Xs=")</f>
        <v>#REF!</v>
      </c>
      <c r="DU128" t="e">
        <f>AND(Bills!#REF!,"AAAAAHf03Xw=")</f>
        <v>#REF!</v>
      </c>
      <c r="DV128" t="e">
        <f>AND(Bills!F483,"AAAAAHf03X0=")</f>
        <v>#VALUE!</v>
      </c>
      <c r="DW128" t="e">
        <f>AND(Bills!#REF!,"AAAAAHf03X4=")</f>
        <v>#REF!</v>
      </c>
      <c r="DX128" t="e">
        <f>AND(Bills!G483,"AAAAAHf03X8=")</f>
        <v>#VALUE!</v>
      </c>
      <c r="DY128" t="e">
        <f>AND(Bills!H483,"AAAAAHf03YA=")</f>
        <v>#VALUE!</v>
      </c>
      <c r="DZ128" t="e">
        <f>AND(Bills!I483,"AAAAAHf03YE=")</f>
        <v>#VALUE!</v>
      </c>
      <c r="EA128" t="e">
        <f>AND(Bills!J483,"AAAAAHf03YI=")</f>
        <v>#VALUE!</v>
      </c>
      <c r="EB128" t="e">
        <f>AND(Bills!K483,"AAAAAHf03YM=")</f>
        <v>#VALUE!</v>
      </c>
      <c r="EC128" t="e">
        <f>AND(Bills!L483,"AAAAAHf03YQ=")</f>
        <v>#VALUE!</v>
      </c>
      <c r="ED128" t="e">
        <f>AND(Bills!#REF!,"AAAAAHf03YU=")</f>
        <v>#REF!</v>
      </c>
      <c r="EE128" t="e">
        <f>AND(Bills!M483,"AAAAAHf03YY=")</f>
        <v>#VALUE!</v>
      </c>
      <c r="EF128" t="e">
        <f>AND(Bills!N483,"AAAAAHf03Yc=")</f>
        <v>#VALUE!</v>
      </c>
      <c r="EG128" t="e">
        <f>AND(Bills!O483,"AAAAAHf03Yg=")</f>
        <v>#VALUE!</v>
      </c>
      <c r="EH128" t="e">
        <f>AND(Bills!P483,"AAAAAHf03Yk=")</f>
        <v>#VALUE!</v>
      </c>
      <c r="EI128" t="e">
        <f>AND(Bills!Q483,"AAAAAHf03Yo=")</f>
        <v>#VALUE!</v>
      </c>
      <c r="EJ128" t="e">
        <f>AND(Bills!R483,"AAAAAHf03Ys=")</f>
        <v>#VALUE!</v>
      </c>
      <c r="EK128" t="e">
        <f>AND(Bills!S483,"AAAAAHf03Yw=")</f>
        <v>#VALUE!</v>
      </c>
      <c r="EL128" t="e">
        <f>AND(Bills!T483,"AAAAAHf03Y0=")</f>
        <v>#VALUE!</v>
      </c>
      <c r="EM128" t="e">
        <f>AND(Bills!#REF!,"AAAAAHf03Y4=")</f>
        <v>#REF!</v>
      </c>
      <c r="EN128" t="e">
        <f>AND(Bills!U483,"AAAAAHf03Y8=")</f>
        <v>#VALUE!</v>
      </c>
      <c r="EO128" t="e">
        <f>AND(Bills!V483,"AAAAAHf03ZA=")</f>
        <v>#VALUE!</v>
      </c>
      <c r="EP128" t="e">
        <f>AND(Bills!W483,"AAAAAHf03ZE=")</f>
        <v>#VALUE!</v>
      </c>
      <c r="EQ128" t="e">
        <f>AND(Bills!#REF!,"AAAAAHf03ZI=")</f>
        <v>#REF!</v>
      </c>
      <c r="ER128" t="e">
        <f>AND(Bills!#REF!,"AAAAAHf03ZM=")</f>
        <v>#REF!</v>
      </c>
      <c r="ES128" t="e">
        <f>AND(Bills!Y483,"AAAAAHf03ZQ=")</f>
        <v>#VALUE!</v>
      </c>
      <c r="ET128" t="e">
        <f>AND(Bills!Z483,"AAAAAHf03ZU=")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AND(Bills!AA483,"AAAAAHf03Z8=")</f>
        <v>#VALUE!</v>
      </c>
      <c r="FE128" t="e">
        <f>AND(Bills!AB483,"AAAAAHf03aA=")</f>
        <v>#VALUE!</v>
      </c>
      <c r="FF128" t="e">
        <f>AND(Bills!#REF!,"AAAAAHf03aE=")</f>
        <v>#REF!</v>
      </c>
      <c r="FG128" t="e">
        <f>AND(Bills!#REF!,"AAAAAHf03aI=")</f>
        <v>#REF!</v>
      </c>
      <c r="FH128" t="e">
        <f>AND(Bills!#REF!,"AAAAAHf03aM=")</f>
        <v>#REF!</v>
      </c>
      <c r="FI128" t="e">
        <f>AND(Bills!AC483,"AAAAAHf03aQ=")</f>
        <v>#VALUE!</v>
      </c>
      <c r="FJ128" t="e">
        <f>AND(Bills!AD483,"AAAAAHf03aU=")</f>
        <v>#VALUE!</v>
      </c>
      <c r="FK128" t="e">
        <f>AND(Bills!#REF!,"AAAAAHf03aY=")</f>
        <v>#REF!</v>
      </c>
      <c r="FL128">
        <f>IF(Bills!484:484,"AAAAAHf03ac=",0)</f>
        <v>0</v>
      </c>
      <c r="FM128" t="e">
        <f>AND(Bills!B484,"AAAAAHf03ag=")</f>
        <v>#VALUE!</v>
      </c>
      <c r="FN128" t="e">
        <f>AND(Bills!#REF!,"AAAAAHf03ak=")</f>
        <v>#REF!</v>
      </c>
      <c r="FO128" t="e">
        <f>AND(Bills!C484,"AAAAAHf03ao=")</f>
        <v>#VALUE!</v>
      </c>
      <c r="FP128" t="e">
        <f>AND(Bills!D484,"AAAAAHf03as=")</f>
        <v>#VALUE!</v>
      </c>
      <c r="FQ128" t="e">
        <f>AND(Bills!E484,"AAAAAHf03aw=")</f>
        <v>#VALUE!</v>
      </c>
      <c r="FR128" t="e">
        <f>AND(Bills!#REF!,"AAAAAHf03a0=")</f>
        <v>#REF!</v>
      </c>
      <c r="FS128" t="e">
        <f>AND(Bills!#REF!,"AAAAAHf03a4=")</f>
        <v>#REF!</v>
      </c>
      <c r="FT128" t="e">
        <f>AND(Bills!#REF!,"AAAAAHf03a8=")</f>
        <v>#REF!</v>
      </c>
      <c r="FU128" t="e">
        <f>AND(Bills!F484,"AAAAAHf03bA=")</f>
        <v>#VALUE!</v>
      </c>
      <c r="FV128" t="e">
        <f>AND(Bills!#REF!,"AAAAAHf03bE=")</f>
        <v>#REF!</v>
      </c>
      <c r="FW128" t="e">
        <f>AND(Bills!G484,"AAAAAHf03bI=")</f>
        <v>#VALUE!</v>
      </c>
      <c r="FX128" t="e">
        <f>AND(Bills!H484,"AAAAAHf03bM=")</f>
        <v>#VALUE!</v>
      </c>
      <c r="FY128" t="e">
        <f>AND(Bills!I484,"AAAAAHf03bQ=")</f>
        <v>#VALUE!</v>
      </c>
      <c r="FZ128" t="e">
        <f>AND(Bills!J484,"AAAAAHf03bU=")</f>
        <v>#VALUE!</v>
      </c>
      <c r="GA128" t="e">
        <f>AND(Bills!K484,"AAAAAHf03bY=")</f>
        <v>#VALUE!</v>
      </c>
      <c r="GB128" t="e">
        <f>AND(Bills!L484,"AAAAAHf03bc=")</f>
        <v>#VALUE!</v>
      </c>
      <c r="GC128" t="e">
        <f>AND(Bills!#REF!,"AAAAAHf03bg=")</f>
        <v>#REF!</v>
      </c>
      <c r="GD128" t="e">
        <f>AND(Bills!M484,"AAAAAHf03bk=")</f>
        <v>#VALUE!</v>
      </c>
      <c r="GE128" t="e">
        <f>AND(Bills!N484,"AAAAAHf03bo=")</f>
        <v>#VALUE!</v>
      </c>
      <c r="GF128" t="e">
        <f>AND(Bills!O484,"AAAAAHf03bs=")</f>
        <v>#VALUE!</v>
      </c>
      <c r="GG128" t="e">
        <f>AND(Bills!P484,"AAAAAHf03bw=")</f>
        <v>#VALUE!</v>
      </c>
      <c r="GH128" t="e">
        <f>AND(Bills!Q484,"AAAAAHf03b0=")</f>
        <v>#VALUE!</v>
      </c>
      <c r="GI128" t="e">
        <f>AND(Bills!R484,"AAAAAHf03b4=")</f>
        <v>#VALUE!</v>
      </c>
      <c r="GJ128" t="e">
        <f>AND(Bills!S484,"AAAAAHf03b8=")</f>
        <v>#VALUE!</v>
      </c>
      <c r="GK128" t="e">
        <f>AND(Bills!T484,"AAAAAHf03cA=")</f>
        <v>#VALUE!</v>
      </c>
      <c r="GL128" t="e">
        <f>AND(Bills!#REF!,"AAAAAHf03cE=")</f>
        <v>#REF!</v>
      </c>
      <c r="GM128" t="e">
        <f>AND(Bills!U484,"AAAAAHf03cI=")</f>
        <v>#VALUE!</v>
      </c>
      <c r="GN128" t="e">
        <f>AND(Bills!V484,"AAAAAHf03cM=")</f>
        <v>#VALUE!</v>
      </c>
      <c r="GO128" t="e">
        <f>AND(Bills!W484,"AAAAAHf03cQ=")</f>
        <v>#VALUE!</v>
      </c>
      <c r="GP128" t="e">
        <f>AND(Bills!#REF!,"AAAAAHf03cU=")</f>
        <v>#REF!</v>
      </c>
      <c r="GQ128" t="e">
        <f>AND(Bills!#REF!,"AAAAAHf03cY=")</f>
        <v>#REF!</v>
      </c>
      <c r="GR128" t="e">
        <f>AND(Bills!Y484,"AAAAAHf03cc=")</f>
        <v>#VALUE!</v>
      </c>
      <c r="GS128" t="e">
        <f>AND(Bills!Z484,"AAAAAHf03cg=")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AND(Bills!AA484,"AAAAAHf03dI=")</f>
        <v>#VALUE!</v>
      </c>
      <c r="HD128" t="e">
        <f>AND(Bills!AB484,"AAAAAHf03dM=")</f>
        <v>#VALUE!</v>
      </c>
      <c r="HE128" t="e">
        <f>AND(Bills!#REF!,"AAAAAHf03dQ=")</f>
        <v>#REF!</v>
      </c>
      <c r="HF128" t="e">
        <f>AND(Bills!#REF!,"AAAAAHf03dU=")</f>
        <v>#REF!</v>
      </c>
      <c r="HG128" t="e">
        <f>AND(Bills!#REF!,"AAAAAHf03dY=")</f>
        <v>#REF!</v>
      </c>
      <c r="HH128" t="e">
        <f>AND(Bills!AC484,"AAAAAHf03dc=")</f>
        <v>#VALUE!</v>
      </c>
      <c r="HI128" t="e">
        <f>AND(Bills!AD484,"AAAAAHf03dg=")</f>
        <v>#VALUE!</v>
      </c>
      <c r="HJ128" t="e">
        <f>AND(Bills!#REF!,"AAAAAHf03dk=")</f>
        <v>#REF!</v>
      </c>
      <c r="HK128">
        <f>IF(Bills!485:485,"AAAAAHf03do=",0)</f>
        <v>0</v>
      </c>
      <c r="HL128" t="e">
        <f>AND(Bills!B485,"AAAAAHf03ds=")</f>
        <v>#VALUE!</v>
      </c>
      <c r="HM128" t="e">
        <f>AND(Bills!#REF!,"AAAAAHf03dw=")</f>
        <v>#REF!</v>
      </c>
      <c r="HN128" t="e">
        <f>AND(Bills!C485,"AAAAAHf03d0=")</f>
        <v>#VALUE!</v>
      </c>
      <c r="HO128" t="e">
        <f>AND(Bills!D485,"AAAAAHf03d4=")</f>
        <v>#VALUE!</v>
      </c>
      <c r="HP128" t="e">
        <f>AND(Bills!E485,"AAAAAHf03d8=")</f>
        <v>#VALUE!</v>
      </c>
      <c r="HQ128" t="e">
        <f>AND(Bills!#REF!,"AAAAAHf03eA=")</f>
        <v>#REF!</v>
      </c>
      <c r="HR128" t="e">
        <f>AND(Bills!#REF!,"AAAAAHf03eE=")</f>
        <v>#REF!</v>
      </c>
      <c r="HS128" t="e">
        <f>AND(Bills!#REF!,"AAAAAHf03eI=")</f>
        <v>#REF!</v>
      </c>
      <c r="HT128" t="e">
        <f>AND(Bills!F485,"AAAAAHf03eM=")</f>
        <v>#VALUE!</v>
      </c>
      <c r="HU128" t="e">
        <f>AND(Bills!#REF!,"AAAAAHf03eQ=")</f>
        <v>#REF!</v>
      </c>
      <c r="HV128" t="e">
        <f>AND(Bills!G485,"AAAAAHf03eU=")</f>
        <v>#VALUE!</v>
      </c>
      <c r="HW128" t="e">
        <f>AND(Bills!H485,"AAAAAHf03eY=")</f>
        <v>#VALUE!</v>
      </c>
      <c r="HX128" t="e">
        <f>AND(Bills!I485,"AAAAAHf03ec=")</f>
        <v>#VALUE!</v>
      </c>
      <c r="HY128" t="e">
        <f>AND(Bills!J485,"AAAAAHf03eg=")</f>
        <v>#VALUE!</v>
      </c>
      <c r="HZ128" t="e">
        <f>AND(Bills!K485,"AAAAAHf03ek=")</f>
        <v>#VALUE!</v>
      </c>
      <c r="IA128" t="e">
        <f>AND(Bills!L485,"AAAAAHf03eo=")</f>
        <v>#VALUE!</v>
      </c>
      <c r="IB128" t="e">
        <f>AND(Bills!#REF!,"AAAAAHf03es=")</f>
        <v>#REF!</v>
      </c>
      <c r="IC128" t="e">
        <f>AND(Bills!M485,"AAAAAHf03ew=")</f>
        <v>#VALUE!</v>
      </c>
      <c r="ID128" t="e">
        <f>AND(Bills!N485,"AAAAAHf03e0=")</f>
        <v>#VALUE!</v>
      </c>
      <c r="IE128" t="e">
        <f>AND(Bills!O485,"AAAAAHf03e4=")</f>
        <v>#VALUE!</v>
      </c>
      <c r="IF128" t="e">
        <f>AND(Bills!P485,"AAAAAHf03e8=")</f>
        <v>#VALUE!</v>
      </c>
      <c r="IG128" t="e">
        <f>AND(Bills!Q485,"AAAAAHf03fA=")</f>
        <v>#VALUE!</v>
      </c>
      <c r="IH128" t="e">
        <f>AND(Bills!R485,"AAAAAHf03fE=")</f>
        <v>#VALUE!</v>
      </c>
      <c r="II128" t="e">
        <f>AND(Bills!S485,"AAAAAHf03fI=")</f>
        <v>#VALUE!</v>
      </c>
      <c r="IJ128" t="e">
        <f>AND(Bills!T485,"AAAAAHf03fM=")</f>
        <v>#VALUE!</v>
      </c>
      <c r="IK128" t="e">
        <f>AND(Bills!#REF!,"AAAAAHf03fQ=")</f>
        <v>#REF!</v>
      </c>
      <c r="IL128" t="e">
        <f>AND(Bills!U485,"AAAAAHf03fU=")</f>
        <v>#VALUE!</v>
      </c>
      <c r="IM128" t="e">
        <f>AND(Bills!V485,"AAAAAHf03fY=")</f>
        <v>#VALUE!</v>
      </c>
      <c r="IN128" t="e">
        <f>AND(Bills!W485,"AAAAAHf03fc=")</f>
        <v>#VALUE!</v>
      </c>
      <c r="IO128" t="e">
        <f>AND(Bills!#REF!,"AAAAAHf03fg=")</f>
        <v>#REF!</v>
      </c>
      <c r="IP128" t="e">
        <f>AND(Bills!#REF!,"AAAAAHf03fk=")</f>
        <v>#REF!</v>
      </c>
      <c r="IQ128" t="e">
        <f>AND(Bills!Y485,"AAAAAHf03fo=")</f>
        <v>#VALUE!</v>
      </c>
      <c r="IR128" t="e">
        <f>AND(Bills!Z485,"AAAAAHf03fs=")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AND(Bills!AA485,"AAAAAH/5qAU=")</f>
        <v>#VALUE!</v>
      </c>
      <c r="G129" t="e">
        <f>AND(Bills!AB485,"AAAAAH/5qAY=")</f>
        <v>#VALUE!</v>
      </c>
      <c r="H129" t="e">
        <f>AND(Bills!#REF!,"AAAAAH/5qAc=")</f>
        <v>#REF!</v>
      </c>
      <c r="I129" t="e">
        <f>AND(Bills!#REF!,"AAAAAH/5qAg=")</f>
        <v>#REF!</v>
      </c>
      <c r="J129" t="e">
        <f>AND(Bills!#REF!,"AAAAAH/5qAk=")</f>
        <v>#REF!</v>
      </c>
      <c r="K129" t="e">
        <f>AND(Bills!AC485,"AAAAAH/5qAo=")</f>
        <v>#VALUE!</v>
      </c>
      <c r="L129" t="e">
        <f>AND(Bills!AD485,"AAAAAH/5qAs=")</f>
        <v>#VALUE!</v>
      </c>
      <c r="M129" t="e">
        <f>AND(Bills!#REF!,"AAAAAH/5qAw=")</f>
        <v>#REF!</v>
      </c>
      <c r="N129">
        <f>IF(Bills!486:486,"AAAAAH/5qA0=",0)</f>
        <v>0</v>
      </c>
      <c r="O129" t="e">
        <f>AND(Bills!B486,"AAAAAH/5qA4=")</f>
        <v>#VALUE!</v>
      </c>
      <c r="P129" t="e">
        <f>AND(Bills!#REF!,"AAAAAH/5qA8=")</f>
        <v>#REF!</v>
      </c>
      <c r="Q129" t="e">
        <f>AND(Bills!C486,"AAAAAH/5qBA=")</f>
        <v>#VALUE!</v>
      </c>
      <c r="R129" t="e">
        <f>AND(Bills!D486,"AAAAAH/5qBE=")</f>
        <v>#VALUE!</v>
      </c>
      <c r="S129" t="e">
        <f>AND(Bills!E486,"AAAAAH/5qBI=")</f>
        <v>#VALUE!</v>
      </c>
      <c r="T129" t="e">
        <f>AND(Bills!#REF!,"AAAAAH/5qBM=")</f>
        <v>#REF!</v>
      </c>
      <c r="U129" t="e">
        <f>AND(Bills!#REF!,"AAAAAH/5qBQ=")</f>
        <v>#REF!</v>
      </c>
      <c r="V129" t="e">
        <f>AND(Bills!#REF!,"AAAAAH/5qBU=")</f>
        <v>#REF!</v>
      </c>
      <c r="W129" t="e">
        <f>AND(Bills!F486,"AAAAAH/5qBY=")</f>
        <v>#VALUE!</v>
      </c>
      <c r="X129" t="e">
        <f>AND(Bills!#REF!,"AAAAAH/5qBc=")</f>
        <v>#REF!</v>
      </c>
      <c r="Y129" t="e">
        <f>AND(Bills!G486,"AAAAAH/5qBg=")</f>
        <v>#VALUE!</v>
      </c>
      <c r="Z129" t="e">
        <f>AND(Bills!H486,"AAAAAH/5qBk=")</f>
        <v>#VALUE!</v>
      </c>
      <c r="AA129" t="e">
        <f>AND(Bills!I486,"AAAAAH/5qBo=")</f>
        <v>#VALUE!</v>
      </c>
      <c r="AB129" t="e">
        <f>AND(Bills!J486,"AAAAAH/5qBs=")</f>
        <v>#VALUE!</v>
      </c>
      <c r="AC129" t="e">
        <f>AND(Bills!K486,"AAAAAH/5qBw=")</f>
        <v>#VALUE!</v>
      </c>
      <c r="AD129" t="e">
        <f>AND(Bills!L486,"AAAAAH/5qB0=")</f>
        <v>#VALUE!</v>
      </c>
      <c r="AE129" t="e">
        <f>AND(Bills!#REF!,"AAAAAH/5qB4=")</f>
        <v>#REF!</v>
      </c>
      <c r="AF129" t="e">
        <f>AND(Bills!M486,"AAAAAH/5qB8=")</f>
        <v>#VALUE!</v>
      </c>
      <c r="AG129" t="e">
        <f>AND(Bills!N486,"AAAAAH/5qCA=")</f>
        <v>#VALUE!</v>
      </c>
      <c r="AH129" t="e">
        <f>AND(Bills!O486,"AAAAAH/5qCE=")</f>
        <v>#VALUE!</v>
      </c>
      <c r="AI129" t="e">
        <f>AND(Bills!P486,"AAAAAH/5qCI=")</f>
        <v>#VALUE!</v>
      </c>
      <c r="AJ129" t="e">
        <f>AND(Bills!Q486,"AAAAAH/5qCM=")</f>
        <v>#VALUE!</v>
      </c>
      <c r="AK129" t="e">
        <f>AND(Bills!R486,"AAAAAH/5qCQ=")</f>
        <v>#VALUE!</v>
      </c>
      <c r="AL129" t="e">
        <f>AND(Bills!S486,"AAAAAH/5qCU=")</f>
        <v>#VALUE!</v>
      </c>
      <c r="AM129" t="e">
        <f>AND(Bills!T486,"AAAAAH/5qCY=")</f>
        <v>#VALUE!</v>
      </c>
      <c r="AN129" t="e">
        <f>AND(Bills!#REF!,"AAAAAH/5qCc=")</f>
        <v>#REF!</v>
      </c>
      <c r="AO129" t="e">
        <f>AND(Bills!U486,"AAAAAH/5qCg=")</f>
        <v>#VALUE!</v>
      </c>
      <c r="AP129" t="e">
        <f>AND(Bills!V486,"AAAAAH/5qCk=")</f>
        <v>#VALUE!</v>
      </c>
      <c r="AQ129" t="e">
        <f>AND(Bills!W486,"AAAAAH/5qCo=")</f>
        <v>#VALUE!</v>
      </c>
      <c r="AR129" t="e">
        <f>AND(Bills!#REF!,"AAAAAH/5qCs=")</f>
        <v>#REF!</v>
      </c>
      <c r="AS129" t="e">
        <f>AND(Bills!#REF!,"AAAAAH/5qCw=")</f>
        <v>#REF!</v>
      </c>
      <c r="AT129" t="e">
        <f>AND(Bills!Y486,"AAAAAH/5qC0=")</f>
        <v>#VALUE!</v>
      </c>
      <c r="AU129" t="e">
        <f>AND(Bills!Z486,"AAAAAH/5qC4=")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AND(Bills!AA486,"AAAAAH/5qDg=")</f>
        <v>#VALUE!</v>
      </c>
      <c r="BF129" t="e">
        <f>AND(Bills!AB486,"AAAAAH/5qDk=")</f>
        <v>#VALUE!</v>
      </c>
      <c r="BG129" t="e">
        <f>AND(Bills!#REF!,"AAAAAH/5qDo=")</f>
        <v>#REF!</v>
      </c>
      <c r="BH129" t="e">
        <f>AND(Bills!#REF!,"AAAAAH/5qDs=")</f>
        <v>#REF!</v>
      </c>
      <c r="BI129" t="e">
        <f>AND(Bills!#REF!,"AAAAAH/5qDw=")</f>
        <v>#REF!</v>
      </c>
      <c r="BJ129" t="e">
        <f>AND(Bills!AC486,"AAAAAH/5qD0=")</f>
        <v>#VALUE!</v>
      </c>
      <c r="BK129" t="e">
        <f>AND(Bills!AD486,"AAAAAH/5qD4=")</f>
        <v>#VALUE!</v>
      </c>
      <c r="BL129" t="e">
        <f>AND(Bills!#REF!,"AAAAAH/5qD8=")</f>
        <v>#REF!</v>
      </c>
      <c r="BM129">
        <f>IF(Bills!487:487,"AAAAAH/5qEA=",0)</f>
        <v>0</v>
      </c>
      <c r="BN129" t="e">
        <f>AND(Bills!B487,"AAAAAH/5qEE=")</f>
        <v>#VALUE!</v>
      </c>
      <c r="BO129" t="e">
        <f>AND(Bills!#REF!,"AAAAAH/5qEI=")</f>
        <v>#REF!</v>
      </c>
      <c r="BP129" t="e">
        <f>AND(Bills!C487,"AAAAAH/5qEM=")</f>
        <v>#VALUE!</v>
      </c>
      <c r="BQ129" t="e">
        <f>AND(Bills!D487,"AAAAAH/5qEQ=")</f>
        <v>#VALUE!</v>
      </c>
      <c r="BR129" t="e">
        <f>AND(Bills!E487,"AAAAAH/5qEU=")</f>
        <v>#VALUE!</v>
      </c>
      <c r="BS129" t="e">
        <f>AND(Bills!#REF!,"AAAAAH/5qEY=")</f>
        <v>#REF!</v>
      </c>
      <c r="BT129" t="e">
        <f>AND(Bills!#REF!,"AAAAAH/5qEc=")</f>
        <v>#REF!</v>
      </c>
      <c r="BU129" t="e">
        <f>AND(Bills!#REF!,"AAAAAH/5qEg=")</f>
        <v>#REF!</v>
      </c>
      <c r="BV129" t="e">
        <f>AND(Bills!F487,"AAAAAH/5qEk=")</f>
        <v>#VALUE!</v>
      </c>
      <c r="BW129" t="e">
        <f>AND(Bills!#REF!,"AAAAAH/5qEo=")</f>
        <v>#REF!</v>
      </c>
      <c r="BX129" t="e">
        <f>AND(Bills!G487,"AAAAAH/5qEs=")</f>
        <v>#VALUE!</v>
      </c>
      <c r="BY129" t="e">
        <f>AND(Bills!H487,"AAAAAH/5qEw=")</f>
        <v>#VALUE!</v>
      </c>
      <c r="BZ129" t="e">
        <f>AND(Bills!I487,"AAAAAH/5qE0=")</f>
        <v>#VALUE!</v>
      </c>
      <c r="CA129" t="e">
        <f>AND(Bills!J487,"AAAAAH/5qE4=")</f>
        <v>#VALUE!</v>
      </c>
      <c r="CB129" t="e">
        <f>AND(Bills!K487,"AAAAAH/5qE8=")</f>
        <v>#VALUE!</v>
      </c>
      <c r="CC129" t="e">
        <f>AND(Bills!L487,"AAAAAH/5qFA=")</f>
        <v>#VALUE!</v>
      </c>
      <c r="CD129" t="e">
        <f>AND(Bills!#REF!,"AAAAAH/5qFE=")</f>
        <v>#REF!</v>
      </c>
      <c r="CE129" t="e">
        <f>AND(Bills!M487,"AAAAAH/5qFI=")</f>
        <v>#VALUE!</v>
      </c>
      <c r="CF129" t="e">
        <f>AND(Bills!N487,"AAAAAH/5qFM=")</f>
        <v>#VALUE!</v>
      </c>
      <c r="CG129" t="e">
        <f>AND(Bills!O487,"AAAAAH/5qFQ=")</f>
        <v>#VALUE!</v>
      </c>
      <c r="CH129" t="e">
        <f>AND(Bills!P487,"AAAAAH/5qFU=")</f>
        <v>#VALUE!</v>
      </c>
      <c r="CI129" t="e">
        <f>AND(Bills!Q487,"AAAAAH/5qFY=")</f>
        <v>#VALUE!</v>
      </c>
      <c r="CJ129" t="e">
        <f>AND(Bills!R487,"AAAAAH/5qFc=")</f>
        <v>#VALUE!</v>
      </c>
      <c r="CK129" t="e">
        <f>AND(Bills!S487,"AAAAAH/5qFg=")</f>
        <v>#VALUE!</v>
      </c>
      <c r="CL129" t="e">
        <f>AND(Bills!T487,"AAAAAH/5qFk=")</f>
        <v>#VALUE!</v>
      </c>
      <c r="CM129" t="e">
        <f>AND(Bills!#REF!,"AAAAAH/5qFo=")</f>
        <v>#REF!</v>
      </c>
      <c r="CN129" t="e">
        <f>AND(Bills!U487,"AAAAAH/5qFs=")</f>
        <v>#VALUE!</v>
      </c>
      <c r="CO129" t="e">
        <f>AND(Bills!V487,"AAAAAH/5qFw=")</f>
        <v>#VALUE!</v>
      </c>
      <c r="CP129" t="e">
        <f>AND(Bills!W487,"AAAAAH/5qF0=")</f>
        <v>#VALUE!</v>
      </c>
      <c r="CQ129" t="e">
        <f>AND(Bills!#REF!,"AAAAAH/5qF4=")</f>
        <v>#REF!</v>
      </c>
      <c r="CR129" t="e">
        <f>AND(Bills!#REF!,"AAAAAH/5qF8=")</f>
        <v>#REF!</v>
      </c>
      <c r="CS129" t="e">
        <f>AND(Bills!Y487,"AAAAAH/5qGA=")</f>
        <v>#VALUE!</v>
      </c>
      <c r="CT129" t="e">
        <f>AND(Bills!Z487,"AAAAAH/5qGE=")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AND(Bills!AA487,"AAAAAH/5qGs=")</f>
        <v>#VALUE!</v>
      </c>
      <c r="DE129" t="e">
        <f>AND(Bills!AB487,"AAAAAH/5qGw=")</f>
        <v>#VALUE!</v>
      </c>
      <c r="DF129" t="e">
        <f>AND(Bills!#REF!,"AAAAAH/5qG0=")</f>
        <v>#REF!</v>
      </c>
      <c r="DG129" t="e">
        <f>AND(Bills!#REF!,"AAAAAH/5qG4=")</f>
        <v>#REF!</v>
      </c>
      <c r="DH129" t="e">
        <f>AND(Bills!#REF!,"AAAAAH/5qG8=")</f>
        <v>#REF!</v>
      </c>
      <c r="DI129" t="e">
        <f>AND(Bills!AC487,"AAAAAH/5qHA=")</f>
        <v>#VALUE!</v>
      </c>
      <c r="DJ129" t="e">
        <f>AND(Bills!AD487,"AAAAAH/5qHE=")</f>
        <v>#VALUE!</v>
      </c>
      <c r="DK129" t="e">
        <f>AND(Bills!#REF!,"AAAAAH/5qHI=")</f>
        <v>#REF!</v>
      </c>
      <c r="DL129">
        <f>IF(Bills!488:488,"AAAAAH/5qHM=",0)</f>
        <v>0</v>
      </c>
      <c r="DM129" t="e">
        <f>AND(Bills!B488,"AAAAAH/5qHQ=")</f>
        <v>#VALUE!</v>
      </c>
      <c r="DN129" t="e">
        <f>AND(Bills!#REF!,"AAAAAH/5qHU=")</f>
        <v>#REF!</v>
      </c>
      <c r="DO129" t="e">
        <f>AND(Bills!C488,"AAAAAH/5qHY=")</f>
        <v>#VALUE!</v>
      </c>
      <c r="DP129" t="e">
        <f>AND(Bills!D488,"AAAAAH/5qHc=")</f>
        <v>#VALUE!</v>
      </c>
      <c r="DQ129" t="e">
        <f>AND(Bills!E488,"AAAAAH/5qHg=")</f>
        <v>#VALUE!</v>
      </c>
      <c r="DR129" t="e">
        <f>AND(Bills!#REF!,"AAAAAH/5qHk=")</f>
        <v>#REF!</v>
      </c>
      <c r="DS129" t="e">
        <f>AND(Bills!#REF!,"AAAAAH/5qHo=")</f>
        <v>#REF!</v>
      </c>
      <c r="DT129" t="e">
        <f>AND(Bills!#REF!,"AAAAAH/5qHs=")</f>
        <v>#REF!</v>
      </c>
      <c r="DU129" t="e">
        <f>AND(Bills!F488,"AAAAAH/5qHw=")</f>
        <v>#VALUE!</v>
      </c>
      <c r="DV129" t="e">
        <f>AND(Bills!#REF!,"AAAAAH/5qH0=")</f>
        <v>#REF!</v>
      </c>
      <c r="DW129" t="e">
        <f>AND(Bills!G488,"AAAAAH/5qH4=")</f>
        <v>#VALUE!</v>
      </c>
      <c r="DX129" t="e">
        <f>AND(Bills!H488,"AAAAAH/5qH8=")</f>
        <v>#VALUE!</v>
      </c>
      <c r="DY129" t="e">
        <f>AND(Bills!I488,"AAAAAH/5qIA=")</f>
        <v>#VALUE!</v>
      </c>
      <c r="DZ129" t="e">
        <f>AND(Bills!J488,"AAAAAH/5qIE=")</f>
        <v>#VALUE!</v>
      </c>
      <c r="EA129" t="e">
        <f>AND(Bills!K488,"AAAAAH/5qII=")</f>
        <v>#VALUE!</v>
      </c>
      <c r="EB129" t="e">
        <f>AND(Bills!L488,"AAAAAH/5qIM=")</f>
        <v>#VALUE!</v>
      </c>
      <c r="EC129" t="e">
        <f>AND(Bills!#REF!,"AAAAAH/5qIQ=")</f>
        <v>#REF!</v>
      </c>
      <c r="ED129" t="e">
        <f>AND(Bills!M488,"AAAAAH/5qIU=")</f>
        <v>#VALUE!</v>
      </c>
      <c r="EE129" t="e">
        <f>AND(Bills!N488,"AAAAAH/5qIY=")</f>
        <v>#VALUE!</v>
      </c>
      <c r="EF129" t="e">
        <f>AND(Bills!O488,"AAAAAH/5qIc=")</f>
        <v>#VALUE!</v>
      </c>
      <c r="EG129" t="e">
        <f>AND(Bills!P488,"AAAAAH/5qIg=")</f>
        <v>#VALUE!</v>
      </c>
      <c r="EH129" t="e">
        <f>AND(Bills!Q488,"AAAAAH/5qIk=")</f>
        <v>#VALUE!</v>
      </c>
      <c r="EI129" t="e">
        <f>AND(Bills!R488,"AAAAAH/5qIo=")</f>
        <v>#VALUE!</v>
      </c>
      <c r="EJ129" t="e">
        <f>AND(Bills!S488,"AAAAAH/5qIs=")</f>
        <v>#VALUE!</v>
      </c>
      <c r="EK129" t="e">
        <f>AND(Bills!T488,"AAAAAH/5qIw=")</f>
        <v>#VALUE!</v>
      </c>
      <c r="EL129" t="e">
        <f>AND(Bills!#REF!,"AAAAAH/5qI0=")</f>
        <v>#REF!</v>
      </c>
      <c r="EM129" t="e">
        <f>AND(Bills!U488,"AAAAAH/5qI4=")</f>
        <v>#VALUE!</v>
      </c>
      <c r="EN129" t="e">
        <f>AND(Bills!V488,"AAAAAH/5qI8=")</f>
        <v>#VALUE!</v>
      </c>
      <c r="EO129" t="e">
        <f>AND(Bills!W488,"AAAAAH/5qJA=")</f>
        <v>#VALUE!</v>
      </c>
      <c r="EP129" t="e">
        <f>AND(Bills!#REF!,"AAAAAH/5qJE=")</f>
        <v>#REF!</v>
      </c>
      <c r="EQ129" t="e">
        <f>AND(Bills!#REF!,"AAAAAH/5qJI=")</f>
        <v>#REF!</v>
      </c>
      <c r="ER129" t="e">
        <f>AND(Bills!Y488,"AAAAAH/5qJM=")</f>
        <v>#VALUE!</v>
      </c>
      <c r="ES129" t="e">
        <f>AND(Bills!Z488,"AAAAAH/5qJQ=")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AND(Bills!AA488,"AAAAAH/5qJ4=")</f>
        <v>#VALUE!</v>
      </c>
      <c r="FD129" t="e">
        <f>AND(Bills!AB488,"AAAAAH/5qJ8=")</f>
        <v>#VALUE!</v>
      </c>
      <c r="FE129" t="e">
        <f>AND(Bills!#REF!,"AAAAAH/5qKA=")</f>
        <v>#REF!</v>
      </c>
      <c r="FF129" t="e">
        <f>AND(Bills!#REF!,"AAAAAH/5qKE=")</f>
        <v>#REF!</v>
      </c>
      <c r="FG129" t="e">
        <f>AND(Bills!#REF!,"AAAAAH/5qKI=")</f>
        <v>#REF!</v>
      </c>
      <c r="FH129" t="e">
        <f>AND(Bills!AC488,"AAAAAH/5qKM=")</f>
        <v>#VALUE!</v>
      </c>
      <c r="FI129" t="e">
        <f>AND(Bills!AD488,"AAAAAH/5qKQ=")</f>
        <v>#VALUE!</v>
      </c>
      <c r="FJ129" t="e">
        <f>AND(Bills!#REF!,"AAAAAH/5qKU=")</f>
        <v>#REF!</v>
      </c>
      <c r="FK129">
        <f>IF(Bills!489:489,"AAAAAH/5qKY=",0)</f>
        <v>0</v>
      </c>
      <c r="FL129" t="e">
        <f>AND(Bills!B489,"AAAAAH/5qKc=")</f>
        <v>#VALUE!</v>
      </c>
      <c r="FM129" t="e">
        <f>AND(Bills!#REF!,"AAAAAH/5qKg=")</f>
        <v>#REF!</v>
      </c>
      <c r="FN129" t="e">
        <f>AND(Bills!C489,"AAAAAH/5qKk=")</f>
        <v>#VALUE!</v>
      </c>
      <c r="FO129" t="e">
        <f>AND(Bills!D489,"AAAAAH/5qKo=")</f>
        <v>#VALUE!</v>
      </c>
      <c r="FP129" t="e">
        <f>AND(Bills!E489,"AAAAAH/5qKs=")</f>
        <v>#VALUE!</v>
      </c>
      <c r="FQ129" t="e">
        <f>AND(Bills!#REF!,"AAAAAH/5qKw=")</f>
        <v>#REF!</v>
      </c>
      <c r="FR129" t="e">
        <f>AND(Bills!#REF!,"AAAAAH/5qK0=")</f>
        <v>#REF!</v>
      </c>
      <c r="FS129" t="e">
        <f>AND(Bills!#REF!,"AAAAAH/5qK4=")</f>
        <v>#REF!</v>
      </c>
      <c r="FT129" t="e">
        <f>AND(Bills!F489,"AAAAAH/5qK8=")</f>
        <v>#VALUE!</v>
      </c>
      <c r="FU129" t="e">
        <f>AND(Bills!#REF!,"AAAAAH/5qLA=")</f>
        <v>#REF!</v>
      </c>
      <c r="FV129" t="e">
        <f>AND(Bills!G489,"AAAAAH/5qLE=")</f>
        <v>#VALUE!</v>
      </c>
      <c r="FW129" t="e">
        <f>AND(Bills!H489,"AAAAAH/5qLI=")</f>
        <v>#VALUE!</v>
      </c>
      <c r="FX129" t="e">
        <f>AND(Bills!I489,"AAAAAH/5qLM=")</f>
        <v>#VALUE!</v>
      </c>
      <c r="FY129" t="e">
        <f>AND(Bills!J489,"AAAAAH/5qLQ=")</f>
        <v>#VALUE!</v>
      </c>
      <c r="FZ129" t="e">
        <f>AND(Bills!K489,"AAAAAH/5qLU=")</f>
        <v>#VALUE!</v>
      </c>
      <c r="GA129" t="e">
        <f>AND(Bills!L489,"AAAAAH/5qLY=")</f>
        <v>#VALUE!</v>
      </c>
      <c r="GB129" t="e">
        <f>AND(Bills!#REF!,"AAAAAH/5qLc=")</f>
        <v>#REF!</v>
      </c>
      <c r="GC129" t="e">
        <f>AND(Bills!M489,"AAAAAH/5qLg=")</f>
        <v>#VALUE!</v>
      </c>
      <c r="GD129" t="e">
        <f>AND(Bills!N489,"AAAAAH/5qLk=")</f>
        <v>#VALUE!</v>
      </c>
      <c r="GE129" t="e">
        <f>AND(Bills!O489,"AAAAAH/5qLo=")</f>
        <v>#VALUE!</v>
      </c>
      <c r="GF129" t="e">
        <f>AND(Bills!P489,"AAAAAH/5qLs=")</f>
        <v>#VALUE!</v>
      </c>
      <c r="GG129" t="e">
        <f>AND(Bills!Q489,"AAAAAH/5qLw=")</f>
        <v>#VALUE!</v>
      </c>
      <c r="GH129" t="e">
        <f>AND(Bills!R489,"AAAAAH/5qL0=")</f>
        <v>#VALUE!</v>
      </c>
      <c r="GI129" t="e">
        <f>AND(Bills!S489,"AAAAAH/5qL4=")</f>
        <v>#VALUE!</v>
      </c>
      <c r="GJ129" t="e">
        <f>AND(Bills!T489,"AAAAAH/5qL8=")</f>
        <v>#VALUE!</v>
      </c>
      <c r="GK129" t="e">
        <f>AND(Bills!#REF!,"AAAAAH/5qMA=")</f>
        <v>#REF!</v>
      </c>
      <c r="GL129" t="e">
        <f>AND(Bills!U489,"AAAAAH/5qME=")</f>
        <v>#VALUE!</v>
      </c>
      <c r="GM129" t="e">
        <f>AND(Bills!V489,"AAAAAH/5qMI=")</f>
        <v>#VALUE!</v>
      </c>
      <c r="GN129" t="e">
        <f>AND(Bills!W489,"AAAAAH/5qMM=")</f>
        <v>#VALUE!</v>
      </c>
      <c r="GO129" t="e">
        <f>AND(Bills!#REF!,"AAAAAH/5qMQ=")</f>
        <v>#REF!</v>
      </c>
      <c r="GP129" t="e">
        <f>AND(Bills!#REF!,"AAAAAH/5qMU=")</f>
        <v>#REF!</v>
      </c>
      <c r="GQ129" t="e">
        <f>AND(Bills!Y489,"AAAAAH/5qMY=")</f>
        <v>#VALUE!</v>
      </c>
      <c r="GR129" t="e">
        <f>AND(Bills!Z489,"AAAAAH/5qMc=")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AND(Bills!AA489,"AAAAAH/5qNE=")</f>
        <v>#VALUE!</v>
      </c>
      <c r="HC129" t="e">
        <f>AND(Bills!AB489,"AAAAAH/5qNI=")</f>
        <v>#VALUE!</v>
      </c>
      <c r="HD129" t="e">
        <f>AND(Bills!#REF!,"AAAAAH/5qNM=")</f>
        <v>#REF!</v>
      </c>
      <c r="HE129" t="e">
        <f>AND(Bills!#REF!,"AAAAAH/5qNQ=")</f>
        <v>#REF!</v>
      </c>
      <c r="HF129" t="e">
        <f>AND(Bills!#REF!,"AAAAAH/5qNU=")</f>
        <v>#REF!</v>
      </c>
      <c r="HG129" t="e">
        <f>AND(Bills!AC489,"AAAAAH/5qNY=")</f>
        <v>#VALUE!</v>
      </c>
      <c r="HH129" t="e">
        <f>AND(Bills!AD489,"AAAAAH/5qNc=")</f>
        <v>#VALUE!</v>
      </c>
      <c r="HI129" t="e">
        <f>AND(Bills!#REF!,"AAAAAH/5qNg=")</f>
        <v>#REF!</v>
      </c>
      <c r="HJ129">
        <f>IF(Bills!490:490,"AAAAAH/5qNk=",0)</f>
        <v>0</v>
      </c>
      <c r="HK129" t="e">
        <f>AND(Bills!B490,"AAAAAH/5qNo=")</f>
        <v>#VALUE!</v>
      </c>
      <c r="HL129" t="e">
        <f>AND(Bills!#REF!,"AAAAAH/5qNs=")</f>
        <v>#REF!</v>
      </c>
      <c r="HM129" t="e">
        <f>AND(Bills!C490,"AAAAAH/5qNw=")</f>
        <v>#VALUE!</v>
      </c>
      <c r="HN129" t="e">
        <f>AND(Bills!D490,"AAAAAH/5qN0=")</f>
        <v>#VALUE!</v>
      </c>
      <c r="HO129" t="e">
        <f>AND(Bills!E490,"AAAAAH/5qN4=")</f>
        <v>#VALUE!</v>
      </c>
      <c r="HP129" t="e">
        <f>AND(Bills!#REF!,"AAAAAH/5qN8=")</f>
        <v>#REF!</v>
      </c>
      <c r="HQ129" t="e">
        <f>AND(Bills!#REF!,"AAAAAH/5qOA=")</f>
        <v>#REF!</v>
      </c>
      <c r="HR129" t="e">
        <f>AND(Bills!#REF!,"AAAAAH/5qOE=")</f>
        <v>#REF!</v>
      </c>
      <c r="HS129" t="e">
        <f>AND(Bills!F490,"AAAAAH/5qOI=")</f>
        <v>#VALUE!</v>
      </c>
      <c r="HT129" t="e">
        <f>AND(Bills!#REF!,"AAAAAH/5qOM=")</f>
        <v>#REF!</v>
      </c>
      <c r="HU129" t="e">
        <f>AND(Bills!G490,"AAAAAH/5qOQ=")</f>
        <v>#VALUE!</v>
      </c>
      <c r="HV129" t="e">
        <f>AND(Bills!H490,"AAAAAH/5qOU=")</f>
        <v>#VALUE!</v>
      </c>
      <c r="HW129" t="e">
        <f>AND(Bills!I490,"AAAAAH/5qOY=")</f>
        <v>#VALUE!</v>
      </c>
      <c r="HX129" t="e">
        <f>AND(Bills!J490,"AAAAAH/5qOc=")</f>
        <v>#VALUE!</v>
      </c>
      <c r="HY129" t="e">
        <f>AND(Bills!K490,"AAAAAH/5qOg=")</f>
        <v>#VALUE!</v>
      </c>
      <c r="HZ129" t="e">
        <f>AND(Bills!L490,"AAAAAH/5qOk=")</f>
        <v>#VALUE!</v>
      </c>
      <c r="IA129" t="e">
        <f>AND(Bills!#REF!,"AAAAAH/5qOo=")</f>
        <v>#REF!</v>
      </c>
      <c r="IB129" t="e">
        <f>AND(Bills!M490,"AAAAAH/5qOs=")</f>
        <v>#VALUE!</v>
      </c>
      <c r="IC129" t="e">
        <f>AND(Bills!N490,"AAAAAH/5qOw=")</f>
        <v>#VALUE!</v>
      </c>
      <c r="ID129" t="e">
        <f>AND(Bills!O490,"AAAAAH/5qO0=")</f>
        <v>#VALUE!</v>
      </c>
      <c r="IE129" t="e">
        <f>AND(Bills!P490,"AAAAAH/5qO4=")</f>
        <v>#VALUE!</v>
      </c>
      <c r="IF129" t="e">
        <f>AND(Bills!Q490,"AAAAAH/5qO8=")</f>
        <v>#VALUE!</v>
      </c>
      <c r="IG129" t="e">
        <f>AND(Bills!R490,"AAAAAH/5qPA=")</f>
        <v>#VALUE!</v>
      </c>
      <c r="IH129" t="e">
        <f>AND(Bills!S490,"AAAAAH/5qPE=")</f>
        <v>#VALUE!</v>
      </c>
      <c r="II129" t="e">
        <f>AND(Bills!T490,"AAAAAH/5qPI=")</f>
        <v>#VALUE!</v>
      </c>
      <c r="IJ129" t="e">
        <f>AND(Bills!#REF!,"AAAAAH/5qPM=")</f>
        <v>#REF!</v>
      </c>
      <c r="IK129" t="e">
        <f>AND(Bills!U490,"AAAAAH/5qPQ=")</f>
        <v>#VALUE!</v>
      </c>
      <c r="IL129" t="e">
        <f>AND(Bills!V490,"AAAAAH/5qPU=")</f>
        <v>#VALUE!</v>
      </c>
      <c r="IM129" t="e">
        <f>AND(Bills!W490,"AAAAAH/5qPY=")</f>
        <v>#VALUE!</v>
      </c>
      <c r="IN129" t="e">
        <f>AND(Bills!#REF!,"AAAAAH/5qPc=")</f>
        <v>#REF!</v>
      </c>
      <c r="IO129" t="e">
        <f>AND(Bills!#REF!,"AAAAAH/5qPg=")</f>
        <v>#REF!</v>
      </c>
      <c r="IP129" t="e">
        <f>AND(Bills!Y490,"AAAAAH/5qPk=")</f>
        <v>#VALUE!</v>
      </c>
      <c r="IQ129" t="e">
        <f>AND(Bills!Z490,"AAAAAH/5qPo=")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AND(Bills!AA490,"AAAAAHJr/gQ=")</f>
        <v>#VALUE!</v>
      </c>
      <c r="F130" t="e">
        <f>AND(Bills!AB490,"AAAAAHJr/gU=")</f>
        <v>#VALUE!</v>
      </c>
      <c r="G130" t="e">
        <f>AND(Bills!#REF!,"AAAAAHJr/gY=")</f>
        <v>#REF!</v>
      </c>
      <c r="H130" t="e">
        <f>AND(Bills!#REF!,"AAAAAHJr/gc=")</f>
        <v>#REF!</v>
      </c>
      <c r="I130" t="e">
        <f>AND(Bills!#REF!,"AAAAAHJr/gg=")</f>
        <v>#REF!</v>
      </c>
      <c r="J130" t="e">
        <f>AND(Bills!AC490,"AAAAAHJr/gk=")</f>
        <v>#VALUE!</v>
      </c>
      <c r="K130" t="e">
        <f>AND(Bills!AD490,"AAAAAHJr/go=")</f>
        <v>#VALUE!</v>
      </c>
      <c r="L130" t="e">
        <f>AND(Bills!#REF!,"AAAAAHJr/gs=")</f>
        <v>#REF!</v>
      </c>
      <c r="M130">
        <f>IF(Bills!491:491,"AAAAAHJr/gw=",0)</f>
        <v>0</v>
      </c>
      <c r="N130" t="e">
        <f>AND(Bills!B491,"AAAAAHJr/g0=")</f>
        <v>#VALUE!</v>
      </c>
      <c r="O130" t="e">
        <f>AND(Bills!#REF!,"AAAAAHJr/g4=")</f>
        <v>#REF!</v>
      </c>
      <c r="P130" t="e">
        <f>AND(Bills!C491,"AAAAAHJr/g8=")</f>
        <v>#VALUE!</v>
      </c>
      <c r="Q130" t="e">
        <f>AND(Bills!D491,"AAAAAHJr/hA=")</f>
        <v>#VALUE!</v>
      </c>
      <c r="R130" t="e">
        <f>AND(Bills!E491,"AAAAAHJr/hE=")</f>
        <v>#VALUE!</v>
      </c>
      <c r="S130" t="e">
        <f>AND(Bills!#REF!,"AAAAAHJr/hI=")</f>
        <v>#REF!</v>
      </c>
      <c r="T130" t="e">
        <f>AND(Bills!#REF!,"AAAAAHJr/hM=")</f>
        <v>#REF!</v>
      </c>
      <c r="U130" t="e">
        <f>AND(Bills!#REF!,"AAAAAHJr/hQ=")</f>
        <v>#REF!</v>
      </c>
      <c r="V130" t="e">
        <f>AND(Bills!F491,"AAAAAHJr/hU=")</f>
        <v>#VALUE!</v>
      </c>
      <c r="W130" t="e">
        <f>AND(Bills!#REF!,"AAAAAHJr/hY=")</f>
        <v>#REF!</v>
      </c>
      <c r="X130" t="e">
        <f>AND(Bills!G491,"AAAAAHJr/hc=")</f>
        <v>#VALUE!</v>
      </c>
      <c r="Y130" t="e">
        <f>AND(Bills!H491,"AAAAAHJr/hg=")</f>
        <v>#VALUE!</v>
      </c>
      <c r="Z130" t="e">
        <f>AND(Bills!I491,"AAAAAHJr/hk=")</f>
        <v>#VALUE!</v>
      </c>
      <c r="AA130" t="e">
        <f>AND(Bills!J491,"AAAAAHJr/ho=")</f>
        <v>#VALUE!</v>
      </c>
      <c r="AB130" t="e">
        <f>AND(Bills!K491,"AAAAAHJr/hs=")</f>
        <v>#VALUE!</v>
      </c>
      <c r="AC130" t="e">
        <f>AND(Bills!L491,"AAAAAHJr/hw=")</f>
        <v>#VALUE!</v>
      </c>
      <c r="AD130" t="e">
        <f>AND(Bills!#REF!,"AAAAAHJr/h0=")</f>
        <v>#REF!</v>
      </c>
      <c r="AE130" t="e">
        <f>AND(Bills!M491,"AAAAAHJr/h4=")</f>
        <v>#VALUE!</v>
      </c>
      <c r="AF130" t="e">
        <f>AND(Bills!N491,"AAAAAHJr/h8=")</f>
        <v>#VALUE!</v>
      </c>
      <c r="AG130" t="e">
        <f>AND(Bills!O491,"AAAAAHJr/iA=")</f>
        <v>#VALUE!</v>
      </c>
      <c r="AH130" t="e">
        <f>AND(Bills!P491,"AAAAAHJr/iE=")</f>
        <v>#VALUE!</v>
      </c>
      <c r="AI130" t="e">
        <f>AND(Bills!Q491,"AAAAAHJr/iI=")</f>
        <v>#VALUE!</v>
      </c>
      <c r="AJ130" t="e">
        <f>AND(Bills!R491,"AAAAAHJr/iM=")</f>
        <v>#VALUE!</v>
      </c>
      <c r="AK130" t="e">
        <f>AND(Bills!S491,"AAAAAHJr/iQ=")</f>
        <v>#VALUE!</v>
      </c>
      <c r="AL130" t="e">
        <f>AND(Bills!T491,"AAAAAHJr/iU=")</f>
        <v>#VALUE!</v>
      </c>
      <c r="AM130" t="e">
        <f>AND(Bills!#REF!,"AAAAAHJr/iY=")</f>
        <v>#REF!</v>
      </c>
      <c r="AN130" t="e">
        <f>AND(Bills!U491,"AAAAAHJr/ic=")</f>
        <v>#VALUE!</v>
      </c>
      <c r="AO130" t="e">
        <f>AND(Bills!V491,"AAAAAHJr/ig=")</f>
        <v>#VALUE!</v>
      </c>
      <c r="AP130" t="e">
        <f>AND(Bills!W491,"AAAAAHJr/ik=")</f>
        <v>#VALUE!</v>
      </c>
      <c r="AQ130" t="e">
        <f>AND(Bills!#REF!,"AAAAAHJr/io=")</f>
        <v>#REF!</v>
      </c>
      <c r="AR130" t="e">
        <f>AND(Bills!#REF!,"AAAAAHJr/is=")</f>
        <v>#REF!</v>
      </c>
      <c r="AS130" t="e">
        <f>AND(Bills!Y491,"AAAAAHJr/iw=")</f>
        <v>#VALUE!</v>
      </c>
      <c r="AT130" t="e">
        <f>AND(Bills!Z491,"AAAAAHJr/i0=")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AND(Bills!AA491,"AAAAAHJr/jc=")</f>
        <v>#VALUE!</v>
      </c>
      <c r="BE130" t="e">
        <f>AND(Bills!AB491,"AAAAAHJr/jg=")</f>
        <v>#VALUE!</v>
      </c>
      <c r="BF130" t="e">
        <f>AND(Bills!#REF!,"AAAAAHJr/jk=")</f>
        <v>#REF!</v>
      </c>
      <c r="BG130" t="e">
        <f>AND(Bills!#REF!,"AAAAAHJr/jo=")</f>
        <v>#REF!</v>
      </c>
      <c r="BH130" t="e">
        <f>AND(Bills!#REF!,"AAAAAHJr/js=")</f>
        <v>#REF!</v>
      </c>
      <c r="BI130" t="e">
        <f>AND(Bills!AC491,"AAAAAHJr/jw=")</f>
        <v>#VALUE!</v>
      </c>
      <c r="BJ130" t="e">
        <f>AND(Bills!AD491,"AAAAAHJr/j0=")</f>
        <v>#VALUE!</v>
      </c>
      <c r="BK130" t="e">
        <f>AND(Bills!#REF!,"AAAAAHJr/j4=")</f>
        <v>#REF!</v>
      </c>
      <c r="BL130">
        <f>IF(Bills!492:492,"AAAAAHJr/j8=",0)</f>
        <v>0</v>
      </c>
      <c r="BM130" t="e">
        <f>AND(Bills!B492,"AAAAAHJr/kA=")</f>
        <v>#VALUE!</v>
      </c>
      <c r="BN130" t="e">
        <f>AND(Bills!#REF!,"AAAAAHJr/kE=")</f>
        <v>#REF!</v>
      </c>
      <c r="BO130" t="e">
        <f>AND(Bills!C492,"AAAAAHJr/kI=")</f>
        <v>#VALUE!</v>
      </c>
      <c r="BP130" t="e">
        <f>AND(Bills!D492,"AAAAAHJr/kM=")</f>
        <v>#VALUE!</v>
      </c>
      <c r="BQ130" t="e">
        <f>AND(Bills!E492,"AAAAAHJr/kQ=")</f>
        <v>#VALUE!</v>
      </c>
      <c r="BR130" t="e">
        <f>AND(Bills!#REF!,"AAAAAHJr/kU=")</f>
        <v>#REF!</v>
      </c>
      <c r="BS130" t="e">
        <f>AND(Bills!#REF!,"AAAAAHJr/kY=")</f>
        <v>#REF!</v>
      </c>
      <c r="BT130" t="e">
        <f>AND(Bills!#REF!,"AAAAAHJr/kc=")</f>
        <v>#REF!</v>
      </c>
      <c r="BU130" t="e">
        <f>AND(Bills!F492,"AAAAAHJr/kg=")</f>
        <v>#VALUE!</v>
      </c>
      <c r="BV130" t="e">
        <f>AND(Bills!#REF!,"AAAAAHJr/kk=")</f>
        <v>#REF!</v>
      </c>
      <c r="BW130" t="e">
        <f>AND(Bills!G492,"AAAAAHJr/ko=")</f>
        <v>#VALUE!</v>
      </c>
      <c r="BX130" t="e">
        <f>AND(Bills!H492,"AAAAAHJr/ks=")</f>
        <v>#VALUE!</v>
      </c>
      <c r="BY130" t="e">
        <f>AND(Bills!I492,"AAAAAHJr/kw=")</f>
        <v>#VALUE!</v>
      </c>
      <c r="BZ130" t="e">
        <f>AND(Bills!J492,"AAAAAHJr/k0=")</f>
        <v>#VALUE!</v>
      </c>
      <c r="CA130" t="e">
        <f>AND(Bills!K492,"AAAAAHJr/k4=")</f>
        <v>#VALUE!</v>
      </c>
      <c r="CB130" t="e">
        <f>AND(Bills!L492,"AAAAAHJr/k8=")</f>
        <v>#VALUE!</v>
      </c>
      <c r="CC130" t="e">
        <f>AND(Bills!#REF!,"AAAAAHJr/lA=")</f>
        <v>#REF!</v>
      </c>
      <c r="CD130" t="e">
        <f>AND(Bills!M492,"AAAAAHJr/lE=")</f>
        <v>#VALUE!</v>
      </c>
      <c r="CE130" t="e">
        <f>AND(Bills!N492,"AAAAAHJr/lI=")</f>
        <v>#VALUE!</v>
      </c>
      <c r="CF130" t="e">
        <f>AND(Bills!O492,"AAAAAHJr/lM=")</f>
        <v>#VALUE!</v>
      </c>
      <c r="CG130" t="e">
        <f>AND(Bills!P492,"AAAAAHJr/lQ=")</f>
        <v>#VALUE!</v>
      </c>
      <c r="CH130" t="e">
        <f>AND(Bills!Q492,"AAAAAHJr/lU=")</f>
        <v>#VALUE!</v>
      </c>
      <c r="CI130" t="e">
        <f>AND(Bills!R492,"AAAAAHJr/lY=")</f>
        <v>#VALUE!</v>
      </c>
      <c r="CJ130" t="e">
        <f>AND(Bills!S492,"AAAAAHJr/lc=")</f>
        <v>#VALUE!</v>
      </c>
      <c r="CK130" t="e">
        <f>AND(Bills!T492,"AAAAAHJr/lg=")</f>
        <v>#VALUE!</v>
      </c>
      <c r="CL130" t="e">
        <f>AND(Bills!#REF!,"AAAAAHJr/lk=")</f>
        <v>#REF!</v>
      </c>
      <c r="CM130" t="e">
        <f>AND(Bills!U492,"AAAAAHJr/lo=")</f>
        <v>#VALUE!</v>
      </c>
      <c r="CN130" t="e">
        <f>AND(Bills!V492,"AAAAAHJr/ls=")</f>
        <v>#VALUE!</v>
      </c>
      <c r="CO130" t="e">
        <f>AND(Bills!W492,"AAAAAHJr/lw=")</f>
        <v>#VALUE!</v>
      </c>
      <c r="CP130" t="e">
        <f>AND(Bills!#REF!,"AAAAAHJr/l0=")</f>
        <v>#REF!</v>
      </c>
      <c r="CQ130" t="e">
        <f>AND(Bills!#REF!,"AAAAAHJr/l4=")</f>
        <v>#REF!</v>
      </c>
      <c r="CR130" t="e">
        <f>AND(Bills!Y492,"AAAAAHJr/l8=")</f>
        <v>#VALUE!</v>
      </c>
      <c r="CS130" t="e">
        <f>AND(Bills!Z492,"AAAAAHJr/mA=")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AND(Bills!AA492,"AAAAAHJr/mo=")</f>
        <v>#VALUE!</v>
      </c>
      <c r="DD130" t="e">
        <f>AND(Bills!AB492,"AAAAAHJr/ms=")</f>
        <v>#VALUE!</v>
      </c>
      <c r="DE130" t="e">
        <f>AND(Bills!#REF!,"AAAAAHJr/mw=")</f>
        <v>#REF!</v>
      </c>
      <c r="DF130" t="e">
        <f>AND(Bills!#REF!,"AAAAAHJr/m0=")</f>
        <v>#REF!</v>
      </c>
      <c r="DG130" t="e">
        <f>AND(Bills!#REF!,"AAAAAHJr/m4=")</f>
        <v>#REF!</v>
      </c>
      <c r="DH130" t="e">
        <f>AND(Bills!AC492,"AAAAAHJr/m8=")</f>
        <v>#VALUE!</v>
      </c>
      <c r="DI130" t="e">
        <f>AND(Bills!AD492,"AAAAAHJr/nA=")</f>
        <v>#VALUE!</v>
      </c>
      <c r="DJ130" t="e">
        <f>AND(Bills!#REF!,"AAAAAHJr/nE=")</f>
        <v>#REF!</v>
      </c>
      <c r="DK130">
        <f>IF(Bills!493:493,"AAAAAHJr/nI=",0)</f>
        <v>0</v>
      </c>
      <c r="DL130" t="e">
        <f>AND(Bills!B493,"AAAAAHJr/nM=")</f>
        <v>#VALUE!</v>
      </c>
      <c r="DM130" t="e">
        <f>AND(Bills!#REF!,"AAAAAHJr/nQ=")</f>
        <v>#REF!</v>
      </c>
      <c r="DN130" t="e">
        <f>AND(Bills!C493,"AAAAAHJr/nU=")</f>
        <v>#VALUE!</v>
      </c>
      <c r="DO130" t="e">
        <f>AND(Bills!D493,"AAAAAHJr/nY=")</f>
        <v>#VALUE!</v>
      </c>
      <c r="DP130" t="e">
        <f>AND(Bills!E493,"AAAAAHJr/nc=")</f>
        <v>#VALUE!</v>
      </c>
      <c r="DQ130" t="e">
        <f>AND(Bills!#REF!,"AAAAAHJr/ng=")</f>
        <v>#REF!</v>
      </c>
      <c r="DR130" t="e">
        <f>AND(Bills!#REF!,"AAAAAHJr/nk=")</f>
        <v>#REF!</v>
      </c>
      <c r="DS130" t="e">
        <f>AND(Bills!#REF!,"AAAAAHJr/no=")</f>
        <v>#REF!</v>
      </c>
      <c r="DT130" t="e">
        <f>AND(Bills!F493,"AAAAAHJr/ns=")</f>
        <v>#VALUE!</v>
      </c>
      <c r="DU130" t="e">
        <f>AND(Bills!#REF!,"AAAAAHJr/nw=")</f>
        <v>#REF!</v>
      </c>
      <c r="DV130" t="e">
        <f>AND(Bills!G493,"AAAAAHJr/n0=")</f>
        <v>#VALUE!</v>
      </c>
      <c r="DW130" t="e">
        <f>AND(Bills!H493,"AAAAAHJr/n4=")</f>
        <v>#VALUE!</v>
      </c>
      <c r="DX130" t="e">
        <f>AND(Bills!I493,"AAAAAHJr/n8=")</f>
        <v>#VALUE!</v>
      </c>
      <c r="DY130" t="e">
        <f>AND(Bills!J493,"AAAAAHJr/oA=")</f>
        <v>#VALUE!</v>
      </c>
      <c r="DZ130" t="e">
        <f>AND(Bills!K493,"AAAAAHJr/oE=")</f>
        <v>#VALUE!</v>
      </c>
      <c r="EA130" t="e">
        <f>AND(Bills!L493,"AAAAAHJr/oI=")</f>
        <v>#VALUE!</v>
      </c>
      <c r="EB130" t="e">
        <f>AND(Bills!#REF!,"AAAAAHJr/oM=")</f>
        <v>#REF!</v>
      </c>
      <c r="EC130" t="e">
        <f>AND(Bills!M493,"AAAAAHJr/oQ=")</f>
        <v>#VALUE!</v>
      </c>
      <c r="ED130" t="e">
        <f>AND(Bills!N493,"AAAAAHJr/oU=")</f>
        <v>#VALUE!</v>
      </c>
      <c r="EE130" t="e">
        <f>AND(Bills!O493,"AAAAAHJr/oY=")</f>
        <v>#VALUE!</v>
      </c>
      <c r="EF130" t="e">
        <f>AND(Bills!P493,"AAAAAHJr/oc=")</f>
        <v>#VALUE!</v>
      </c>
      <c r="EG130" t="e">
        <f>AND(Bills!Q493,"AAAAAHJr/og=")</f>
        <v>#VALUE!</v>
      </c>
      <c r="EH130" t="e">
        <f>AND(Bills!R493,"AAAAAHJr/ok=")</f>
        <v>#VALUE!</v>
      </c>
      <c r="EI130" t="e">
        <f>AND(Bills!S493,"AAAAAHJr/oo=")</f>
        <v>#VALUE!</v>
      </c>
      <c r="EJ130" t="e">
        <f>AND(Bills!T493,"AAAAAHJr/os=")</f>
        <v>#VALUE!</v>
      </c>
      <c r="EK130" t="e">
        <f>AND(Bills!#REF!,"AAAAAHJr/ow=")</f>
        <v>#REF!</v>
      </c>
      <c r="EL130" t="e">
        <f>AND(Bills!U493,"AAAAAHJr/o0=")</f>
        <v>#VALUE!</v>
      </c>
      <c r="EM130" t="e">
        <f>AND(Bills!V493,"AAAAAHJr/o4=")</f>
        <v>#VALUE!</v>
      </c>
      <c r="EN130" t="e">
        <f>AND(Bills!W493,"AAAAAHJr/o8=")</f>
        <v>#VALUE!</v>
      </c>
      <c r="EO130" t="e">
        <f>AND(Bills!#REF!,"AAAAAHJr/pA=")</f>
        <v>#REF!</v>
      </c>
      <c r="EP130" t="e">
        <f>AND(Bills!#REF!,"AAAAAHJr/pE=")</f>
        <v>#REF!</v>
      </c>
      <c r="EQ130" t="e">
        <f>AND(Bills!Y493,"AAAAAHJr/pI=")</f>
        <v>#VALUE!</v>
      </c>
      <c r="ER130" t="e">
        <f>AND(Bills!Z493,"AAAAAHJr/pM=")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AND(Bills!AA493,"AAAAAHJr/p0=")</f>
        <v>#VALUE!</v>
      </c>
      <c r="FC130" t="e">
        <f>AND(Bills!AB493,"AAAAAHJr/p4=")</f>
        <v>#VALUE!</v>
      </c>
      <c r="FD130" t="e">
        <f>AND(Bills!#REF!,"AAAAAHJr/p8=")</f>
        <v>#REF!</v>
      </c>
      <c r="FE130" t="e">
        <f>AND(Bills!#REF!,"AAAAAHJr/qA=")</f>
        <v>#REF!</v>
      </c>
      <c r="FF130" t="e">
        <f>AND(Bills!#REF!,"AAAAAHJr/qE=")</f>
        <v>#REF!</v>
      </c>
      <c r="FG130" t="e">
        <f>AND(Bills!AC493,"AAAAAHJr/qI=")</f>
        <v>#VALUE!</v>
      </c>
      <c r="FH130" t="e">
        <f>AND(Bills!AD493,"AAAAAHJr/qM=")</f>
        <v>#VALUE!</v>
      </c>
      <c r="FI130" t="e">
        <f>AND(Bills!#REF!,"AAAAAHJr/qQ=")</f>
        <v>#REF!</v>
      </c>
      <c r="FJ130">
        <f>IF(Bills!494:494,"AAAAAHJr/qU=",0)</f>
        <v>0</v>
      </c>
      <c r="FK130" t="e">
        <f>AND(Bills!B494,"AAAAAHJr/qY=")</f>
        <v>#VALUE!</v>
      </c>
      <c r="FL130" t="e">
        <f>AND(Bills!#REF!,"AAAAAHJr/qc=")</f>
        <v>#REF!</v>
      </c>
      <c r="FM130" t="e">
        <f>AND(Bills!C494,"AAAAAHJr/qg=")</f>
        <v>#VALUE!</v>
      </c>
      <c r="FN130" t="e">
        <f>AND(Bills!D494,"AAAAAHJr/qk=")</f>
        <v>#VALUE!</v>
      </c>
      <c r="FO130" t="e">
        <f>AND(Bills!E494,"AAAAAHJr/qo=")</f>
        <v>#VALUE!</v>
      </c>
      <c r="FP130" t="e">
        <f>AND(Bills!#REF!,"AAAAAHJr/qs=")</f>
        <v>#REF!</v>
      </c>
      <c r="FQ130" t="e">
        <f>AND(Bills!#REF!,"AAAAAHJr/qw=")</f>
        <v>#REF!</v>
      </c>
      <c r="FR130" t="e">
        <f>AND(Bills!#REF!,"AAAAAHJr/q0=")</f>
        <v>#REF!</v>
      </c>
      <c r="FS130" t="e">
        <f>AND(Bills!F494,"AAAAAHJr/q4=")</f>
        <v>#VALUE!</v>
      </c>
      <c r="FT130" t="e">
        <f>AND(Bills!#REF!,"AAAAAHJr/q8=")</f>
        <v>#REF!</v>
      </c>
      <c r="FU130" t="e">
        <f>AND(Bills!G494,"AAAAAHJr/rA=")</f>
        <v>#VALUE!</v>
      </c>
      <c r="FV130" t="e">
        <f>AND(Bills!H494,"AAAAAHJr/rE=")</f>
        <v>#VALUE!</v>
      </c>
      <c r="FW130" t="e">
        <f>AND(Bills!I494,"AAAAAHJr/rI=")</f>
        <v>#VALUE!</v>
      </c>
      <c r="FX130" t="e">
        <f>AND(Bills!J494,"AAAAAHJr/rM=")</f>
        <v>#VALUE!</v>
      </c>
      <c r="FY130" t="e">
        <f>AND(Bills!K494,"AAAAAHJr/rQ=")</f>
        <v>#VALUE!</v>
      </c>
      <c r="FZ130" t="e">
        <f>AND(Bills!L494,"AAAAAHJr/rU=")</f>
        <v>#VALUE!</v>
      </c>
      <c r="GA130" t="e">
        <f>AND(Bills!#REF!,"AAAAAHJr/rY=")</f>
        <v>#REF!</v>
      </c>
      <c r="GB130" t="e">
        <f>AND(Bills!M494,"AAAAAHJr/rc=")</f>
        <v>#VALUE!</v>
      </c>
      <c r="GC130" t="e">
        <f>AND(Bills!N494,"AAAAAHJr/rg=")</f>
        <v>#VALUE!</v>
      </c>
      <c r="GD130" t="e">
        <f>AND(Bills!O494,"AAAAAHJr/rk=")</f>
        <v>#VALUE!</v>
      </c>
      <c r="GE130" t="e">
        <f>AND(Bills!P494,"AAAAAHJr/ro=")</f>
        <v>#VALUE!</v>
      </c>
      <c r="GF130" t="e">
        <f>AND(Bills!Q494,"AAAAAHJr/rs=")</f>
        <v>#VALUE!</v>
      </c>
      <c r="GG130" t="e">
        <f>AND(Bills!R494,"AAAAAHJr/rw=")</f>
        <v>#VALUE!</v>
      </c>
      <c r="GH130" t="e">
        <f>AND(Bills!S494,"AAAAAHJr/r0=")</f>
        <v>#VALUE!</v>
      </c>
      <c r="GI130" t="e">
        <f>AND(Bills!T494,"AAAAAHJr/r4=")</f>
        <v>#VALUE!</v>
      </c>
      <c r="GJ130" t="e">
        <f>AND(Bills!#REF!,"AAAAAHJr/r8=")</f>
        <v>#REF!</v>
      </c>
      <c r="GK130" t="e">
        <f>AND(Bills!U494,"AAAAAHJr/sA=")</f>
        <v>#VALUE!</v>
      </c>
      <c r="GL130" t="e">
        <f>AND(Bills!V494,"AAAAAHJr/sE=")</f>
        <v>#VALUE!</v>
      </c>
      <c r="GM130" t="e">
        <f>AND(Bills!W494,"AAAAAHJr/sI=")</f>
        <v>#VALUE!</v>
      </c>
      <c r="GN130" t="e">
        <f>AND(Bills!#REF!,"AAAAAHJr/sM=")</f>
        <v>#REF!</v>
      </c>
      <c r="GO130" t="e">
        <f>AND(Bills!#REF!,"AAAAAHJr/sQ=")</f>
        <v>#REF!</v>
      </c>
      <c r="GP130" t="e">
        <f>AND(Bills!Y494,"AAAAAHJr/sU=")</f>
        <v>#VALUE!</v>
      </c>
      <c r="GQ130" t="e">
        <f>AND(Bills!Z494,"AAAAAHJr/sY=")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AND(Bills!AA494,"AAAAAHJr/tA=")</f>
        <v>#VALUE!</v>
      </c>
      <c r="HB130" t="e">
        <f>AND(Bills!AB494,"AAAAAHJr/tE=")</f>
        <v>#VALUE!</v>
      </c>
      <c r="HC130" t="e">
        <f>AND(Bills!#REF!,"AAAAAHJr/tI=")</f>
        <v>#REF!</v>
      </c>
      <c r="HD130" t="e">
        <f>AND(Bills!#REF!,"AAAAAHJr/tM=")</f>
        <v>#REF!</v>
      </c>
      <c r="HE130" t="e">
        <f>AND(Bills!#REF!,"AAAAAHJr/tQ=")</f>
        <v>#REF!</v>
      </c>
      <c r="HF130" t="e">
        <f>AND(Bills!AC494,"AAAAAHJr/tU=")</f>
        <v>#VALUE!</v>
      </c>
      <c r="HG130" t="e">
        <f>AND(Bills!AD494,"AAAAAHJr/tY=")</f>
        <v>#VALUE!</v>
      </c>
      <c r="HH130" t="e">
        <f>AND(Bills!#REF!,"AAAAAHJr/tc=")</f>
        <v>#REF!</v>
      </c>
      <c r="HI130">
        <f>IF(Bills!495:495,"AAAAAHJr/tg=",0)</f>
        <v>0</v>
      </c>
      <c r="HJ130" t="e">
        <f>AND(Bills!B495,"AAAAAHJr/tk=")</f>
        <v>#VALUE!</v>
      </c>
      <c r="HK130" t="e">
        <f>AND(Bills!#REF!,"AAAAAHJr/to=")</f>
        <v>#REF!</v>
      </c>
      <c r="HL130" t="e">
        <f>AND(Bills!C495,"AAAAAHJr/ts=")</f>
        <v>#VALUE!</v>
      </c>
      <c r="HM130" t="e">
        <f>AND(Bills!D495,"AAAAAHJr/tw=")</f>
        <v>#VALUE!</v>
      </c>
      <c r="HN130" t="e">
        <f>AND(Bills!E495,"AAAAAHJr/t0=")</f>
        <v>#VALUE!</v>
      </c>
      <c r="HO130" t="e">
        <f>AND(Bills!#REF!,"AAAAAHJr/t4=")</f>
        <v>#REF!</v>
      </c>
      <c r="HP130" t="e">
        <f>AND(Bills!#REF!,"AAAAAHJr/t8=")</f>
        <v>#REF!</v>
      </c>
      <c r="HQ130" t="e">
        <f>AND(Bills!#REF!,"AAAAAHJr/uA=")</f>
        <v>#REF!</v>
      </c>
      <c r="HR130" t="e">
        <f>AND(Bills!F495,"AAAAAHJr/uE=")</f>
        <v>#VALUE!</v>
      </c>
      <c r="HS130" t="e">
        <f>AND(Bills!#REF!,"AAAAAHJr/uI=")</f>
        <v>#REF!</v>
      </c>
      <c r="HT130" t="e">
        <f>AND(Bills!G495,"AAAAAHJr/uM=")</f>
        <v>#VALUE!</v>
      </c>
      <c r="HU130" t="e">
        <f>AND(Bills!H495,"AAAAAHJr/uQ=")</f>
        <v>#VALUE!</v>
      </c>
      <c r="HV130" t="e">
        <f>AND(Bills!I495,"AAAAAHJr/uU=")</f>
        <v>#VALUE!</v>
      </c>
      <c r="HW130" t="e">
        <f>AND(Bills!J495,"AAAAAHJr/uY=")</f>
        <v>#VALUE!</v>
      </c>
      <c r="HX130" t="e">
        <f>AND(Bills!K495,"AAAAAHJr/uc=")</f>
        <v>#VALUE!</v>
      </c>
      <c r="HY130" t="e">
        <f>AND(Bills!L495,"AAAAAHJr/ug=")</f>
        <v>#VALUE!</v>
      </c>
      <c r="HZ130" t="e">
        <f>AND(Bills!#REF!,"AAAAAHJr/uk=")</f>
        <v>#REF!</v>
      </c>
      <c r="IA130" t="e">
        <f>AND(Bills!M495,"AAAAAHJr/uo=")</f>
        <v>#VALUE!</v>
      </c>
      <c r="IB130" t="e">
        <f>AND(Bills!N495,"AAAAAHJr/us=")</f>
        <v>#VALUE!</v>
      </c>
      <c r="IC130" t="e">
        <f>AND(Bills!O495,"AAAAAHJr/uw=")</f>
        <v>#VALUE!</v>
      </c>
      <c r="ID130" t="e">
        <f>AND(Bills!P495,"AAAAAHJr/u0=")</f>
        <v>#VALUE!</v>
      </c>
      <c r="IE130" t="e">
        <f>AND(Bills!Q495,"AAAAAHJr/u4=")</f>
        <v>#VALUE!</v>
      </c>
      <c r="IF130" t="e">
        <f>AND(Bills!R495,"AAAAAHJr/u8=")</f>
        <v>#VALUE!</v>
      </c>
      <c r="IG130" t="e">
        <f>AND(Bills!S495,"AAAAAHJr/vA=")</f>
        <v>#VALUE!</v>
      </c>
      <c r="IH130" t="e">
        <f>AND(Bills!T495,"AAAAAHJr/vE=")</f>
        <v>#VALUE!</v>
      </c>
      <c r="II130" t="e">
        <f>AND(Bills!#REF!,"AAAAAHJr/vI=")</f>
        <v>#REF!</v>
      </c>
      <c r="IJ130" t="e">
        <f>AND(Bills!U495,"AAAAAHJr/vM=")</f>
        <v>#VALUE!</v>
      </c>
      <c r="IK130" t="e">
        <f>AND(Bills!V495,"AAAAAHJr/vQ=")</f>
        <v>#VALUE!</v>
      </c>
      <c r="IL130" t="e">
        <f>AND(Bills!W495,"AAAAAHJr/vU=")</f>
        <v>#VALUE!</v>
      </c>
      <c r="IM130" t="e">
        <f>AND(Bills!#REF!,"AAAAAHJr/vY=")</f>
        <v>#REF!</v>
      </c>
      <c r="IN130" t="e">
        <f>AND(Bills!#REF!,"AAAAAHJr/vc=")</f>
        <v>#REF!</v>
      </c>
      <c r="IO130" t="e">
        <f>AND(Bills!Y495,"AAAAAHJr/vg=")</f>
        <v>#VALUE!</v>
      </c>
      <c r="IP130" t="e">
        <f>AND(Bills!Z495,"AAAAAHJr/vk=")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AND(Bills!AA495,"AAAAAFjvvAM=")</f>
        <v>#VALUE!</v>
      </c>
      <c r="E131" t="e">
        <f>AND(Bills!AB495,"AAAAAFjvvAQ=")</f>
        <v>#VALUE!</v>
      </c>
      <c r="F131" t="e">
        <f>AND(Bills!#REF!,"AAAAAFjvvAU=")</f>
        <v>#REF!</v>
      </c>
      <c r="G131" t="e">
        <f>AND(Bills!#REF!,"AAAAAFjvvAY=")</f>
        <v>#REF!</v>
      </c>
      <c r="H131" t="e">
        <f>AND(Bills!#REF!,"AAAAAFjvvAc=")</f>
        <v>#REF!</v>
      </c>
      <c r="I131" t="e">
        <f>AND(Bills!AC495,"AAAAAFjvvAg=")</f>
        <v>#VALUE!</v>
      </c>
      <c r="J131" t="e">
        <f>AND(Bills!AD495,"AAAAAFjvvAk=")</f>
        <v>#VALUE!</v>
      </c>
      <c r="K131" t="e">
        <f>AND(Bills!#REF!,"AAAAAFjvvAo=")</f>
        <v>#REF!</v>
      </c>
      <c r="L131">
        <f>IF(Bills!496:496,"AAAAAFjvvAs=",0)</f>
        <v>0</v>
      </c>
      <c r="M131" t="e">
        <f>AND(Bills!B496,"AAAAAFjvvAw=")</f>
        <v>#VALUE!</v>
      </c>
      <c r="N131" t="e">
        <f>AND(Bills!#REF!,"AAAAAFjvvA0=")</f>
        <v>#REF!</v>
      </c>
      <c r="O131" t="e">
        <f>AND(Bills!C496,"AAAAAFjvvA4=")</f>
        <v>#VALUE!</v>
      </c>
      <c r="P131" t="e">
        <f>AND(Bills!D496,"AAAAAFjvvA8=")</f>
        <v>#VALUE!</v>
      </c>
      <c r="Q131" t="e">
        <f>AND(Bills!E496,"AAAAAFjvvBA=")</f>
        <v>#VALUE!</v>
      </c>
      <c r="R131" t="e">
        <f>AND(Bills!#REF!,"AAAAAFjvvBE=")</f>
        <v>#REF!</v>
      </c>
      <c r="S131" t="e">
        <f>AND(Bills!#REF!,"AAAAAFjvvBI=")</f>
        <v>#REF!</v>
      </c>
      <c r="T131" t="e">
        <f>AND(Bills!#REF!,"AAAAAFjvvBM=")</f>
        <v>#REF!</v>
      </c>
      <c r="U131" t="e">
        <f>AND(Bills!F496,"AAAAAFjvvBQ=")</f>
        <v>#VALUE!</v>
      </c>
      <c r="V131" t="e">
        <f>AND(Bills!#REF!,"AAAAAFjvvBU=")</f>
        <v>#REF!</v>
      </c>
      <c r="W131" t="e">
        <f>AND(Bills!G496,"AAAAAFjvvBY=")</f>
        <v>#VALUE!</v>
      </c>
      <c r="X131" t="e">
        <f>AND(Bills!H496,"AAAAAFjvvBc=")</f>
        <v>#VALUE!</v>
      </c>
      <c r="Y131" t="e">
        <f>AND(Bills!I496,"AAAAAFjvvBg=")</f>
        <v>#VALUE!</v>
      </c>
      <c r="Z131" t="e">
        <f>AND(Bills!J496,"AAAAAFjvvBk=")</f>
        <v>#VALUE!</v>
      </c>
      <c r="AA131" t="e">
        <f>AND(Bills!K496,"AAAAAFjvvBo=")</f>
        <v>#VALUE!</v>
      </c>
      <c r="AB131" t="e">
        <f>AND(Bills!L496,"AAAAAFjvvBs=")</f>
        <v>#VALUE!</v>
      </c>
      <c r="AC131" t="e">
        <f>AND(Bills!#REF!,"AAAAAFjvvBw=")</f>
        <v>#REF!</v>
      </c>
      <c r="AD131" t="e">
        <f>AND(Bills!M496,"AAAAAFjvvB0=")</f>
        <v>#VALUE!</v>
      </c>
      <c r="AE131" t="e">
        <f>AND(Bills!N496,"AAAAAFjvvB4=")</f>
        <v>#VALUE!</v>
      </c>
      <c r="AF131" t="e">
        <f>AND(Bills!O496,"AAAAAFjvvB8=")</f>
        <v>#VALUE!</v>
      </c>
      <c r="AG131" t="e">
        <f>AND(Bills!P496,"AAAAAFjvvCA=")</f>
        <v>#VALUE!</v>
      </c>
      <c r="AH131" t="e">
        <f>AND(Bills!Q496,"AAAAAFjvvCE=")</f>
        <v>#VALUE!</v>
      </c>
      <c r="AI131" t="e">
        <f>AND(Bills!R496,"AAAAAFjvvCI=")</f>
        <v>#VALUE!</v>
      </c>
      <c r="AJ131" t="e">
        <f>AND(Bills!S496,"AAAAAFjvvCM=")</f>
        <v>#VALUE!</v>
      </c>
      <c r="AK131" t="e">
        <f>AND(Bills!T496,"AAAAAFjvvCQ=")</f>
        <v>#VALUE!</v>
      </c>
      <c r="AL131" t="e">
        <f>AND(Bills!#REF!,"AAAAAFjvvCU=")</f>
        <v>#REF!</v>
      </c>
      <c r="AM131" t="e">
        <f>AND(Bills!U496,"AAAAAFjvvCY=")</f>
        <v>#VALUE!</v>
      </c>
      <c r="AN131" t="e">
        <f>AND(Bills!V496,"AAAAAFjvvCc=")</f>
        <v>#VALUE!</v>
      </c>
      <c r="AO131" t="e">
        <f>AND(Bills!W496,"AAAAAFjvvCg=")</f>
        <v>#VALUE!</v>
      </c>
      <c r="AP131" t="e">
        <f>AND(Bills!#REF!,"AAAAAFjvvCk=")</f>
        <v>#REF!</v>
      </c>
      <c r="AQ131" t="e">
        <f>AND(Bills!#REF!,"AAAAAFjvvCo=")</f>
        <v>#REF!</v>
      </c>
      <c r="AR131" t="e">
        <f>AND(Bills!Y496,"AAAAAFjvvCs=")</f>
        <v>#VALUE!</v>
      </c>
      <c r="AS131" t="e">
        <f>AND(Bills!Z496,"AAAAAFjvvCw=")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AND(Bills!AA496,"AAAAAFjvvDY=")</f>
        <v>#VALUE!</v>
      </c>
      <c r="BD131" t="e">
        <f>AND(Bills!AB496,"AAAAAFjvvDc=")</f>
        <v>#VALUE!</v>
      </c>
      <c r="BE131" t="e">
        <f>AND(Bills!#REF!,"AAAAAFjvvDg=")</f>
        <v>#REF!</v>
      </c>
      <c r="BF131" t="e">
        <f>AND(Bills!#REF!,"AAAAAFjvvDk=")</f>
        <v>#REF!</v>
      </c>
      <c r="BG131" t="e">
        <f>AND(Bills!#REF!,"AAAAAFjvvDo=")</f>
        <v>#REF!</v>
      </c>
      <c r="BH131" t="e">
        <f>AND(Bills!AC496,"AAAAAFjvvDs=")</f>
        <v>#VALUE!</v>
      </c>
      <c r="BI131" t="e">
        <f>AND(Bills!AD496,"AAAAAFjvvDw=")</f>
        <v>#VALUE!</v>
      </c>
      <c r="BJ131" t="e">
        <f>AND(Bills!#REF!,"AAAAAFjvvD0=")</f>
        <v>#REF!</v>
      </c>
      <c r="BK131">
        <f>IF(Bills!497:497,"AAAAAFjvvD4=",0)</f>
        <v>0</v>
      </c>
      <c r="BL131" t="e">
        <f>AND(Bills!B497,"AAAAAFjvvD8=")</f>
        <v>#VALUE!</v>
      </c>
      <c r="BM131" t="e">
        <f>AND(Bills!#REF!,"AAAAAFjvvEA=")</f>
        <v>#REF!</v>
      </c>
      <c r="BN131" t="e">
        <f>AND(Bills!C497,"AAAAAFjvvEE=")</f>
        <v>#VALUE!</v>
      </c>
      <c r="BO131" t="e">
        <f>AND(Bills!D497,"AAAAAFjvvEI=")</f>
        <v>#VALUE!</v>
      </c>
      <c r="BP131" t="e">
        <f>AND(Bills!E497,"AAAAAFjvvEM=")</f>
        <v>#VALUE!</v>
      </c>
      <c r="BQ131" t="e">
        <f>AND(Bills!#REF!,"AAAAAFjvvEQ=")</f>
        <v>#REF!</v>
      </c>
      <c r="BR131" t="e">
        <f>AND(Bills!#REF!,"AAAAAFjvvEU=")</f>
        <v>#REF!</v>
      </c>
      <c r="BS131" t="e">
        <f>AND(Bills!#REF!,"AAAAAFjvvEY=")</f>
        <v>#REF!</v>
      </c>
      <c r="BT131" t="e">
        <f>AND(Bills!F497,"AAAAAFjvvEc=")</f>
        <v>#VALUE!</v>
      </c>
      <c r="BU131" t="e">
        <f>AND(Bills!#REF!,"AAAAAFjvvEg=")</f>
        <v>#REF!</v>
      </c>
      <c r="BV131" t="e">
        <f>AND(Bills!G497,"AAAAAFjvvEk=")</f>
        <v>#VALUE!</v>
      </c>
      <c r="BW131" t="e">
        <f>AND(Bills!H497,"AAAAAFjvvEo=")</f>
        <v>#VALUE!</v>
      </c>
      <c r="BX131" t="e">
        <f>AND(Bills!I497,"AAAAAFjvvEs=")</f>
        <v>#VALUE!</v>
      </c>
      <c r="BY131" t="e">
        <f>AND(Bills!J497,"AAAAAFjvvEw=")</f>
        <v>#VALUE!</v>
      </c>
      <c r="BZ131" t="e">
        <f>AND(Bills!K497,"AAAAAFjvvE0=")</f>
        <v>#VALUE!</v>
      </c>
      <c r="CA131" t="e">
        <f>AND(Bills!L497,"AAAAAFjvvE4=")</f>
        <v>#VALUE!</v>
      </c>
      <c r="CB131" t="e">
        <f>AND(Bills!#REF!,"AAAAAFjvvE8=")</f>
        <v>#REF!</v>
      </c>
      <c r="CC131" t="e">
        <f>AND(Bills!M497,"AAAAAFjvvFA=")</f>
        <v>#VALUE!</v>
      </c>
      <c r="CD131" t="e">
        <f>AND(Bills!N497,"AAAAAFjvvFE=")</f>
        <v>#VALUE!</v>
      </c>
      <c r="CE131" t="e">
        <f>AND(Bills!O497,"AAAAAFjvvFI=")</f>
        <v>#VALUE!</v>
      </c>
      <c r="CF131" t="e">
        <f>AND(Bills!P497,"AAAAAFjvvFM=")</f>
        <v>#VALUE!</v>
      </c>
      <c r="CG131" t="e">
        <f>AND(Bills!Q497,"AAAAAFjvvFQ=")</f>
        <v>#VALUE!</v>
      </c>
      <c r="CH131" t="e">
        <f>AND(Bills!R497,"AAAAAFjvvFU=")</f>
        <v>#VALUE!</v>
      </c>
      <c r="CI131" t="e">
        <f>AND(Bills!S497,"AAAAAFjvvFY=")</f>
        <v>#VALUE!</v>
      </c>
      <c r="CJ131" t="e">
        <f>AND(Bills!T497,"AAAAAFjvvFc=")</f>
        <v>#VALUE!</v>
      </c>
      <c r="CK131" t="e">
        <f>AND(Bills!#REF!,"AAAAAFjvvFg=")</f>
        <v>#REF!</v>
      </c>
      <c r="CL131" t="e">
        <f>AND(Bills!U497,"AAAAAFjvvFk=")</f>
        <v>#VALUE!</v>
      </c>
      <c r="CM131" t="e">
        <f>AND(Bills!V497,"AAAAAFjvvFo=")</f>
        <v>#VALUE!</v>
      </c>
      <c r="CN131" t="e">
        <f>AND(Bills!W497,"AAAAAFjvvFs=")</f>
        <v>#VALUE!</v>
      </c>
      <c r="CO131" t="e">
        <f>AND(Bills!#REF!,"AAAAAFjvvFw=")</f>
        <v>#REF!</v>
      </c>
      <c r="CP131" t="e">
        <f>AND(Bills!#REF!,"AAAAAFjvvF0=")</f>
        <v>#REF!</v>
      </c>
      <c r="CQ131" t="e">
        <f>AND(Bills!Y497,"AAAAAFjvvF4=")</f>
        <v>#VALUE!</v>
      </c>
      <c r="CR131" t="e">
        <f>AND(Bills!Z497,"AAAAAFjvvF8=")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AND(Bills!AA497,"AAAAAFjvvGk=")</f>
        <v>#VALUE!</v>
      </c>
      <c r="DC131" t="e">
        <f>AND(Bills!AB497,"AAAAAFjvvGo=")</f>
        <v>#VALUE!</v>
      </c>
      <c r="DD131" t="e">
        <f>AND(Bills!#REF!,"AAAAAFjvvGs=")</f>
        <v>#REF!</v>
      </c>
      <c r="DE131" t="e">
        <f>AND(Bills!#REF!,"AAAAAFjvvGw=")</f>
        <v>#REF!</v>
      </c>
      <c r="DF131" t="e">
        <f>AND(Bills!#REF!,"AAAAAFjvvG0=")</f>
        <v>#REF!</v>
      </c>
      <c r="DG131" t="e">
        <f>AND(Bills!AC497,"AAAAAFjvvG4=")</f>
        <v>#VALUE!</v>
      </c>
      <c r="DH131" t="e">
        <f>AND(Bills!AD497,"AAAAAFjvvG8=")</f>
        <v>#VALUE!</v>
      </c>
      <c r="DI131" t="e">
        <f>AND(Bills!#REF!,"AAAAAFjvvHA=")</f>
        <v>#REF!</v>
      </c>
      <c r="DJ131">
        <f>IF(Bills!498:498,"AAAAAFjvvHE=",0)</f>
        <v>0</v>
      </c>
      <c r="DK131" t="e">
        <f>AND(Bills!B498,"AAAAAFjvvHI=")</f>
        <v>#VALUE!</v>
      </c>
      <c r="DL131" t="e">
        <f>AND(Bills!#REF!,"AAAAAFjvvHM=")</f>
        <v>#REF!</v>
      </c>
      <c r="DM131" t="e">
        <f>AND(Bills!C498,"AAAAAFjvvHQ=")</f>
        <v>#VALUE!</v>
      </c>
      <c r="DN131" t="e">
        <f>AND(Bills!D498,"AAAAAFjvvHU=")</f>
        <v>#VALUE!</v>
      </c>
      <c r="DO131" t="e">
        <f>AND(Bills!E498,"AAAAAFjvvHY=")</f>
        <v>#VALUE!</v>
      </c>
      <c r="DP131" t="e">
        <f>AND(Bills!#REF!,"AAAAAFjvvHc=")</f>
        <v>#REF!</v>
      </c>
      <c r="DQ131" t="e">
        <f>AND(Bills!#REF!,"AAAAAFjvvHg=")</f>
        <v>#REF!</v>
      </c>
      <c r="DR131" t="e">
        <f>AND(Bills!#REF!,"AAAAAFjvvHk=")</f>
        <v>#REF!</v>
      </c>
      <c r="DS131" t="e">
        <f>AND(Bills!F498,"AAAAAFjvvHo=")</f>
        <v>#VALUE!</v>
      </c>
      <c r="DT131" t="e">
        <f>AND(Bills!#REF!,"AAAAAFjvvHs=")</f>
        <v>#REF!</v>
      </c>
      <c r="DU131" t="e">
        <f>AND(Bills!G498,"AAAAAFjvvHw=")</f>
        <v>#VALUE!</v>
      </c>
      <c r="DV131" t="e">
        <f>AND(Bills!H498,"AAAAAFjvvH0=")</f>
        <v>#VALUE!</v>
      </c>
      <c r="DW131" t="e">
        <f>AND(Bills!I498,"AAAAAFjvvH4=")</f>
        <v>#VALUE!</v>
      </c>
      <c r="DX131" t="e">
        <f>AND(Bills!J498,"AAAAAFjvvH8=")</f>
        <v>#VALUE!</v>
      </c>
      <c r="DY131" t="e">
        <f>AND(Bills!K498,"AAAAAFjvvIA=")</f>
        <v>#VALUE!</v>
      </c>
      <c r="DZ131" t="e">
        <f>AND(Bills!L498,"AAAAAFjvvIE=")</f>
        <v>#VALUE!</v>
      </c>
      <c r="EA131" t="e">
        <f>AND(Bills!#REF!,"AAAAAFjvvII=")</f>
        <v>#REF!</v>
      </c>
      <c r="EB131" t="e">
        <f>AND(Bills!M498,"AAAAAFjvvIM=")</f>
        <v>#VALUE!</v>
      </c>
      <c r="EC131" t="e">
        <f>AND(Bills!N498,"AAAAAFjvvIQ=")</f>
        <v>#VALUE!</v>
      </c>
      <c r="ED131" t="e">
        <f>AND(Bills!O498,"AAAAAFjvvIU=")</f>
        <v>#VALUE!</v>
      </c>
      <c r="EE131" t="e">
        <f>AND(Bills!P498,"AAAAAFjvvIY=")</f>
        <v>#VALUE!</v>
      </c>
      <c r="EF131" t="e">
        <f>AND(Bills!Q498,"AAAAAFjvvIc=")</f>
        <v>#VALUE!</v>
      </c>
      <c r="EG131" t="e">
        <f>AND(Bills!R498,"AAAAAFjvvIg=")</f>
        <v>#VALUE!</v>
      </c>
      <c r="EH131" t="e">
        <f>AND(Bills!S498,"AAAAAFjvvIk=")</f>
        <v>#VALUE!</v>
      </c>
      <c r="EI131" t="e">
        <f>AND(Bills!T498,"AAAAAFjvvIo=")</f>
        <v>#VALUE!</v>
      </c>
      <c r="EJ131" t="e">
        <f>AND(Bills!#REF!,"AAAAAFjvvIs=")</f>
        <v>#REF!</v>
      </c>
      <c r="EK131" t="e">
        <f>AND(Bills!U498,"AAAAAFjvvIw=")</f>
        <v>#VALUE!</v>
      </c>
      <c r="EL131" t="e">
        <f>AND(Bills!V498,"AAAAAFjvvI0=")</f>
        <v>#VALUE!</v>
      </c>
      <c r="EM131" t="e">
        <f>AND(Bills!W498,"AAAAAFjvvI4=")</f>
        <v>#VALUE!</v>
      </c>
      <c r="EN131" t="e">
        <f>AND(Bills!#REF!,"AAAAAFjvvI8=")</f>
        <v>#REF!</v>
      </c>
      <c r="EO131" t="e">
        <f>AND(Bills!#REF!,"AAAAAFjvvJA=")</f>
        <v>#REF!</v>
      </c>
      <c r="EP131" t="e">
        <f>AND(Bills!Y498,"AAAAAFjvvJE=")</f>
        <v>#VALUE!</v>
      </c>
      <c r="EQ131" t="e">
        <f>AND(Bills!Z498,"AAAAAFjvvJI=")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AND(Bills!AA498,"AAAAAFjvvJw=")</f>
        <v>#VALUE!</v>
      </c>
      <c r="FB131" t="e">
        <f>AND(Bills!AB498,"AAAAAFjvvJ0=")</f>
        <v>#VALUE!</v>
      </c>
      <c r="FC131" t="e">
        <f>AND(Bills!#REF!,"AAAAAFjvvJ4=")</f>
        <v>#REF!</v>
      </c>
      <c r="FD131" t="e">
        <f>AND(Bills!#REF!,"AAAAAFjvvJ8=")</f>
        <v>#REF!</v>
      </c>
      <c r="FE131" t="e">
        <f>AND(Bills!#REF!,"AAAAAFjvvKA=")</f>
        <v>#REF!</v>
      </c>
      <c r="FF131" t="e">
        <f>AND(Bills!AC498,"AAAAAFjvvKE=")</f>
        <v>#VALUE!</v>
      </c>
      <c r="FG131" t="e">
        <f>AND(Bills!AD498,"AAAAAFjvvKI=")</f>
        <v>#VALUE!</v>
      </c>
      <c r="FH131" t="e">
        <f>AND(Bills!#REF!,"AAAAAFjvvKM=")</f>
        <v>#REF!</v>
      </c>
      <c r="FI131">
        <f>IF(Bills!499:499,"AAAAAFjvvKQ=",0)</f>
        <v>0</v>
      </c>
      <c r="FJ131" t="e">
        <f>AND(Bills!B499,"AAAAAFjvvKU=")</f>
        <v>#VALUE!</v>
      </c>
      <c r="FK131" t="e">
        <f>AND(Bills!#REF!,"AAAAAFjvvKY=")</f>
        <v>#REF!</v>
      </c>
      <c r="FL131" t="e">
        <f>AND(Bills!C499,"AAAAAFjvvKc=")</f>
        <v>#VALUE!</v>
      </c>
      <c r="FM131" t="e">
        <f>AND(Bills!D499,"AAAAAFjvvKg=")</f>
        <v>#VALUE!</v>
      </c>
      <c r="FN131" t="e">
        <f>AND(Bills!E499,"AAAAAFjvvKk=")</f>
        <v>#VALUE!</v>
      </c>
      <c r="FO131" t="e">
        <f>AND(Bills!#REF!,"AAAAAFjvvKo=")</f>
        <v>#REF!</v>
      </c>
      <c r="FP131" t="e">
        <f>AND(Bills!#REF!,"AAAAAFjvvKs=")</f>
        <v>#REF!</v>
      </c>
      <c r="FQ131" t="e">
        <f>AND(Bills!#REF!,"AAAAAFjvvKw=")</f>
        <v>#REF!</v>
      </c>
      <c r="FR131" t="e">
        <f>AND(Bills!F499,"AAAAAFjvvK0=")</f>
        <v>#VALUE!</v>
      </c>
      <c r="FS131" t="e">
        <f>AND(Bills!#REF!,"AAAAAFjvvK4=")</f>
        <v>#REF!</v>
      </c>
      <c r="FT131" t="e">
        <f>AND(Bills!G499,"AAAAAFjvvK8=")</f>
        <v>#VALUE!</v>
      </c>
      <c r="FU131" t="e">
        <f>AND(Bills!H499,"AAAAAFjvvLA=")</f>
        <v>#VALUE!</v>
      </c>
      <c r="FV131" t="e">
        <f>AND(Bills!I499,"AAAAAFjvvLE=")</f>
        <v>#VALUE!</v>
      </c>
      <c r="FW131" t="e">
        <f>AND(Bills!J499,"AAAAAFjvvLI=")</f>
        <v>#VALUE!</v>
      </c>
      <c r="FX131" t="e">
        <f>AND(Bills!K499,"AAAAAFjvvLM=")</f>
        <v>#VALUE!</v>
      </c>
      <c r="FY131" t="e">
        <f>AND(Bills!L499,"AAAAAFjvvLQ=")</f>
        <v>#VALUE!</v>
      </c>
      <c r="FZ131" t="e">
        <f>AND(Bills!#REF!,"AAAAAFjvvLU=")</f>
        <v>#REF!</v>
      </c>
      <c r="GA131" t="e">
        <f>AND(Bills!M499,"AAAAAFjvvLY=")</f>
        <v>#VALUE!</v>
      </c>
      <c r="GB131" t="e">
        <f>AND(Bills!N499,"AAAAAFjvvLc=")</f>
        <v>#VALUE!</v>
      </c>
      <c r="GC131" t="e">
        <f>AND(Bills!O499,"AAAAAFjvvLg=")</f>
        <v>#VALUE!</v>
      </c>
      <c r="GD131" t="e">
        <f>AND(Bills!P499,"AAAAAFjvvLk=")</f>
        <v>#VALUE!</v>
      </c>
      <c r="GE131" t="e">
        <f>AND(Bills!Q499,"AAAAAFjvvLo=")</f>
        <v>#VALUE!</v>
      </c>
      <c r="GF131" t="e">
        <f>AND(Bills!R499,"AAAAAFjvvLs=")</f>
        <v>#VALUE!</v>
      </c>
      <c r="GG131" t="e">
        <f>AND(Bills!S499,"AAAAAFjvvLw=")</f>
        <v>#VALUE!</v>
      </c>
      <c r="GH131" t="e">
        <f>AND(Bills!T499,"AAAAAFjvvL0=")</f>
        <v>#VALUE!</v>
      </c>
      <c r="GI131" t="e">
        <f>AND(Bills!#REF!,"AAAAAFjvvL4=")</f>
        <v>#REF!</v>
      </c>
      <c r="GJ131" t="e">
        <f>AND(Bills!U499,"AAAAAFjvvL8=")</f>
        <v>#VALUE!</v>
      </c>
      <c r="GK131" t="e">
        <f>AND(Bills!V499,"AAAAAFjvvMA=")</f>
        <v>#VALUE!</v>
      </c>
      <c r="GL131" t="e">
        <f>AND(Bills!W499,"AAAAAFjvvME=")</f>
        <v>#VALUE!</v>
      </c>
      <c r="GM131" t="e">
        <f>AND(Bills!#REF!,"AAAAAFjvvMI=")</f>
        <v>#REF!</v>
      </c>
      <c r="GN131" t="e">
        <f>AND(Bills!#REF!,"AAAAAFjvvMM=")</f>
        <v>#REF!</v>
      </c>
      <c r="GO131" t="e">
        <f>AND(Bills!Y499,"AAAAAFjvvMQ=")</f>
        <v>#VALUE!</v>
      </c>
      <c r="GP131" t="e">
        <f>AND(Bills!Z499,"AAAAAFjvvMU=")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AND(Bills!AA499,"AAAAAFjvvM8=")</f>
        <v>#VALUE!</v>
      </c>
      <c r="HA131" t="e">
        <f>AND(Bills!AB499,"AAAAAFjvvNA=")</f>
        <v>#VALUE!</v>
      </c>
      <c r="HB131" t="e">
        <f>AND(Bills!#REF!,"AAAAAFjvvNE=")</f>
        <v>#REF!</v>
      </c>
      <c r="HC131" t="e">
        <f>AND(Bills!#REF!,"AAAAAFjvvNI=")</f>
        <v>#REF!</v>
      </c>
      <c r="HD131" t="e">
        <f>AND(Bills!#REF!,"AAAAAFjvvNM=")</f>
        <v>#REF!</v>
      </c>
      <c r="HE131" t="e">
        <f>AND(Bills!AC499,"AAAAAFjvvNQ=")</f>
        <v>#VALUE!</v>
      </c>
      <c r="HF131" t="e">
        <f>AND(Bills!AD499,"AAAAAFjvvNU=")</f>
        <v>#VALUE!</v>
      </c>
      <c r="HG131" t="e">
        <f>AND(Bills!#REF!,"AAAAAFjvvNY=")</f>
        <v>#REF!</v>
      </c>
      <c r="HH131">
        <f>IF(Bills!500:500,"AAAAAFjvvNc=",0)</f>
        <v>0</v>
      </c>
      <c r="HI131" t="e">
        <f>AND(Bills!B500,"AAAAAFjvvNg=")</f>
        <v>#VALUE!</v>
      </c>
      <c r="HJ131" t="e">
        <f>AND(Bills!#REF!,"AAAAAFjvvNk=")</f>
        <v>#REF!</v>
      </c>
      <c r="HK131" t="e">
        <f>AND(Bills!C500,"AAAAAFjvvNo=")</f>
        <v>#VALUE!</v>
      </c>
      <c r="HL131" t="e">
        <f>AND(Bills!D500,"AAAAAFjvvNs=")</f>
        <v>#VALUE!</v>
      </c>
      <c r="HM131" t="e">
        <f>AND(Bills!E500,"AAAAAFjvvNw=")</f>
        <v>#VALUE!</v>
      </c>
      <c r="HN131" t="e">
        <f>AND(Bills!#REF!,"AAAAAFjvvN0=")</f>
        <v>#REF!</v>
      </c>
      <c r="HO131" t="e">
        <f>AND(Bills!#REF!,"AAAAAFjvvN4=")</f>
        <v>#REF!</v>
      </c>
      <c r="HP131" t="e">
        <f>AND(Bills!#REF!,"AAAAAFjvvN8=")</f>
        <v>#REF!</v>
      </c>
      <c r="HQ131" t="e">
        <f>AND(Bills!F500,"AAAAAFjvvOA=")</f>
        <v>#VALUE!</v>
      </c>
      <c r="HR131" t="e">
        <f>AND(Bills!#REF!,"AAAAAFjvvOE=")</f>
        <v>#REF!</v>
      </c>
      <c r="HS131" t="e">
        <f>AND(Bills!G500,"AAAAAFjvvOI=")</f>
        <v>#VALUE!</v>
      </c>
      <c r="HT131" t="e">
        <f>AND(Bills!H500,"AAAAAFjvvOM=")</f>
        <v>#VALUE!</v>
      </c>
      <c r="HU131" t="e">
        <f>AND(Bills!I500,"AAAAAFjvvOQ=")</f>
        <v>#VALUE!</v>
      </c>
      <c r="HV131" t="e">
        <f>AND(Bills!J500,"AAAAAFjvvOU=")</f>
        <v>#VALUE!</v>
      </c>
      <c r="HW131" t="e">
        <f>AND(Bills!K500,"AAAAAFjvvOY=")</f>
        <v>#VALUE!</v>
      </c>
      <c r="HX131" t="e">
        <f>AND(Bills!L500,"AAAAAFjvvOc=")</f>
        <v>#VALUE!</v>
      </c>
      <c r="HY131" t="e">
        <f>AND(Bills!#REF!,"AAAAAFjvvOg=")</f>
        <v>#REF!</v>
      </c>
      <c r="HZ131" t="e">
        <f>AND(Bills!M500,"AAAAAFjvvOk=")</f>
        <v>#VALUE!</v>
      </c>
      <c r="IA131" t="e">
        <f>AND(Bills!N500,"AAAAAFjvvOo=")</f>
        <v>#VALUE!</v>
      </c>
      <c r="IB131" t="e">
        <f>AND(Bills!O500,"AAAAAFjvvOs=")</f>
        <v>#VALUE!</v>
      </c>
      <c r="IC131" t="e">
        <f>AND(Bills!P500,"AAAAAFjvvOw=")</f>
        <v>#VALUE!</v>
      </c>
      <c r="ID131" t="e">
        <f>AND(Bills!Q500,"AAAAAFjvvO0=")</f>
        <v>#VALUE!</v>
      </c>
      <c r="IE131" t="e">
        <f>AND(Bills!R500,"AAAAAFjvvO4=")</f>
        <v>#VALUE!</v>
      </c>
      <c r="IF131" t="e">
        <f>AND(Bills!S500,"AAAAAFjvvO8=")</f>
        <v>#VALUE!</v>
      </c>
      <c r="IG131" t="e">
        <f>AND(Bills!T500,"AAAAAFjvvPA=")</f>
        <v>#VALUE!</v>
      </c>
      <c r="IH131" t="e">
        <f>AND(Bills!#REF!,"AAAAAFjvvPE=")</f>
        <v>#REF!</v>
      </c>
      <c r="II131" t="e">
        <f>AND(Bills!U500,"AAAAAFjvvPI=")</f>
        <v>#VALUE!</v>
      </c>
      <c r="IJ131" t="e">
        <f>AND(Bills!V500,"AAAAAFjvvPM=")</f>
        <v>#VALUE!</v>
      </c>
      <c r="IK131" t="e">
        <f>AND(Bills!W500,"AAAAAFjvvPQ=")</f>
        <v>#VALUE!</v>
      </c>
      <c r="IL131" t="e">
        <f>AND(Bills!#REF!,"AAAAAFjvvPU=")</f>
        <v>#REF!</v>
      </c>
      <c r="IM131" t="e">
        <f>AND(Bills!#REF!,"AAAAAFjvvPY=")</f>
        <v>#REF!</v>
      </c>
      <c r="IN131" t="e">
        <f>AND(Bills!Y500,"AAAAAFjvvPc=")</f>
        <v>#VALUE!</v>
      </c>
      <c r="IO131" t="e">
        <f>AND(Bills!Z500,"AAAAAFjvvPg=")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AND(Bills!AA500,"AAAAAF87/wI=")</f>
        <v>#VALUE!</v>
      </c>
      <c r="D132" t="e">
        <f>AND(Bills!AB500,"AAAAAF87/wM=")</f>
        <v>#VALUE!</v>
      </c>
      <c r="E132" t="e">
        <f>AND(Bills!#REF!,"AAAAAF87/wQ=")</f>
        <v>#REF!</v>
      </c>
      <c r="F132" t="e">
        <f>AND(Bills!#REF!,"AAAAAF87/wU=")</f>
        <v>#REF!</v>
      </c>
      <c r="G132" t="e">
        <f>AND(Bills!#REF!,"AAAAAF87/wY=")</f>
        <v>#REF!</v>
      </c>
      <c r="H132" t="e">
        <f>AND(Bills!AC500,"AAAAAF87/wc=")</f>
        <v>#VALUE!</v>
      </c>
      <c r="I132" t="e">
        <f>AND(Bills!AD500,"AAAAAF87/wg=")</f>
        <v>#VALUE!</v>
      </c>
      <c r="J132" t="e">
        <f>AND(Bills!#REF!,"AAAAAF87/wk=")</f>
        <v>#REF!</v>
      </c>
      <c r="K132">
        <f>IF(Bills!501:501,"AAAAAF87/wo=",0)</f>
        <v>0</v>
      </c>
      <c r="L132" t="e">
        <f>AND(Bills!B501,"AAAAAF87/ws=")</f>
        <v>#VALUE!</v>
      </c>
      <c r="M132" t="e">
        <f>AND(Bills!#REF!,"AAAAAF87/ww=")</f>
        <v>#REF!</v>
      </c>
      <c r="N132" t="e">
        <f>AND(Bills!C501,"AAAAAF87/w0=")</f>
        <v>#VALUE!</v>
      </c>
      <c r="O132" t="e">
        <f>AND(Bills!D501,"AAAAAF87/w4=")</f>
        <v>#VALUE!</v>
      </c>
      <c r="P132" t="e">
        <f>AND(Bills!E501,"AAAAAF87/w8=")</f>
        <v>#VALUE!</v>
      </c>
      <c r="Q132" t="e">
        <f>AND(Bills!#REF!,"AAAAAF87/xA=")</f>
        <v>#REF!</v>
      </c>
      <c r="R132" t="e">
        <f>AND(Bills!#REF!,"AAAAAF87/xE=")</f>
        <v>#REF!</v>
      </c>
      <c r="S132" t="e">
        <f>AND(Bills!#REF!,"AAAAAF87/xI=")</f>
        <v>#REF!</v>
      </c>
      <c r="T132" t="e">
        <f>AND(Bills!F501,"AAAAAF87/xM=")</f>
        <v>#VALUE!</v>
      </c>
      <c r="U132" t="e">
        <f>AND(Bills!#REF!,"AAAAAF87/xQ=")</f>
        <v>#REF!</v>
      </c>
      <c r="V132" t="e">
        <f>AND(Bills!G501,"AAAAAF87/xU=")</f>
        <v>#VALUE!</v>
      </c>
      <c r="W132" t="e">
        <f>AND(Bills!H501,"AAAAAF87/xY=")</f>
        <v>#VALUE!</v>
      </c>
      <c r="X132" t="e">
        <f>AND(Bills!I501,"AAAAAF87/xc=")</f>
        <v>#VALUE!</v>
      </c>
      <c r="Y132" t="e">
        <f>AND(Bills!J501,"AAAAAF87/xg=")</f>
        <v>#VALUE!</v>
      </c>
      <c r="Z132" t="e">
        <f>AND(Bills!K501,"AAAAAF87/xk=")</f>
        <v>#VALUE!</v>
      </c>
      <c r="AA132" t="e">
        <f>AND(Bills!L501,"AAAAAF87/xo=")</f>
        <v>#VALUE!</v>
      </c>
      <c r="AB132" t="e">
        <f>AND(Bills!#REF!,"AAAAAF87/xs=")</f>
        <v>#REF!</v>
      </c>
      <c r="AC132" t="e">
        <f>AND(Bills!M501,"AAAAAF87/xw=")</f>
        <v>#VALUE!</v>
      </c>
      <c r="AD132" t="e">
        <f>AND(Bills!N501,"AAAAAF87/x0=")</f>
        <v>#VALUE!</v>
      </c>
      <c r="AE132" t="e">
        <f>AND(Bills!O501,"AAAAAF87/x4=")</f>
        <v>#VALUE!</v>
      </c>
      <c r="AF132" t="e">
        <f>AND(Bills!P501,"AAAAAF87/x8=")</f>
        <v>#VALUE!</v>
      </c>
      <c r="AG132" t="e">
        <f>AND(Bills!Q501,"AAAAAF87/yA=")</f>
        <v>#VALUE!</v>
      </c>
      <c r="AH132" t="e">
        <f>AND(Bills!R501,"AAAAAF87/yE=")</f>
        <v>#VALUE!</v>
      </c>
      <c r="AI132" t="e">
        <f>AND(Bills!S501,"AAAAAF87/yI=")</f>
        <v>#VALUE!</v>
      </c>
      <c r="AJ132" t="e">
        <f>AND(Bills!T501,"AAAAAF87/yM=")</f>
        <v>#VALUE!</v>
      </c>
      <c r="AK132" t="e">
        <f>AND(Bills!#REF!,"AAAAAF87/yQ=")</f>
        <v>#REF!</v>
      </c>
      <c r="AL132" t="e">
        <f>AND(Bills!U501,"AAAAAF87/yU=")</f>
        <v>#VALUE!</v>
      </c>
      <c r="AM132" t="e">
        <f>AND(Bills!V501,"AAAAAF87/yY=")</f>
        <v>#VALUE!</v>
      </c>
      <c r="AN132" t="e">
        <f>AND(Bills!W501,"AAAAAF87/yc=")</f>
        <v>#VALUE!</v>
      </c>
      <c r="AO132" t="e">
        <f>AND(Bills!#REF!,"AAAAAF87/yg=")</f>
        <v>#REF!</v>
      </c>
      <c r="AP132" t="e">
        <f>AND(Bills!#REF!,"AAAAAF87/yk=")</f>
        <v>#REF!</v>
      </c>
      <c r="AQ132" t="e">
        <f>AND(Bills!Y501,"AAAAAF87/yo=")</f>
        <v>#VALUE!</v>
      </c>
      <c r="AR132" t="e">
        <f>AND(Bills!Z501,"AAAAAF87/ys=")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AND(Bills!AA501,"AAAAAF87/zU=")</f>
        <v>#VALUE!</v>
      </c>
      <c r="BC132" t="e">
        <f>AND(Bills!AB501,"AAAAAF87/zY=")</f>
        <v>#VALUE!</v>
      </c>
      <c r="BD132" t="e">
        <f>AND(Bills!#REF!,"AAAAAF87/zc=")</f>
        <v>#REF!</v>
      </c>
      <c r="BE132" t="e">
        <f>AND(Bills!#REF!,"AAAAAF87/zg=")</f>
        <v>#REF!</v>
      </c>
      <c r="BF132" t="e">
        <f>AND(Bills!#REF!,"AAAAAF87/zk=")</f>
        <v>#REF!</v>
      </c>
      <c r="BG132" t="e">
        <f>AND(Bills!AC501,"AAAAAF87/zo=")</f>
        <v>#VALUE!</v>
      </c>
      <c r="BH132" t="e">
        <f>AND(Bills!AD501,"AAAAAF87/zs=")</f>
        <v>#VALUE!</v>
      </c>
      <c r="BI132" t="e">
        <f>AND(Bills!#REF!,"AAAAAF87/zw=")</f>
        <v>#REF!</v>
      </c>
      <c r="BJ132">
        <f>IF(Bills!502:502,"AAAAAF87/z0=",0)</f>
        <v>0</v>
      </c>
      <c r="BK132" t="e">
        <f>AND(Bills!B502,"AAAAAF87/z4=")</f>
        <v>#VALUE!</v>
      </c>
      <c r="BL132" t="e">
        <f>AND(Bills!#REF!,"AAAAAF87/z8=")</f>
        <v>#REF!</v>
      </c>
      <c r="BM132" t="e">
        <f>AND(Bills!C502,"AAAAAF87/0A=")</f>
        <v>#VALUE!</v>
      </c>
      <c r="BN132" t="e">
        <f>AND(Bills!D502,"AAAAAF87/0E=")</f>
        <v>#VALUE!</v>
      </c>
      <c r="BO132" t="e">
        <f>AND(Bills!E502,"AAAAAF87/0I=")</f>
        <v>#VALUE!</v>
      </c>
      <c r="BP132" t="e">
        <f>AND(Bills!#REF!,"AAAAAF87/0M=")</f>
        <v>#REF!</v>
      </c>
      <c r="BQ132" t="e">
        <f>AND(Bills!#REF!,"AAAAAF87/0Q=")</f>
        <v>#REF!</v>
      </c>
      <c r="BR132" t="e">
        <f>AND(Bills!#REF!,"AAAAAF87/0U=")</f>
        <v>#REF!</v>
      </c>
      <c r="BS132" t="e">
        <f>AND(Bills!F502,"AAAAAF87/0Y=")</f>
        <v>#VALUE!</v>
      </c>
      <c r="BT132" t="e">
        <f>AND(Bills!#REF!,"AAAAAF87/0c=")</f>
        <v>#REF!</v>
      </c>
      <c r="BU132" t="e">
        <f>AND(Bills!G502,"AAAAAF87/0g=")</f>
        <v>#VALUE!</v>
      </c>
      <c r="BV132" t="e">
        <f>AND(Bills!H502,"AAAAAF87/0k=")</f>
        <v>#VALUE!</v>
      </c>
      <c r="BW132" t="e">
        <f>AND(Bills!I502,"AAAAAF87/0o=")</f>
        <v>#VALUE!</v>
      </c>
      <c r="BX132" t="e">
        <f>AND(Bills!J502,"AAAAAF87/0s=")</f>
        <v>#VALUE!</v>
      </c>
      <c r="BY132" t="e">
        <f>AND(Bills!K502,"AAAAAF87/0w=")</f>
        <v>#VALUE!</v>
      </c>
      <c r="BZ132" t="e">
        <f>AND(Bills!L502,"AAAAAF87/00=")</f>
        <v>#VALUE!</v>
      </c>
      <c r="CA132" t="e">
        <f>AND(Bills!#REF!,"AAAAAF87/04=")</f>
        <v>#REF!</v>
      </c>
      <c r="CB132" t="e">
        <f>AND(Bills!M502,"AAAAAF87/08=")</f>
        <v>#VALUE!</v>
      </c>
      <c r="CC132" t="e">
        <f>AND(Bills!N502,"AAAAAF87/1A=")</f>
        <v>#VALUE!</v>
      </c>
      <c r="CD132" t="e">
        <f>AND(Bills!O502,"AAAAAF87/1E=")</f>
        <v>#VALUE!</v>
      </c>
      <c r="CE132" t="e">
        <f>AND(Bills!P502,"AAAAAF87/1I=")</f>
        <v>#VALUE!</v>
      </c>
      <c r="CF132" t="e">
        <f>AND(Bills!Q502,"AAAAAF87/1M=")</f>
        <v>#VALUE!</v>
      </c>
      <c r="CG132" t="e">
        <f>AND(Bills!R502,"AAAAAF87/1Q=")</f>
        <v>#VALUE!</v>
      </c>
      <c r="CH132" t="e">
        <f>AND(Bills!S502,"AAAAAF87/1U=")</f>
        <v>#VALUE!</v>
      </c>
      <c r="CI132" t="e">
        <f>AND(Bills!T502,"AAAAAF87/1Y=")</f>
        <v>#VALUE!</v>
      </c>
      <c r="CJ132" t="e">
        <f>AND(Bills!#REF!,"AAAAAF87/1c=")</f>
        <v>#REF!</v>
      </c>
      <c r="CK132" t="e">
        <f>AND(Bills!U502,"AAAAAF87/1g=")</f>
        <v>#VALUE!</v>
      </c>
      <c r="CL132" t="e">
        <f>AND(Bills!V502,"AAAAAF87/1k=")</f>
        <v>#VALUE!</v>
      </c>
      <c r="CM132" t="e">
        <f>AND(Bills!W502,"AAAAAF87/1o=")</f>
        <v>#VALUE!</v>
      </c>
      <c r="CN132" t="e">
        <f>AND(Bills!#REF!,"AAAAAF87/1s=")</f>
        <v>#REF!</v>
      </c>
      <c r="CO132" t="e">
        <f>AND(Bills!#REF!,"AAAAAF87/1w=")</f>
        <v>#REF!</v>
      </c>
      <c r="CP132" t="e">
        <f>AND(Bills!Y502,"AAAAAF87/10=")</f>
        <v>#VALUE!</v>
      </c>
      <c r="CQ132" t="e">
        <f>AND(Bills!Z502,"AAAAAF87/14=")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AND(Bills!AA502,"AAAAAF87/2g=")</f>
        <v>#VALUE!</v>
      </c>
      <c r="DB132" t="e">
        <f>AND(Bills!AB502,"AAAAAF87/2k=")</f>
        <v>#VALUE!</v>
      </c>
      <c r="DC132" t="e">
        <f>AND(Bills!#REF!,"AAAAAF87/2o=")</f>
        <v>#REF!</v>
      </c>
      <c r="DD132" t="e">
        <f>AND(Bills!#REF!,"AAAAAF87/2s=")</f>
        <v>#REF!</v>
      </c>
      <c r="DE132" t="e">
        <f>AND(Bills!#REF!,"AAAAAF87/2w=")</f>
        <v>#REF!</v>
      </c>
      <c r="DF132" t="e">
        <f>AND(Bills!AC502,"AAAAAF87/20=")</f>
        <v>#VALUE!</v>
      </c>
      <c r="DG132" t="e">
        <f>AND(Bills!AD502,"AAAAAF87/24=")</f>
        <v>#VALUE!</v>
      </c>
      <c r="DH132" t="e">
        <f>AND(Bills!#REF!,"AAAAAF87/28=")</f>
        <v>#REF!</v>
      </c>
      <c r="DI132">
        <f>IF(Bills!503:503,"AAAAAF87/3A=",0)</f>
        <v>0</v>
      </c>
      <c r="DJ132" t="e">
        <f>AND(Bills!B503,"AAAAAF87/3E=")</f>
        <v>#VALUE!</v>
      </c>
      <c r="DK132" t="e">
        <f>AND(Bills!#REF!,"AAAAAF87/3I=")</f>
        <v>#REF!</v>
      </c>
      <c r="DL132" t="e">
        <f>AND(Bills!C503,"AAAAAF87/3M=")</f>
        <v>#VALUE!</v>
      </c>
      <c r="DM132" t="e">
        <f>AND(Bills!D503,"AAAAAF87/3Q=")</f>
        <v>#VALUE!</v>
      </c>
      <c r="DN132" t="e">
        <f>AND(Bills!E503,"AAAAAF87/3U=")</f>
        <v>#VALUE!</v>
      </c>
      <c r="DO132" t="e">
        <f>AND(Bills!#REF!,"AAAAAF87/3Y=")</f>
        <v>#REF!</v>
      </c>
      <c r="DP132" t="e">
        <f>AND(Bills!#REF!,"AAAAAF87/3c=")</f>
        <v>#REF!</v>
      </c>
      <c r="DQ132" t="e">
        <f>AND(Bills!#REF!,"AAAAAF87/3g=")</f>
        <v>#REF!</v>
      </c>
      <c r="DR132" t="e">
        <f>AND(Bills!F503,"AAAAAF87/3k=")</f>
        <v>#VALUE!</v>
      </c>
      <c r="DS132" t="e">
        <f>AND(Bills!#REF!,"AAAAAF87/3o=")</f>
        <v>#REF!</v>
      </c>
      <c r="DT132" t="e">
        <f>AND(Bills!G503,"AAAAAF87/3s=")</f>
        <v>#VALUE!</v>
      </c>
      <c r="DU132" t="e">
        <f>AND(Bills!H503,"AAAAAF87/3w=")</f>
        <v>#VALUE!</v>
      </c>
      <c r="DV132" t="e">
        <f>AND(Bills!I503,"AAAAAF87/30=")</f>
        <v>#VALUE!</v>
      </c>
      <c r="DW132" t="e">
        <f>AND(Bills!J503,"AAAAAF87/34=")</f>
        <v>#VALUE!</v>
      </c>
      <c r="DX132" t="e">
        <f>AND(Bills!K503,"AAAAAF87/38=")</f>
        <v>#VALUE!</v>
      </c>
      <c r="DY132" t="e">
        <f>AND(Bills!L503,"AAAAAF87/4A=")</f>
        <v>#VALUE!</v>
      </c>
      <c r="DZ132" t="e">
        <f>AND(Bills!#REF!,"AAAAAF87/4E=")</f>
        <v>#REF!</v>
      </c>
      <c r="EA132" t="e">
        <f>AND(Bills!M503,"AAAAAF87/4I=")</f>
        <v>#VALUE!</v>
      </c>
      <c r="EB132" t="e">
        <f>AND(Bills!N503,"AAAAAF87/4M=")</f>
        <v>#VALUE!</v>
      </c>
      <c r="EC132" t="e">
        <f>AND(Bills!O503,"AAAAAF87/4Q=")</f>
        <v>#VALUE!</v>
      </c>
      <c r="ED132" t="e">
        <f>AND(Bills!P503,"AAAAAF87/4U=")</f>
        <v>#VALUE!</v>
      </c>
      <c r="EE132" t="e">
        <f>AND(Bills!Q503,"AAAAAF87/4Y=")</f>
        <v>#VALUE!</v>
      </c>
      <c r="EF132" t="e">
        <f>AND(Bills!R503,"AAAAAF87/4c=")</f>
        <v>#VALUE!</v>
      </c>
      <c r="EG132" t="e">
        <f>AND(Bills!S503,"AAAAAF87/4g=")</f>
        <v>#VALUE!</v>
      </c>
      <c r="EH132" t="e">
        <f>AND(Bills!T503,"AAAAAF87/4k=")</f>
        <v>#VALUE!</v>
      </c>
      <c r="EI132" t="e">
        <f>AND(Bills!#REF!,"AAAAAF87/4o=")</f>
        <v>#REF!</v>
      </c>
      <c r="EJ132" t="e">
        <f>AND(Bills!U503,"AAAAAF87/4s=")</f>
        <v>#VALUE!</v>
      </c>
      <c r="EK132" t="e">
        <f>AND(Bills!V503,"AAAAAF87/4w=")</f>
        <v>#VALUE!</v>
      </c>
      <c r="EL132" t="e">
        <f>AND(Bills!W503,"AAAAAF87/40=")</f>
        <v>#VALUE!</v>
      </c>
      <c r="EM132" t="e">
        <f>AND(Bills!#REF!,"AAAAAF87/44=")</f>
        <v>#REF!</v>
      </c>
      <c r="EN132" t="e">
        <f>AND(Bills!#REF!,"AAAAAF87/48=")</f>
        <v>#REF!</v>
      </c>
      <c r="EO132" t="e">
        <f>AND(Bills!Y503,"AAAAAF87/5A=")</f>
        <v>#VALUE!</v>
      </c>
      <c r="EP132" t="e">
        <f>AND(Bills!Z503,"AAAAAF87/5E=")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AND(Bills!AA503,"AAAAAF87/5s=")</f>
        <v>#VALUE!</v>
      </c>
      <c r="FA132" t="e">
        <f>AND(Bills!AB503,"AAAAAF87/5w=")</f>
        <v>#VALUE!</v>
      </c>
      <c r="FB132" t="e">
        <f>AND(Bills!#REF!,"AAAAAF87/50=")</f>
        <v>#REF!</v>
      </c>
      <c r="FC132" t="e">
        <f>AND(Bills!#REF!,"AAAAAF87/54=")</f>
        <v>#REF!</v>
      </c>
      <c r="FD132" t="e">
        <f>AND(Bills!#REF!,"AAAAAF87/58=")</f>
        <v>#REF!</v>
      </c>
      <c r="FE132" t="e">
        <f>AND(Bills!AC503,"AAAAAF87/6A=")</f>
        <v>#VALUE!</v>
      </c>
      <c r="FF132" t="e">
        <f>AND(Bills!AD503,"AAAAAF87/6E=")</f>
        <v>#VALUE!</v>
      </c>
      <c r="FG132" t="e">
        <f>AND(Bills!#REF!,"AAAAAF87/6I=")</f>
        <v>#REF!</v>
      </c>
      <c r="FH132">
        <f>IF(Bills!504:504,"AAAAAF87/6M=",0)</f>
        <v>0</v>
      </c>
      <c r="FI132" t="e">
        <f>AND(Bills!B504,"AAAAAF87/6Q=")</f>
        <v>#VALUE!</v>
      </c>
      <c r="FJ132" t="e">
        <f>AND(Bills!#REF!,"AAAAAF87/6U=")</f>
        <v>#REF!</v>
      </c>
      <c r="FK132" t="e">
        <f>AND(Bills!C504,"AAAAAF87/6Y=")</f>
        <v>#VALUE!</v>
      </c>
      <c r="FL132" t="e">
        <f>AND(Bills!D504,"AAAAAF87/6c=")</f>
        <v>#VALUE!</v>
      </c>
      <c r="FM132" t="e">
        <f>AND(Bills!E504,"AAAAAF87/6g=")</f>
        <v>#VALUE!</v>
      </c>
      <c r="FN132" t="e">
        <f>AND(Bills!#REF!,"AAAAAF87/6k=")</f>
        <v>#REF!</v>
      </c>
      <c r="FO132" t="e">
        <f>AND(Bills!#REF!,"AAAAAF87/6o=")</f>
        <v>#REF!</v>
      </c>
      <c r="FP132" t="e">
        <f>AND(Bills!#REF!,"AAAAAF87/6s=")</f>
        <v>#REF!</v>
      </c>
      <c r="FQ132" t="e">
        <f>AND(Bills!F504,"AAAAAF87/6w=")</f>
        <v>#VALUE!</v>
      </c>
      <c r="FR132" t="e">
        <f>AND(Bills!#REF!,"AAAAAF87/60=")</f>
        <v>#REF!</v>
      </c>
      <c r="FS132" t="e">
        <f>AND(Bills!G504,"AAAAAF87/64=")</f>
        <v>#VALUE!</v>
      </c>
      <c r="FT132" t="e">
        <f>AND(Bills!H504,"AAAAAF87/68=")</f>
        <v>#VALUE!</v>
      </c>
      <c r="FU132" t="e">
        <f>AND(Bills!I504,"AAAAAF87/7A=")</f>
        <v>#VALUE!</v>
      </c>
      <c r="FV132" t="e">
        <f>AND(Bills!J504,"AAAAAF87/7E=")</f>
        <v>#VALUE!</v>
      </c>
      <c r="FW132" t="e">
        <f>AND(Bills!K504,"AAAAAF87/7I=")</f>
        <v>#VALUE!</v>
      </c>
      <c r="FX132" t="e">
        <f>AND(Bills!L504,"AAAAAF87/7M=")</f>
        <v>#VALUE!</v>
      </c>
      <c r="FY132" t="e">
        <f>AND(Bills!#REF!,"AAAAAF87/7Q=")</f>
        <v>#REF!</v>
      </c>
      <c r="FZ132" t="e">
        <f>AND(Bills!M504,"AAAAAF87/7U=")</f>
        <v>#VALUE!</v>
      </c>
      <c r="GA132" t="e">
        <f>AND(Bills!N504,"AAAAAF87/7Y=")</f>
        <v>#VALUE!</v>
      </c>
      <c r="GB132" t="e">
        <f>AND(Bills!O504,"AAAAAF87/7c=")</f>
        <v>#VALUE!</v>
      </c>
      <c r="GC132" t="e">
        <f>AND(Bills!P504,"AAAAAF87/7g=")</f>
        <v>#VALUE!</v>
      </c>
      <c r="GD132" t="e">
        <f>AND(Bills!Q504,"AAAAAF87/7k=")</f>
        <v>#VALUE!</v>
      </c>
      <c r="GE132" t="e">
        <f>AND(Bills!R504,"AAAAAF87/7o=")</f>
        <v>#VALUE!</v>
      </c>
      <c r="GF132" t="e">
        <f>AND(Bills!S504,"AAAAAF87/7s=")</f>
        <v>#VALUE!</v>
      </c>
      <c r="GG132" t="e">
        <f>AND(Bills!T504,"AAAAAF87/7w=")</f>
        <v>#VALUE!</v>
      </c>
      <c r="GH132" t="e">
        <f>AND(Bills!#REF!,"AAAAAF87/70=")</f>
        <v>#REF!</v>
      </c>
      <c r="GI132" t="e">
        <f>AND(Bills!U504,"AAAAAF87/74=")</f>
        <v>#VALUE!</v>
      </c>
      <c r="GJ132" t="e">
        <f>AND(Bills!V504,"AAAAAF87/78=")</f>
        <v>#VALUE!</v>
      </c>
      <c r="GK132" t="e">
        <f>AND(Bills!W504,"AAAAAF87/8A=")</f>
        <v>#VALUE!</v>
      </c>
      <c r="GL132" t="e">
        <f>AND(Bills!#REF!,"AAAAAF87/8E=")</f>
        <v>#REF!</v>
      </c>
      <c r="GM132" t="e">
        <f>AND(Bills!#REF!,"AAAAAF87/8I=")</f>
        <v>#REF!</v>
      </c>
      <c r="GN132" t="e">
        <f>AND(Bills!Y504,"AAAAAF87/8M=")</f>
        <v>#VALUE!</v>
      </c>
      <c r="GO132" t="e">
        <f>AND(Bills!Z504,"AAAAAF87/8Q=")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AND(Bills!AA504,"AAAAAF87/84=")</f>
        <v>#VALUE!</v>
      </c>
      <c r="GZ132" t="e">
        <f>AND(Bills!AB504,"AAAAAF87/88=")</f>
        <v>#VALUE!</v>
      </c>
      <c r="HA132" t="e">
        <f>AND(Bills!#REF!,"AAAAAF87/9A=")</f>
        <v>#REF!</v>
      </c>
      <c r="HB132" t="e">
        <f>AND(Bills!#REF!,"AAAAAF87/9E=")</f>
        <v>#REF!</v>
      </c>
      <c r="HC132" t="e">
        <f>AND(Bills!#REF!,"AAAAAF87/9I=")</f>
        <v>#REF!</v>
      </c>
      <c r="HD132" t="e">
        <f>AND(Bills!AC504,"AAAAAF87/9M=")</f>
        <v>#VALUE!</v>
      </c>
      <c r="HE132" t="e">
        <f>AND(Bills!AD504,"AAAAAF87/9Q=")</f>
        <v>#VALUE!</v>
      </c>
      <c r="HF132" t="e">
        <f>AND(Bills!#REF!,"AAAAAF87/9U=")</f>
        <v>#REF!</v>
      </c>
      <c r="HG132">
        <f>IF(Bills!505:505,"AAAAAF87/9Y=",0)</f>
        <v>0</v>
      </c>
      <c r="HH132" t="e">
        <f>AND(Bills!B505,"AAAAAF87/9c=")</f>
        <v>#VALUE!</v>
      </c>
      <c r="HI132" t="e">
        <f>AND(Bills!#REF!,"AAAAAF87/9g=")</f>
        <v>#REF!</v>
      </c>
      <c r="HJ132" t="e">
        <f>AND(Bills!C505,"AAAAAF87/9k=")</f>
        <v>#VALUE!</v>
      </c>
      <c r="HK132" t="e">
        <f>AND(Bills!D505,"AAAAAF87/9o=")</f>
        <v>#VALUE!</v>
      </c>
      <c r="HL132" t="e">
        <f>AND(Bills!E505,"AAAAAF87/9s=")</f>
        <v>#VALUE!</v>
      </c>
      <c r="HM132" t="e">
        <f>AND(Bills!#REF!,"AAAAAF87/9w=")</f>
        <v>#REF!</v>
      </c>
      <c r="HN132" t="e">
        <f>AND(Bills!#REF!,"AAAAAF87/90=")</f>
        <v>#REF!</v>
      </c>
      <c r="HO132" t="e">
        <f>AND(Bills!#REF!,"AAAAAF87/94=")</f>
        <v>#REF!</v>
      </c>
      <c r="HP132" t="e">
        <f>AND(Bills!F505,"AAAAAF87/98=")</f>
        <v>#VALUE!</v>
      </c>
      <c r="HQ132" t="e">
        <f>AND(Bills!#REF!,"AAAAAF87/+A=")</f>
        <v>#REF!</v>
      </c>
      <c r="HR132" t="e">
        <f>AND(Bills!G505,"AAAAAF87/+E=")</f>
        <v>#VALUE!</v>
      </c>
      <c r="HS132" t="e">
        <f>AND(Bills!H505,"AAAAAF87/+I=")</f>
        <v>#VALUE!</v>
      </c>
      <c r="HT132" t="e">
        <f>AND(Bills!I505,"AAAAAF87/+M=")</f>
        <v>#VALUE!</v>
      </c>
      <c r="HU132" t="e">
        <f>AND(Bills!J505,"AAAAAF87/+Q=")</f>
        <v>#VALUE!</v>
      </c>
      <c r="HV132" t="e">
        <f>AND(Bills!K505,"AAAAAF87/+U=")</f>
        <v>#VALUE!</v>
      </c>
      <c r="HW132" t="e">
        <f>AND(Bills!L505,"AAAAAF87/+Y=")</f>
        <v>#VALUE!</v>
      </c>
      <c r="HX132" t="e">
        <f>AND(Bills!#REF!,"AAAAAF87/+c=")</f>
        <v>#REF!</v>
      </c>
      <c r="HY132" t="e">
        <f>AND(Bills!M505,"AAAAAF87/+g=")</f>
        <v>#VALUE!</v>
      </c>
      <c r="HZ132" t="e">
        <f>AND(Bills!N505,"AAAAAF87/+k=")</f>
        <v>#VALUE!</v>
      </c>
      <c r="IA132" t="e">
        <f>AND(Bills!O505,"AAAAAF87/+o=")</f>
        <v>#VALUE!</v>
      </c>
      <c r="IB132" t="e">
        <f>AND(Bills!P505,"AAAAAF87/+s=")</f>
        <v>#VALUE!</v>
      </c>
      <c r="IC132" t="e">
        <f>AND(Bills!Q505,"AAAAAF87/+w=")</f>
        <v>#VALUE!</v>
      </c>
      <c r="ID132" t="e">
        <f>AND(Bills!R505,"AAAAAF87/+0=")</f>
        <v>#VALUE!</v>
      </c>
      <c r="IE132" t="e">
        <f>AND(Bills!S505,"AAAAAF87/+4=")</f>
        <v>#VALUE!</v>
      </c>
      <c r="IF132" t="e">
        <f>AND(Bills!T505,"AAAAAF87/+8=")</f>
        <v>#VALUE!</v>
      </c>
      <c r="IG132" t="e">
        <f>AND(Bills!#REF!,"AAAAAF87//A=")</f>
        <v>#REF!</v>
      </c>
      <c r="IH132" t="e">
        <f>AND(Bills!U505,"AAAAAF87//E=")</f>
        <v>#VALUE!</v>
      </c>
      <c r="II132" t="e">
        <f>AND(Bills!V505,"AAAAAF87//I=")</f>
        <v>#VALUE!</v>
      </c>
      <c r="IJ132" t="e">
        <f>AND(Bills!W505,"AAAAAF87//M=")</f>
        <v>#VALUE!</v>
      </c>
      <c r="IK132" t="e">
        <f>AND(Bills!#REF!,"AAAAAF87//Q=")</f>
        <v>#REF!</v>
      </c>
      <c r="IL132" t="e">
        <f>AND(Bills!#REF!,"AAAAAF87//U=")</f>
        <v>#REF!</v>
      </c>
      <c r="IM132" t="e">
        <f>AND(Bills!Y505,"AAAAAF87//Y=")</f>
        <v>#VALUE!</v>
      </c>
      <c r="IN132" t="e">
        <f>AND(Bills!Z505,"AAAAAF87//c=")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AND(Bills!AA505,"AAAAAH/+3AE=")</f>
        <v>#VALUE!</v>
      </c>
      <c r="C133" t="e">
        <f>AND(Bills!AB505,"AAAAAH/+3AI=")</f>
        <v>#VALUE!</v>
      </c>
      <c r="D133" t="e">
        <f>AND(Bills!#REF!,"AAAAAH/+3AM=")</f>
        <v>#REF!</v>
      </c>
      <c r="E133" t="e">
        <f>AND(Bills!#REF!,"AAAAAH/+3AQ=")</f>
        <v>#REF!</v>
      </c>
      <c r="F133" t="e">
        <f>AND(Bills!#REF!,"AAAAAH/+3AU=")</f>
        <v>#REF!</v>
      </c>
      <c r="G133" t="e">
        <f>AND(Bills!AC505,"AAAAAH/+3AY=")</f>
        <v>#VALUE!</v>
      </c>
      <c r="H133" t="e">
        <f>AND(Bills!AD505,"AAAAAH/+3Ac=")</f>
        <v>#VALUE!</v>
      </c>
      <c r="I133" t="e">
        <f>AND(Bills!#REF!,"AAAAAH/+3Ag=")</f>
        <v>#REF!</v>
      </c>
      <c r="J133">
        <f>IF(Bills!506:506,"AAAAAH/+3Ak=",0)</f>
        <v>0</v>
      </c>
      <c r="K133" t="e">
        <f>AND(Bills!B506,"AAAAAH/+3Ao=")</f>
        <v>#VALUE!</v>
      </c>
      <c r="L133" t="e">
        <f>AND(Bills!#REF!,"AAAAAH/+3As=")</f>
        <v>#REF!</v>
      </c>
      <c r="M133" t="e">
        <f>AND(Bills!C506,"AAAAAH/+3Aw=")</f>
        <v>#VALUE!</v>
      </c>
      <c r="N133" t="e">
        <f>AND(Bills!D506,"AAAAAH/+3A0=")</f>
        <v>#VALUE!</v>
      </c>
      <c r="O133" t="e">
        <f>AND(Bills!E506,"AAAAAH/+3A4=")</f>
        <v>#VALUE!</v>
      </c>
      <c r="P133" t="e">
        <f>AND(Bills!#REF!,"AAAAAH/+3A8=")</f>
        <v>#REF!</v>
      </c>
      <c r="Q133" t="e">
        <f>AND(Bills!#REF!,"AAAAAH/+3BA=")</f>
        <v>#REF!</v>
      </c>
      <c r="R133" t="e">
        <f>AND(Bills!#REF!,"AAAAAH/+3BE=")</f>
        <v>#REF!</v>
      </c>
      <c r="S133" t="e">
        <f>AND(Bills!F506,"AAAAAH/+3BI=")</f>
        <v>#VALUE!</v>
      </c>
      <c r="T133" t="e">
        <f>AND(Bills!#REF!,"AAAAAH/+3BM=")</f>
        <v>#REF!</v>
      </c>
      <c r="U133" t="e">
        <f>AND(Bills!G506,"AAAAAH/+3BQ=")</f>
        <v>#VALUE!</v>
      </c>
      <c r="V133" t="e">
        <f>AND(Bills!H506,"AAAAAH/+3BU=")</f>
        <v>#VALUE!</v>
      </c>
      <c r="W133" t="e">
        <f>AND(Bills!I506,"AAAAAH/+3BY=")</f>
        <v>#VALUE!</v>
      </c>
      <c r="X133" t="e">
        <f>AND(Bills!J506,"AAAAAH/+3Bc=")</f>
        <v>#VALUE!</v>
      </c>
      <c r="Y133" t="e">
        <f>AND(Bills!K506,"AAAAAH/+3Bg=")</f>
        <v>#VALUE!</v>
      </c>
      <c r="Z133" t="e">
        <f>AND(Bills!L506,"AAAAAH/+3Bk=")</f>
        <v>#VALUE!</v>
      </c>
      <c r="AA133" t="e">
        <f>AND(Bills!#REF!,"AAAAAH/+3Bo=")</f>
        <v>#REF!</v>
      </c>
      <c r="AB133" t="e">
        <f>AND(Bills!M506,"AAAAAH/+3Bs=")</f>
        <v>#VALUE!</v>
      </c>
      <c r="AC133" t="e">
        <f>AND(Bills!N506,"AAAAAH/+3Bw=")</f>
        <v>#VALUE!</v>
      </c>
      <c r="AD133" t="e">
        <f>AND(Bills!O506,"AAAAAH/+3B0=")</f>
        <v>#VALUE!</v>
      </c>
      <c r="AE133" t="e">
        <f>AND(Bills!P506,"AAAAAH/+3B4=")</f>
        <v>#VALUE!</v>
      </c>
      <c r="AF133" t="e">
        <f>AND(Bills!Q506,"AAAAAH/+3B8=")</f>
        <v>#VALUE!</v>
      </c>
      <c r="AG133" t="e">
        <f>AND(Bills!R506,"AAAAAH/+3CA=")</f>
        <v>#VALUE!</v>
      </c>
      <c r="AH133" t="e">
        <f>AND(Bills!S506,"AAAAAH/+3CE=")</f>
        <v>#VALUE!</v>
      </c>
      <c r="AI133" t="e">
        <f>AND(Bills!T506,"AAAAAH/+3CI=")</f>
        <v>#VALUE!</v>
      </c>
      <c r="AJ133" t="e">
        <f>AND(Bills!#REF!,"AAAAAH/+3CM=")</f>
        <v>#REF!</v>
      </c>
      <c r="AK133" t="e">
        <f>AND(Bills!U506,"AAAAAH/+3CQ=")</f>
        <v>#VALUE!</v>
      </c>
      <c r="AL133" t="e">
        <f>AND(Bills!V506,"AAAAAH/+3CU=")</f>
        <v>#VALUE!</v>
      </c>
      <c r="AM133" t="e">
        <f>AND(Bills!W506,"AAAAAH/+3CY=")</f>
        <v>#VALUE!</v>
      </c>
      <c r="AN133" t="e">
        <f>AND(Bills!#REF!,"AAAAAH/+3Cc=")</f>
        <v>#REF!</v>
      </c>
      <c r="AO133" t="e">
        <f>AND(Bills!#REF!,"AAAAAH/+3Cg=")</f>
        <v>#REF!</v>
      </c>
      <c r="AP133" t="e">
        <f>AND(Bills!Y506,"AAAAAH/+3Ck=")</f>
        <v>#VALUE!</v>
      </c>
      <c r="AQ133" t="e">
        <f>AND(Bills!Z506,"AAAAAH/+3Co=")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AND(Bills!AA506,"AAAAAH/+3DQ=")</f>
        <v>#VALUE!</v>
      </c>
      <c r="BB133" t="e">
        <f>AND(Bills!AB506,"AAAAAH/+3DU=")</f>
        <v>#VALUE!</v>
      </c>
      <c r="BC133" t="e">
        <f>AND(Bills!#REF!,"AAAAAH/+3DY=")</f>
        <v>#REF!</v>
      </c>
      <c r="BD133" t="e">
        <f>AND(Bills!#REF!,"AAAAAH/+3Dc=")</f>
        <v>#REF!</v>
      </c>
      <c r="BE133" t="e">
        <f>AND(Bills!#REF!,"AAAAAH/+3Dg=")</f>
        <v>#REF!</v>
      </c>
      <c r="BF133" t="e">
        <f>AND(Bills!AC506,"AAAAAH/+3Dk=")</f>
        <v>#VALUE!</v>
      </c>
      <c r="BG133" t="e">
        <f>AND(Bills!AD506,"AAAAAH/+3Do=")</f>
        <v>#VALUE!</v>
      </c>
      <c r="BH133" t="e">
        <f>AND(Bills!#REF!,"AAAAAH/+3Ds=")</f>
        <v>#REF!</v>
      </c>
      <c r="BI133">
        <f>IF(Bills!507:507,"AAAAAH/+3Dw=",0)</f>
        <v>0</v>
      </c>
      <c r="BJ133" t="e">
        <f>AND(Bills!B507,"AAAAAH/+3D0=")</f>
        <v>#VALUE!</v>
      </c>
      <c r="BK133" t="e">
        <f>AND(Bills!#REF!,"AAAAAH/+3D4=")</f>
        <v>#REF!</v>
      </c>
      <c r="BL133" t="e">
        <f>AND(Bills!C507,"AAAAAH/+3D8=")</f>
        <v>#VALUE!</v>
      </c>
      <c r="BM133" t="e">
        <f>AND(Bills!D507,"AAAAAH/+3EA=")</f>
        <v>#VALUE!</v>
      </c>
      <c r="BN133" t="e">
        <f>AND(Bills!E507,"AAAAAH/+3EE=")</f>
        <v>#VALUE!</v>
      </c>
      <c r="BO133" t="e">
        <f>AND(Bills!#REF!,"AAAAAH/+3EI=")</f>
        <v>#REF!</v>
      </c>
      <c r="BP133" t="e">
        <f>AND(Bills!#REF!,"AAAAAH/+3EM=")</f>
        <v>#REF!</v>
      </c>
      <c r="BQ133" t="e">
        <f>AND(Bills!#REF!,"AAAAAH/+3EQ=")</f>
        <v>#REF!</v>
      </c>
      <c r="BR133" t="e">
        <f>AND(Bills!F507,"AAAAAH/+3EU=")</f>
        <v>#VALUE!</v>
      </c>
      <c r="BS133" t="e">
        <f>AND(Bills!#REF!,"AAAAAH/+3EY=")</f>
        <v>#REF!</v>
      </c>
      <c r="BT133" t="e">
        <f>AND(Bills!G507,"AAAAAH/+3Ec=")</f>
        <v>#VALUE!</v>
      </c>
      <c r="BU133" t="e">
        <f>AND(Bills!H507,"AAAAAH/+3Eg=")</f>
        <v>#VALUE!</v>
      </c>
      <c r="BV133" t="e">
        <f>AND(Bills!I507,"AAAAAH/+3Ek=")</f>
        <v>#VALUE!</v>
      </c>
      <c r="BW133" t="e">
        <f>AND(Bills!J507,"AAAAAH/+3Eo=")</f>
        <v>#VALUE!</v>
      </c>
      <c r="BX133" t="e">
        <f>AND(Bills!K507,"AAAAAH/+3Es=")</f>
        <v>#VALUE!</v>
      </c>
      <c r="BY133" t="e">
        <f>AND(Bills!L507,"AAAAAH/+3Ew=")</f>
        <v>#VALUE!</v>
      </c>
      <c r="BZ133" t="e">
        <f>AND(Bills!#REF!,"AAAAAH/+3E0=")</f>
        <v>#REF!</v>
      </c>
      <c r="CA133" t="e">
        <f>AND(Bills!M507,"AAAAAH/+3E4=")</f>
        <v>#VALUE!</v>
      </c>
      <c r="CB133" t="e">
        <f>AND(Bills!N507,"AAAAAH/+3E8=")</f>
        <v>#VALUE!</v>
      </c>
      <c r="CC133" t="e">
        <f>AND(Bills!O507,"AAAAAH/+3FA=")</f>
        <v>#VALUE!</v>
      </c>
      <c r="CD133" t="e">
        <f>AND(Bills!P507,"AAAAAH/+3FE=")</f>
        <v>#VALUE!</v>
      </c>
      <c r="CE133" t="e">
        <f>AND(Bills!Q507,"AAAAAH/+3FI=")</f>
        <v>#VALUE!</v>
      </c>
      <c r="CF133" t="e">
        <f>AND(Bills!R507,"AAAAAH/+3FM=")</f>
        <v>#VALUE!</v>
      </c>
      <c r="CG133" t="e">
        <f>AND(Bills!S507,"AAAAAH/+3FQ=")</f>
        <v>#VALUE!</v>
      </c>
      <c r="CH133" t="e">
        <f>AND(Bills!T507,"AAAAAH/+3FU=")</f>
        <v>#VALUE!</v>
      </c>
      <c r="CI133" t="e">
        <f>AND(Bills!#REF!,"AAAAAH/+3FY=")</f>
        <v>#REF!</v>
      </c>
      <c r="CJ133" t="e">
        <f>AND(Bills!U507,"AAAAAH/+3Fc=")</f>
        <v>#VALUE!</v>
      </c>
      <c r="CK133" t="e">
        <f>AND(Bills!V507,"AAAAAH/+3Fg=")</f>
        <v>#VALUE!</v>
      </c>
      <c r="CL133" t="e">
        <f>AND(Bills!W507,"AAAAAH/+3Fk=")</f>
        <v>#VALUE!</v>
      </c>
      <c r="CM133" t="e">
        <f>AND(Bills!#REF!,"AAAAAH/+3Fo=")</f>
        <v>#REF!</v>
      </c>
      <c r="CN133" t="e">
        <f>AND(Bills!#REF!,"AAAAAH/+3Fs=")</f>
        <v>#REF!</v>
      </c>
      <c r="CO133" t="e">
        <f>AND(Bills!Y507,"AAAAAH/+3Fw=")</f>
        <v>#VALUE!</v>
      </c>
      <c r="CP133" t="e">
        <f>AND(Bills!Z507,"AAAAAH/+3F0=")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AND(Bills!AA507,"AAAAAH/+3Gc=")</f>
        <v>#VALUE!</v>
      </c>
      <c r="DA133" t="e">
        <f>AND(Bills!AB507,"AAAAAH/+3Gg=")</f>
        <v>#VALUE!</v>
      </c>
      <c r="DB133" t="e">
        <f>AND(Bills!#REF!,"AAAAAH/+3Gk=")</f>
        <v>#REF!</v>
      </c>
      <c r="DC133" t="e">
        <f>AND(Bills!#REF!,"AAAAAH/+3Go=")</f>
        <v>#REF!</v>
      </c>
      <c r="DD133" t="e">
        <f>AND(Bills!#REF!,"AAAAAH/+3Gs=")</f>
        <v>#REF!</v>
      </c>
      <c r="DE133" t="e">
        <f>AND(Bills!AC507,"AAAAAH/+3Gw=")</f>
        <v>#VALUE!</v>
      </c>
      <c r="DF133" t="e">
        <f>AND(Bills!AD507,"AAAAAH/+3G0=")</f>
        <v>#VALUE!</v>
      </c>
      <c r="DG133" t="e">
        <f>AND(Bills!#REF!,"AAAAAH/+3G4=")</f>
        <v>#REF!</v>
      </c>
      <c r="DH133">
        <f>IF(Bills!508:508,"AAAAAH/+3G8=",0)</f>
        <v>0</v>
      </c>
      <c r="DI133" t="e">
        <f>AND(Bills!B508,"AAAAAH/+3HA=")</f>
        <v>#VALUE!</v>
      </c>
      <c r="DJ133" t="e">
        <f>AND(Bills!#REF!,"AAAAAH/+3HE=")</f>
        <v>#REF!</v>
      </c>
      <c r="DK133" t="e">
        <f>AND(Bills!C508,"AAAAAH/+3HI=")</f>
        <v>#VALUE!</v>
      </c>
      <c r="DL133" t="e">
        <f>AND(Bills!D508,"AAAAAH/+3HM=")</f>
        <v>#VALUE!</v>
      </c>
      <c r="DM133" t="e">
        <f>AND(Bills!E508,"AAAAAH/+3HQ=")</f>
        <v>#VALUE!</v>
      </c>
      <c r="DN133" t="e">
        <f>AND(Bills!#REF!,"AAAAAH/+3HU=")</f>
        <v>#REF!</v>
      </c>
      <c r="DO133" t="e">
        <f>AND(Bills!#REF!,"AAAAAH/+3HY=")</f>
        <v>#REF!</v>
      </c>
      <c r="DP133" t="e">
        <f>AND(Bills!#REF!,"AAAAAH/+3Hc=")</f>
        <v>#REF!</v>
      </c>
      <c r="DQ133" t="e">
        <f>AND(Bills!F508,"AAAAAH/+3Hg=")</f>
        <v>#VALUE!</v>
      </c>
      <c r="DR133" t="e">
        <f>AND(Bills!#REF!,"AAAAAH/+3Hk=")</f>
        <v>#REF!</v>
      </c>
      <c r="DS133" t="e">
        <f>AND(Bills!G508,"AAAAAH/+3Ho=")</f>
        <v>#VALUE!</v>
      </c>
      <c r="DT133" t="e">
        <f>AND(Bills!H508,"AAAAAH/+3Hs=")</f>
        <v>#VALUE!</v>
      </c>
      <c r="DU133" t="e">
        <f>AND(Bills!I508,"AAAAAH/+3Hw=")</f>
        <v>#VALUE!</v>
      </c>
      <c r="DV133" t="e">
        <f>AND(Bills!J508,"AAAAAH/+3H0=")</f>
        <v>#VALUE!</v>
      </c>
      <c r="DW133" t="e">
        <f>AND(Bills!K508,"AAAAAH/+3H4=")</f>
        <v>#VALUE!</v>
      </c>
      <c r="DX133" t="e">
        <f>AND(Bills!L508,"AAAAAH/+3H8=")</f>
        <v>#VALUE!</v>
      </c>
      <c r="DY133" t="e">
        <f>AND(Bills!#REF!,"AAAAAH/+3IA=")</f>
        <v>#REF!</v>
      </c>
      <c r="DZ133" t="e">
        <f>AND(Bills!M508,"AAAAAH/+3IE=")</f>
        <v>#VALUE!</v>
      </c>
      <c r="EA133" t="e">
        <f>AND(Bills!N508,"AAAAAH/+3II=")</f>
        <v>#VALUE!</v>
      </c>
      <c r="EB133" t="e">
        <f>AND(Bills!O508,"AAAAAH/+3IM=")</f>
        <v>#VALUE!</v>
      </c>
      <c r="EC133" t="e">
        <f>AND(Bills!P508,"AAAAAH/+3IQ=")</f>
        <v>#VALUE!</v>
      </c>
      <c r="ED133" t="e">
        <f>AND(Bills!Q508,"AAAAAH/+3IU=")</f>
        <v>#VALUE!</v>
      </c>
      <c r="EE133" t="e">
        <f>AND(Bills!R508,"AAAAAH/+3IY=")</f>
        <v>#VALUE!</v>
      </c>
      <c r="EF133" t="e">
        <f>AND(Bills!S508,"AAAAAH/+3Ic=")</f>
        <v>#VALUE!</v>
      </c>
      <c r="EG133" t="e">
        <f>AND(Bills!T508,"AAAAAH/+3Ig=")</f>
        <v>#VALUE!</v>
      </c>
      <c r="EH133" t="e">
        <f>AND(Bills!#REF!,"AAAAAH/+3Ik=")</f>
        <v>#REF!</v>
      </c>
      <c r="EI133" t="e">
        <f>AND(Bills!U508,"AAAAAH/+3Io=")</f>
        <v>#VALUE!</v>
      </c>
      <c r="EJ133" t="e">
        <f>AND(Bills!V508,"AAAAAH/+3Is=")</f>
        <v>#VALUE!</v>
      </c>
      <c r="EK133" t="e">
        <f>AND(Bills!W508,"AAAAAH/+3Iw=")</f>
        <v>#VALUE!</v>
      </c>
      <c r="EL133" t="e">
        <f>AND(Bills!#REF!,"AAAAAH/+3I0=")</f>
        <v>#REF!</v>
      </c>
      <c r="EM133" t="e">
        <f>AND(Bills!#REF!,"AAAAAH/+3I4=")</f>
        <v>#REF!</v>
      </c>
      <c r="EN133" t="e">
        <f>AND(Bills!Y508,"AAAAAH/+3I8=")</f>
        <v>#VALUE!</v>
      </c>
      <c r="EO133" t="e">
        <f>AND(Bills!Z508,"AAAAAH/+3JA=")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AND(Bills!AA508,"AAAAAH/+3Jo=")</f>
        <v>#VALUE!</v>
      </c>
      <c r="EZ133" t="e">
        <f>AND(Bills!AB508,"AAAAAH/+3Js=")</f>
        <v>#VALUE!</v>
      </c>
      <c r="FA133" t="e">
        <f>AND(Bills!#REF!,"AAAAAH/+3Jw=")</f>
        <v>#REF!</v>
      </c>
      <c r="FB133" t="e">
        <f>AND(Bills!#REF!,"AAAAAH/+3J0=")</f>
        <v>#REF!</v>
      </c>
      <c r="FC133" t="e">
        <f>AND(Bills!#REF!,"AAAAAH/+3J4=")</f>
        <v>#REF!</v>
      </c>
      <c r="FD133" t="e">
        <f>AND(Bills!AC508,"AAAAAH/+3J8=")</f>
        <v>#VALUE!</v>
      </c>
      <c r="FE133" t="e">
        <f>AND(Bills!AD508,"AAAAAH/+3KA=")</f>
        <v>#VALUE!</v>
      </c>
      <c r="FF133" t="e">
        <f>AND(Bills!#REF!,"AAAAAH/+3KE=")</f>
        <v>#REF!</v>
      </c>
      <c r="FG133">
        <f>IF(Bills!509:509,"AAAAAH/+3KI=",0)</f>
        <v>0</v>
      </c>
      <c r="FH133" t="e">
        <f>AND(Bills!B509,"AAAAAH/+3KM=")</f>
        <v>#VALUE!</v>
      </c>
      <c r="FI133" t="e">
        <f>AND(Bills!#REF!,"AAAAAH/+3KQ=")</f>
        <v>#REF!</v>
      </c>
      <c r="FJ133" t="e">
        <f>AND(Bills!C509,"AAAAAH/+3KU=")</f>
        <v>#VALUE!</v>
      </c>
      <c r="FK133" t="e">
        <f>AND(Bills!D509,"AAAAAH/+3KY=")</f>
        <v>#VALUE!</v>
      </c>
      <c r="FL133" t="e">
        <f>AND(Bills!E509,"AAAAAH/+3Kc=")</f>
        <v>#VALUE!</v>
      </c>
      <c r="FM133" t="e">
        <f>AND(Bills!#REF!,"AAAAAH/+3Kg=")</f>
        <v>#REF!</v>
      </c>
      <c r="FN133" t="e">
        <f>AND(Bills!#REF!,"AAAAAH/+3Kk=")</f>
        <v>#REF!</v>
      </c>
      <c r="FO133" t="e">
        <f>AND(Bills!#REF!,"AAAAAH/+3Ko=")</f>
        <v>#REF!</v>
      </c>
      <c r="FP133" t="e">
        <f>AND(Bills!F509,"AAAAAH/+3Ks=")</f>
        <v>#VALUE!</v>
      </c>
      <c r="FQ133" t="e">
        <f>AND(Bills!#REF!,"AAAAAH/+3Kw=")</f>
        <v>#REF!</v>
      </c>
      <c r="FR133" t="e">
        <f>AND(Bills!G509,"AAAAAH/+3K0=")</f>
        <v>#VALUE!</v>
      </c>
      <c r="FS133" t="e">
        <f>AND(Bills!H509,"AAAAAH/+3K4=")</f>
        <v>#VALUE!</v>
      </c>
      <c r="FT133" t="e">
        <f>AND(Bills!I509,"AAAAAH/+3K8=")</f>
        <v>#VALUE!</v>
      </c>
      <c r="FU133" t="e">
        <f>AND(Bills!J509,"AAAAAH/+3LA=")</f>
        <v>#VALUE!</v>
      </c>
      <c r="FV133" t="e">
        <f>AND(Bills!K509,"AAAAAH/+3LE=")</f>
        <v>#VALUE!</v>
      </c>
      <c r="FW133" t="e">
        <f>AND(Bills!L509,"AAAAAH/+3LI=")</f>
        <v>#VALUE!</v>
      </c>
      <c r="FX133" t="e">
        <f>AND(Bills!#REF!,"AAAAAH/+3LM=")</f>
        <v>#REF!</v>
      </c>
      <c r="FY133" t="e">
        <f>AND(Bills!M509,"AAAAAH/+3LQ=")</f>
        <v>#VALUE!</v>
      </c>
      <c r="FZ133" t="e">
        <f>AND(Bills!N509,"AAAAAH/+3LU=")</f>
        <v>#VALUE!</v>
      </c>
      <c r="GA133" t="e">
        <f>AND(Bills!O509,"AAAAAH/+3LY=")</f>
        <v>#VALUE!</v>
      </c>
      <c r="GB133" t="e">
        <f>AND(Bills!P509,"AAAAAH/+3Lc=")</f>
        <v>#VALUE!</v>
      </c>
      <c r="GC133" t="e">
        <f>AND(Bills!Q509,"AAAAAH/+3Lg=")</f>
        <v>#VALUE!</v>
      </c>
      <c r="GD133" t="e">
        <f>AND(Bills!R509,"AAAAAH/+3Lk=")</f>
        <v>#VALUE!</v>
      </c>
      <c r="GE133" t="e">
        <f>AND(Bills!S509,"AAAAAH/+3Lo=")</f>
        <v>#VALUE!</v>
      </c>
      <c r="GF133" t="e">
        <f>AND(Bills!T509,"AAAAAH/+3Ls=")</f>
        <v>#VALUE!</v>
      </c>
      <c r="GG133" t="e">
        <f>AND(Bills!#REF!,"AAAAAH/+3Lw=")</f>
        <v>#REF!</v>
      </c>
      <c r="GH133" t="e">
        <f>AND(Bills!U509,"AAAAAH/+3L0=")</f>
        <v>#VALUE!</v>
      </c>
      <c r="GI133" t="e">
        <f>AND(Bills!V509,"AAAAAH/+3L4=")</f>
        <v>#VALUE!</v>
      </c>
      <c r="GJ133" t="e">
        <f>AND(Bills!W509,"AAAAAH/+3L8=")</f>
        <v>#VALUE!</v>
      </c>
      <c r="GK133" t="e">
        <f>AND(Bills!#REF!,"AAAAAH/+3MA=")</f>
        <v>#REF!</v>
      </c>
      <c r="GL133" t="e">
        <f>AND(Bills!#REF!,"AAAAAH/+3ME=")</f>
        <v>#REF!</v>
      </c>
      <c r="GM133" t="e">
        <f>AND(Bills!Y509,"AAAAAH/+3MI=")</f>
        <v>#VALUE!</v>
      </c>
      <c r="GN133" t="e">
        <f>AND(Bills!Z509,"AAAAAH/+3MM=")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AND(Bills!AA509,"AAAAAH/+3M0=")</f>
        <v>#VALUE!</v>
      </c>
      <c r="GY133" t="e">
        <f>AND(Bills!AB509,"AAAAAH/+3M4=")</f>
        <v>#VALUE!</v>
      </c>
      <c r="GZ133" t="e">
        <f>AND(Bills!#REF!,"AAAAAH/+3M8=")</f>
        <v>#REF!</v>
      </c>
      <c r="HA133" t="e">
        <f>AND(Bills!#REF!,"AAAAAH/+3NA=")</f>
        <v>#REF!</v>
      </c>
      <c r="HB133" t="e">
        <f>AND(Bills!#REF!,"AAAAAH/+3NE=")</f>
        <v>#REF!</v>
      </c>
      <c r="HC133" t="e">
        <f>AND(Bills!AC509,"AAAAAH/+3NI=")</f>
        <v>#VALUE!</v>
      </c>
      <c r="HD133" t="e">
        <f>AND(Bills!AD509,"AAAAAH/+3NM=")</f>
        <v>#VALUE!</v>
      </c>
      <c r="HE133" t="e">
        <f>AND(Bills!#REF!,"AAAAAH/+3NQ=")</f>
        <v>#REF!</v>
      </c>
      <c r="HF133">
        <f>IF(Bills!510:510,"AAAAAH/+3NU=",0)</f>
        <v>0</v>
      </c>
      <c r="HG133" t="e">
        <f>AND(Bills!B510,"AAAAAH/+3NY=")</f>
        <v>#VALUE!</v>
      </c>
      <c r="HH133" t="e">
        <f>AND(Bills!#REF!,"AAAAAH/+3Nc=")</f>
        <v>#REF!</v>
      </c>
      <c r="HI133" t="e">
        <f>AND(Bills!C510,"AAAAAH/+3Ng=")</f>
        <v>#VALUE!</v>
      </c>
      <c r="HJ133" t="e">
        <f>AND(Bills!D510,"AAAAAH/+3Nk=")</f>
        <v>#VALUE!</v>
      </c>
      <c r="HK133" t="e">
        <f>AND(Bills!E510,"AAAAAH/+3No=")</f>
        <v>#VALUE!</v>
      </c>
      <c r="HL133" t="e">
        <f>AND(Bills!#REF!,"AAAAAH/+3Ns=")</f>
        <v>#REF!</v>
      </c>
      <c r="HM133" t="e">
        <f>AND(Bills!#REF!,"AAAAAH/+3Nw=")</f>
        <v>#REF!</v>
      </c>
      <c r="HN133" t="e">
        <f>AND(Bills!#REF!,"AAAAAH/+3N0=")</f>
        <v>#REF!</v>
      </c>
      <c r="HO133" t="e">
        <f>AND(Bills!F510,"AAAAAH/+3N4=")</f>
        <v>#VALUE!</v>
      </c>
      <c r="HP133" t="e">
        <f>AND(Bills!#REF!,"AAAAAH/+3N8=")</f>
        <v>#REF!</v>
      </c>
      <c r="HQ133" t="e">
        <f>AND(Bills!G510,"AAAAAH/+3OA=")</f>
        <v>#VALUE!</v>
      </c>
      <c r="HR133" t="e">
        <f>AND(Bills!H510,"AAAAAH/+3OE=")</f>
        <v>#VALUE!</v>
      </c>
      <c r="HS133" t="e">
        <f>AND(Bills!I510,"AAAAAH/+3OI=")</f>
        <v>#VALUE!</v>
      </c>
      <c r="HT133" t="e">
        <f>AND(Bills!J510,"AAAAAH/+3OM=")</f>
        <v>#VALUE!</v>
      </c>
      <c r="HU133" t="e">
        <f>AND(Bills!K510,"AAAAAH/+3OQ=")</f>
        <v>#VALUE!</v>
      </c>
      <c r="HV133" t="e">
        <f>AND(Bills!L510,"AAAAAH/+3OU=")</f>
        <v>#VALUE!</v>
      </c>
      <c r="HW133" t="e">
        <f>AND(Bills!#REF!,"AAAAAH/+3OY=")</f>
        <v>#REF!</v>
      </c>
      <c r="HX133" t="e">
        <f>AND(Bills!M510,"AAAAAH/+3Oc=")</f>
        <v>#VALUE!</v>
      </c>
      <c r="HY133" t="e">
        <f>AND(Bills!N510,"AAAAAH/+3Og=")</f>
        <v>#VALUE!</v>
      </c>
      <c r="HZ133" t="e">
        <f>AND(Bills!O510,"AAAAAH/+3Ok=")</f>
        <v>#VALUE!</v>
      </c>
      <c r="IA133" t="e">
        <f>AND(Bills!P510,"AAAAAH/+3Oo=")</f>
        <v>#VALUE!</v>
      </c>
      <c r="IB133" t="e">
        <f>AND(Bills!Q510,"AAAAAH/+3Os=")</f>
        <v>#VALUE!</v>
      </c>
      <c r="IC133" t="e">
        <f>AND(Bills!R510,"AAAAAH/+3Ow=")</f>
        <v>#VALUE!</v>
      </c>
      <c r="ID133" t="e">
        <f>AND(Bills!S510,"AAAAAH/+3O0=")</f>
        <v>#VALUE!</v>
      </c>
      <c r="IE133" t="e">
        <f>AND(Bills!T510,"AAAAAH/+3O4=")</f>
        <v>#VALUE!</v>
      </c>
      <c r="IF133" t="e">
        <f>AND(Bills!#REF!,"AAAAAH/+3O8=")</f>
        <v>#REF!</v>
      </c>
      <c r="IG133" t="e">
        <f>AND(Bills!U510,"AAAAAH/+3PA=")</f>
        <v>#VALUE!</v>
      </c>
      <c r="IH133" t="e">
        <f>AND(Bills!V510,"AAAAAH/+3PE=")</f>
        <v>#VALUE!</v>
      </c>
      <c r="II133" t="e">
        <f>AND(Bills!W510,"AAAAAH/+3PI=")</f>
        <v>#VALUE!</v>
      </c>
      <c r="IJ133" t="e">
        <f>AND(Bills!#REF!,"AAAAAH/+3PM=")</f>
        <v>#REF!</v>
      </c>
      <c r="IK133" t="e">
        <f>AND(Bills!#REF!,"AAAAAH/+3PQ=")</f>
        <v>#REF!</v>
      </c>
      <c r="IL133" t="e">
        <f>AND(Bills!Y510,"AAAAAH/+3PU=")</f>
        <v>#VALUE!</v>
      </c>
      <c r="IM133" t="e">
        <f>AND(Bills!Z510,"AAAAAH/+3PY=")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AND(Bills!AA510,"AAAAADk9uwA=")</f>
        <v>#VALUE!</v>
      </c>
      <c r="B134" t="e">
        <f>AND(Bills!AB510,"AAAAADk9uwE=")</f>
        <v>#VALUE!</v>
      </c>
      <c r="C134" t="e">
        <f>AND(Bills!#REF!,"AAAAADk9uwI=")</f>
        <v>#REF!</v>
      </c>
      <c r="D134" t="e">
        <f>AND(Bills!#REF!,"AAAAADk9uwM=")</f>
        <v>#REF!</v>
      </c>
      <c r="E134" t="e">
        <f>AND(Bills!#REF!,"AAAAADk9uwQ=")</f>
        <v>#REF!</v>
      </c>
      <c r="F134" t="e">
        <f>AND(Bills!AC510,"AAAAADk9uwU=")</f>
        <v>#VALUE!</v>
      </c>
      <c r="G134" t="e">
        <f>AND(Bills!AD510,"AAAAADk9uwY=")</f>
        <v>#VALUE!</v>
      </c>
      <c r="H134" t="e">
        <f>AND(Bills!#REF!,"AAAAADk9uwc=")</f>
        <v>#REF!</v>
      </c>
      <c r="I134">
        <f>IF(Bills!511:511,"AAAAADk9uwg=",0)</f>
        <v>0</v>
      </c>
      <c r="J134" t="e">
        <f>AND(Bills!B511,"AAAAADk9uwk=")</f>
        <v>#VALUE!</v>
      </c>
      <c r="K134" t="e">
        <f>AND(Bills!#REF!,"AAAAADk9uwo=")</f>
        <v>#REF!</v>
      </c>
      <c r="L134" t="e">
        <f>AND(Bills!C511,"AAAAADk9uws=")</f>
        <v>#VALUE!</v>
      </c>
      <c r="M134" t="e">
        <f>AND(Bills!D511,"AAAAADk9uww=")</f>
        <v>#VALUE!</v>
      </c>
      <c r="N134" t="e">
        <f>AND(Bills!E511,"AAAAADk9uw0=")</f>
        <v>#VALUE!</v>
      </c>
      <c r="O134" t="e">
        <f>AND(Bills!#REF!,"AAAAADk9uw4=")</f>
        <v>#REF!</v>
      </c>
      <c r="P134" t="e">
        <f>AND(Bills!#REF!,"AAAAADk9uw8=")</f>
        <v>#REF!</v>
      </c>
      <c r="Q134" t="e">
        <f>AND(Bills!#REF!,"AAAAADk9uxA=")</f>
        <v>#REF!</v>
      </c>
      <c r="R134" t="e">
        <f>AND(Bills!F511,"AAAAADk9uxE=")</f>
        <v>#VALUE!</v>
      </c>
      <c r="S134" t="e">
        <f>AND(Bills!#REF!,"AAAAADk9uxI=")</f>
        <v>#REF!</v>
      </c>
      <c r="T134" t="e">
        <f>AND(Bills!G511,"AAAAADk9uxM=")</f>
        <v>#VALUE!</v>
      </c>
      <c r="U134" t="e">
        <f>AND(Bills!H511,"AAAAADk9uxQ=")</f>
        <v>#VALUE!</v>
      </c>
      <c r="V134" t="e">
        <f>AND(Bills!I511,"AAAAADk9uxU=")</f>
        <v>#VALUE!</v>
      </c>
      <c r="W134" t="e">
        <f>AND(Bills!J511,"AAAAADk9uxY=")</f>
        <v>#VALUE!</v>
      </c>
      <c r="X134" t="e">
        <f>AND(Bills!K511,"AAAAADk9uxc=")</f>
        <v>#VALUE!</v>
      </c>
      <c r="Y134" t="e">
        <f>AND(Bills!L511,"AAAAADk9uxg=")</f>
        <v>#VALUE!</v>
      </c>
      <c r="Z134" t="e">
        <f>AND(Bills!#REF!,"AAAAADk9uxk=")</f>
        <v>#REF!</v>
      </c>
      <c r="AA134" t="e">
        <f>AND(Bills!M511,"AAAAADk9uxo=")</f>
        <v>#VALUE!</v>
      </c>
      <c r="AB134" t="e">
        <f>AND(Bills!N511,"AAAAADk9uxs=")</f>
        <v>#VALUE!</v>
      </c>
      <c r="AC134" t="e">
        <f>AND(Bills!O511,"AAAAADk9uxw=")</f>
        <v>#VALUE!</v>
      </c>
      <c r="AD134" t="e">
        <f>AND(Bills!P511,"AAAAADk9ux0=")</f>
        <v>#VALUE!</v>
      </c>
      <c r="AE134" t="e">
        <f>AND(Bills!Q511,"AAAAADk9ux4=")</f>
        <v>#VALUE!</v>
      </c>
      <c r="AF134" t="e">
        <f>AND(Bills!R511,"AAAAADk9ux8=")</f>
        <v>#VALUE!</v>
      </c>
      <c r="AG134" t="e">
        <f>AND(Bills!S511,"AAAAADk9uyA=")</f>
        <v>#VALUE!</v>
      </c>
      <c r="AH134" t="e">
        <f>AND(Bills!T511,"AAAAADk9uyE=")</f>
        <v>#VALUE!</v>
      </c>
      <c r="AI134" t="e">
        <f>AND(Bills!#REF!,"AAAAADk9uyI=")</f>
        <v>#REF!</v>
      </c>
      <c r="AJ134" t="e">
        <f>AND(Bills!U511,"AAAAADk9uyM=")</f>
        <v>#VALUE!</v>
      </c>
      <c r="AK134" t="e">
        <f>AND(Bills!V511,"AAAAADk9uyQ=")</f>
        <v>#VALUE!</v>
      </c>
      <c r="AL134" t="e">
        <f>AND(Bills!W511,"AAAAADk9uyU=")</f>
        <v>#VALUE!</v>
      </c>
      <c r="AM134" t="e">
        <f>AND(Bills!#REF!,"AAAAADk9uyY=")</f>
        <v>#REF!</v>
      </c>
      <c r="AN134" t="e">
        <f>AND(Bills!#REF!,"AAAAADk9uyc=")</f>
        <v>#REF!</v>
      </c>
      <c r="AO134" t="e">
        <f>AND(Bills!Y511,"AAAAADk9uyg=")</f>
        <v>#VALUE!</v>
      </c>
      <c r="AP134" t="e">
        <f>AND(Bills!Z511,"AAAAADk9uyk=")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AND(Bills!AA511,"AAAAADk9uzM=")</f>
        <v>#VALUE!</v>
      </c>
      <c r="BA134" t="e">
        <f>AND(Bills!AB511,"AAAAADk9uzQ=")</f>
        <v>#VALUE!</v>
      </c>
      <c r="BB134" t="e">
        <f>AND(Bills!#REF!,"AAAAADk9uzU=")</f>
        <v>#REF!</v>
      </c>
      <c r="BC134" t="e">
        <f>AND(Bills!#REF!,"AAAAADk9uzY=")</f>
        <v>#REF!</v>
      </c>
      <c r="BD134" t="e">
        <f>AND(Bills!#REF!,"AAAAADk9uzc=")</f>
        <v>#REF!</v>
      </c>
      <c r="BE134" t="e">
        <f>AND(Bills!AC511,"AAAAADk9uzg=")</f>
        <v>#VALUE!</v>
      </c>
      <c r="BF134" t="e">
        <f>AND(Bills!AD511,"AAAAADk9uzk=")</f>
        <v>#VALUE!</v>
      </c>
      <c r="BG134" t="e">
        <f>AND(Bills!#REF!,"AAAAADk9uzo=")</f>
        <v>#REF!</v>
      </c>
      <c r="BH134">
        <f>IF(Bills!512:512,"AAAAADk9uzs=",0)</f>
        <v>0</v>
      </c>
      <c r="BI134" t="e">
        <f>AND(Bills!B512,"AAAAADk9uzw=")</f>
        <v>#VALUE!</v>
      </c>
      <c r="BJ134" t="e">
        <f>AND(Bills!#REF!,"AAAAADk9uz0=")</f>
        <v>#REF!</v>
      </c>
      <c r="BK134" t="e">
        <f>AND(Bills!C512,"AAAAADk9uz4=")</f>
        <v>#VALUE!</v>
      </c>
      <c r="BL134" t="e">
        <f>AND(Bills!D512,"AAAAADk9uz8=")</f>
        <v>#VALUE!</v>
      </c>
      <c r="BM134" t="e">
        <f>AND(Bills!E512,"AAAAADk9u0A=")</f>
        <v>#VALUE!</v>
      </c>
      <c r="BN134" t="e">
        <f>AND(Bills!#REF!,"AAAAADk9u0E=")</f>
        <v>#REF!</v>
      </c>
      <c r="BO134" t="e">
        <f>AND(Bills!#REF!,"AAAAADk9u0I=")</f>
        <v>#REF!</v>
      </c>
      <c r="BP134" t="e">
        <f>AND(Bills!#REF!,"AAAAADk9u0M=")</f>
        <v>#REF!</v>
      </c>
      <c r="BQ134" t="e">
        <f>AND(Bills!F512,"AAAAADk9u0Q=")</f>
        <v>#VALUE!</v>
      </c>
      <c r="BR134" t="e">
        <f>AND(Bills!#REF!,"AAAAADk9u0U=")</f>
        <v>#REF!</v>
      </c>
      <c r="BS134" t="e">
        <f>AND(Bills!G512,"AAAAADk9u0Y=")</f>
        <v>#VALUE!</v>
      </c>
      <c r="BT134" t="e">
        <f>AND(Bills!H512,"AAAAADk9u0c=")</f>
        <v>#VALUE!</v>
      </c>
      <c r="BU134" t="e">
        <f>AND(Bills!I512,"AAAAADk9u0g=")</f>
        <v>#VALUE!</v>
      </c>
      <c r="BV134" t="e">
        <f>AND(Bills!J512,"AAAAADk9u0k=")</f>
        <v>#VALUE!</v>
      </c>
      <c r="BW134" t="e">
        <f>AND(Bills!K512,"AAAAADk9u0o=")</f>
        <v>#VALUE!</v>
      </c>
      <c r="BX134" t="e">
        <f>AND(Bills!L512,"AAAAADk9u0s=")</f>
        <v>#VALUE!</v>
      </c>
      <c r="BY134" t="e">
        <f>AND(Bills!#REF!,"AAAAADk9u0w=")</f>
        <v>#REF!</v>
      </c>
      <c r="BZ134" t="e">
        <f>AND(Bills!M512,"AAAAADk9u00=")</f>
        <v>#VALUE!</v>
      </c>
      <c r="CA134" t="e">
        <f>AND(Bills!N512,"AAAAADk9u04=")</f>
        <v>#VALUE!</v>
      </c>
      <c r="CB134" t="e">
        <f>AND(Bills!O512,"AAAAADk9u08=")</f>
        <v>#VALUE!</v>
      </c>
      <c r="CC134" t="e">
        <f>AND(Bills!P512,"AAAAADk9u1A=")</f>
        <v>#VALUE!</v>
      </c>
      <c r="CD134" t="e">
        <f>AND(Bills!Q512,"AAAAADk9u1E=")</f>
        <v>#VALUE!</v>
      </c>
      <c r="CE134" t="e">
        <f>AND(Bills!R512,"AAAAADk9u1I=")</f>
        <v>#VALUE!</v>
      </c>
      <c r="CF134" t="e">
        <f>AND(Bills!S512,"AAAAADk9u1M=")</f>
        <v>#VALUE!</v>
      </c>
      <c r="CG134" t="e">
        <f>AND(Bills!T512,"AAAAADk9u1Q=")</f>
        <v>#VALUE!</v>
      </c>
      <c r="CH134" t="e">
        <f>AND(Bills!#REF!,"AAAAADk9u1U=")</f>
        <v>#REF!</v>
      </c>
      <c r="CI134" t="e">
        <f>AND(Bills!U512,"AAAAADk9u1Y=")</f>
        <v>#VALUE!</v>
      </c>
      <c r="CJ134" t="e">
        <f>AND(Bills!V512,"AAAAADk9u1c=")</f>
        <v>#VALUE!</v>
      </c>
      <c r="CK134" t="e">
        <f>AND(Bills!W512,"AAAAADk9u1g=")</f>
        <v>#VALUE!</v>
      </c>
      <c r="CL134" t="e">
        <f>AND(Bills!#REF!,"AAAAADk9u1k=")</f>
        <v>#REF!</v>
      </c>
      <c r="CM134" t="e">
        <f>AND(Bills!#REF!,"AAAAADk9u1o=")</f>
        <v>#REF!</v>
      </c>
      <c r="CN134" t="e">
        <f>AND(Bills!Y512,"AAAAADk9u1s=")</f>
        <v>#VALUE!</v>
      </c>
      <c r="CO134" t="e">
        <f>AND(Bills!Z512,"AAAAADk9u1w=")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AND(Bills!AA512,"AAAAADk9u2Y=")</f>
        <v>#VALUE!</v>
      </c>
      <c r="CZ134" t="e">
        <f>AND(Bills!AB512,"AAAAADk9u2c=")</f>
        <v>#VALUE!</v>
      </c>
      <c r="DA134" t="e">
        <f>AND(Bills!#REF!,"AAAAADk9u2g=")</f>
        <v>#REF!</v>
      </c>
      <c r="DB134" t="e">
        <f>AND(Bills!#REF!,"AAAAADk9u2k=")</f>
        <v>#REF!</v>
      </c>
      <c r="DC134" t="e">
        <f>AND(Bills!#REF!,"AAAAADk9u2o=")</f>
        <v>#REF!</v>
      </c>
      <c r="DD134" t="e">
        <f>AND(Bills!AC512,"AAAAADk9u2s=")</f>
        <v>#VALUE!</v>
      </c>
      <c r="DE134" t="e">
        <f>AND(Bills!AD512,"AAAAADk9u2w=")</f>
        <v>#VALUE!</v>
      </c>
      <c r="DF134" t="e">
        <f>AND(Bills!#REF!,"AAAAADk9u20=")</f>
        <v>#REF!</v>
      </c>
      <c r="DG134">
        <f>IF(Bills!513:513,"AAAAADk9u24=",0)</f>
        <v>0</v>
      </c>
      <c r="DH134" t="e">
        <f>AND(Bills!B513,"AAAAADk9u28=")</f>
        <v>#VALUE!</v>
      </c>
      <c r="DI134" t="e">
        <f>AND(Bills!#REF!,"AAAAADk9u3A=")</f>
        <v>#REF!</v>
      </c>
      <c r="DJ134" t="e">
        <f>AND(Bills!C513,"AAAAADk9u3E=")</f>
        <v>#VALUE!</v>
      </c>
      <c r="DK134" t="e">
        <f>AND(Bills!D513,"AAAAADk9u3I=")</f>
        <v>#VALUE!</v>
      </c>
      <c r="DL134" t="e">
        <f>AND(Bills!E513,"AAAAADk9u3M=")</f>
        <v>#VALUE!</v>
      </c>
      <c r="DM134" t="e">
        <f>AND(Bills!#REF!,"AAAAADk9u3Q=")</f>
        <v>#REF!</v>
      </c>
      <c r="DN134" t="e">
        <f>AND(Bills!#REF!,"AAAAADk9u3U=")</f>
        <v>#REF!</v>
      </c>
      <c r="DO134" t="e">
        <f>AND(Bills!#REF!,"AAAAADk9u3Y=")</f>
        <v>#REF!</v>
      </c>
      <c r="DP134" t="e">
        <f>AND(Bills!F513,"AAAAADk9u3c=")</f>
        <v>#VALUE!</v>
      </c>
      <c r="DQ134" t="e">
        <f>AND(Bills!#REF!,"AAAAADk9u3g=")</f>
        <v>#REF!</v>
      </c>
      <c r="DR134" t="e">
        <f>AND(Bills!G513,"AAAAADk9u3k=")</f>
        <v>#VALUE!</v>
      </c>
      <c r="DS134" t="e">
        <f>AND(Bills!H513,"AAAAADk9u3o=")</f>
        <v>#VALUE!</v>
      </c>
      <c r="DT134" t="e">
        <f>AND(Bills!I513,"AAAAADk9u3s=")</f>
        <v>#VALUE!</v>
      </c>
      <c r="DU134" t="e">
        <f>AND(Bills!J513,"AAAAADk9u3w=")</f>
        <v>#VALUE!</v>
      </c>
      <c r="DV134" t="e">
        <f>AND(Bills!K513,"AAAAADk9u30=")</f>
        <v>#VALUE!</v>
      </c>
      <c r="DW134" t="e">
        <f>AND(Bills!L513,"AAAAADk9u34=")</f>
        <v>#VALUE!</v>
      </c>
      <c r="DX134" t="e">
        <f>AND(Bills!#REF!,"AAAAADk9u38=")</f>
        <v>#REF!</v>
      </c>
      <c r="DY134" t="e">
        <f>AND(Bills!M513,"AAAAADk9u4A=")</f>
        <v>#VALUE!</v>
      </c>
      <c r="DZ134" t="e">
        <f>AND(Bills!N513,"AAAAADk9u4E=")</f>
        <v>#VALUE!</v>
      </c>
      <c r="EA134" t="e">
        <f>AND(Bills!O513,"AAAAADk9u4I=")</f>
        <v>#VALUE!</v>
      </c>
      <c r="EB134" t="e">
        <f>AND(Bills!P513,"AAAAADk9u4M=")</f>
        <v>#VALUE!</v>
      </c>
      <c r="EC134" t="e">
        <f>AND(Bills!Q513,"AAAAADk9u4Q=")</f>
        <v>#VALUE!</v>
      </c>
      <c r="ED134" t="e">
        <f>AND(Bills!R513,"AAAAADk9u4U=")</f>
        <v>#VALUE!</v>
      </c>
      <c r="EE134" t="e">
        <f>AND(Bills!S513,"AAAAADk9u4Y=")</f>
        <v>#VALUE!</v>
      </c>
      <c r="EF134" t="e">
        <f>AND(Bills!T513,"AAAAADk9u4c=")</f>
        <v>#VALUE!</v>
      </c>
      <c r="EG134" t="e">
        <f>AND(Bills!#REF!,"AAAAADk9u4g=")</f>
        <v>#REF!</v>
      </c>
      <c r="EH134" t="e">
        <f>AND(Bills!U513,"AAAAADk9u4k=")</f>
        <v>#VALUE!</v>
      </c>
      <c r="EI134" t="e">
        <f>AND(Bills!V513,"AAAAADk9u4o=")</f>
        <v>#VALUE!</v>
      </c>
      <c r="EJ134" t="e">
        <f>AND(Bills!W513,"AAAAADk9u4s=")</f>
        <v>#VALUE!</v>
      </c>
      <c r="EK134" t="e">
        <f>AND(Bills!#REF!,"AAAAADk9u4w=")</f>
        <v>#REF!</v>
      </c>
      <c r="EL134" t="e">
        <f>AND(Bills!#REF!,"AAAAADk9u40=")</f>
        <v>#REF!</v>
      </c>
      <c r="EM134" t="e">
        <f>AND(Bills!Y513,"AAAAADk9u44=")</f>
        <v>#VALUE!</v>
      </c>
      <c r="EN134" t="e">
        <f>AND(Bills!Z513,"AAAAADk9u48=")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AND(Bills!AA513,"AAAAADk9u5k=")</f>
        <v>#VALUE!</v>
      </c>
      <c r="EY134" t="e">
        <f>AND(Bills!AB513,"AAAAADk9u5o=")</f>
        <v>#VALUE!</v>
      </c>
      <c r="EZ134" t="e">
        <f>AND(Bills!#REF!,"AAAAADk9u5s=")</f>
        <v>#REF!</v>
      </c>
      <c r="FA134" t="e">
        <f>AND(Bills!#REF!,"AAAAADk9u5w=")</f>
        <v>#REF!</v>
      </c>
      <c r="FB134" t="e">
        <f>AND(Bills!#REF!,"AAAAADk9u50=")</f>
        <v>#REF!</v>
      </c>
      <c r="FC134" t="e">
        <f>AND(Bills!AC513,"AAAAADk9u54=")</f>
        <v>#VALUE!</v>
      </c>
      <c r="FD134" t="e">
        <f>AND(Bills!AD513,"AAAAADk9u58=")</f>
        <v>#VALUE!</v>
      </c>
      <c r="FE134" t="e">
        <f>AND(Bills!#REF!,"AAAAADk9u6A=")</f>
        <v>#REF!</v>
      </c>
      <c r="FF134">
        <f>IF(Bills!514:514,"AAAAADk9u6E=",0)</f>
        <v>0</v>
      </c>
      <c r="FG134" t="e">
        <f>AND(Bills!B514,"AAAAADk9u6I=")</f>
        <v>#VALUE!</v>
      </c>
      <c r="FH134" t="e">
        <f>AND(Bills!#REF!,"AAAAADk9u6M=")</f>
        <v>#REF!</v>
      </c>
      <c r="FI134" t="e">
        <f>AND(Bills!C514,"AAAAADk9u6Q=")</f>
        <v>#VALUE!</v>
      </c>
      <c r="FJ134" t="e">
        <f>AND(Bills!D514,"AAAAADk9u6U=")</f>
        <v>#VALUE!</v>
      </c>
      <c r="FK134" t="e">
        <f>AND(Bills!E514,"AAAAADk9u6Y=")</f>
        <v>#VALUE!</v>
      </c>
      <c r="FL134" t="e">
        <f>AND(Bills!#REF!,"AAAAADk9u6c=")</f>
        <v>#REF!</v>
      </c>
      <c r="FM134" t="e">
        <f>AND(Bills!#REF!,"AAAAADk9u6g=")</f>
        <v>#REF!</v>
      </c>
      <c r="FN134" t="e">
        <f>AND(Bills!#REF!,"AAAAADk9u6k=")</f>
        <v>#REF!</v>
      </c>
      <c r="FO134" t="e">
        <f>AND(Bills!F514,"AAAAADk9u6o=")</f>
        <v>#VALUE!</v>
      </c>
      <c r="FP134" t="e">
        <f>AND(Bills!#REF!,"AAAAADk9u6s=")</f>
        <v>#REF!</v>
      </c>
      <c r="FQ134" t="e">
        <f>AND(Bills!G514,"AAAAADk9u6w=")</f>
        <v>#VALUE!</v>
      </c>
      <c r="FR134" t="e">
        <f>AND(Bills!H514,"AAAAADk9u60=")</f>
        <v>#VALUE!</v>
      </c>
      <c r="FS134" t="e">
        <f>AND(Bills!I514,"AAAAADk9u64=")</f>
        <v>#VALUE!</v>
      </c>
      <c r="FT134" t="e">
        <f>AND(Bills!J514,"AAAAADk9u68=")</f>
        <v>#VALUE!</v>
      </c>
      <c r="FU134" t="e">
        <f>AND(Bills!K514,"AAAAADk9u7A=")</f>
        <v>#VALUE!</v>
      </c>
      <c r="FV134" t="e">
        <f>AND(Bills!L514,"AAAAADk9u7E=")</f>
        <v>#VALUE!</v>
      </c>
      <c r="FW134" t="e">
        <f>AND(Bills!#REF!,"AAAAADk9u7I=")</f>
        <v>#REF!</v>
      </c>
      <c r="FX134" t="e">
        <f>AND(Bills!M514,"AAAAADk9u7M=")</f>
        <v>#VALUE!</v>
      </c>
      <c r="FY134" t="e">
        <f>AND(Bills!N514,"AAAAADk9u7Q=")</f>
        <v>#VALUE!</v>
      </c>
      <c r="FZ134" t="e">
        <f>AND(Bills!O514,"AAAAADk9u7U=")</f>
        <v>#VALUE!</v>
      </c>
      <c r="GA134" t="e">
        <f>AND(Bills!P514,"AAAAADk9u7Y=")</f>
        <v>#VALUE!</v>
      </c>
      <c r="GB134" t="e">
        <f>AND(Bills!Q514,"AAAAADk9u7c=")</f>
        <v>#VALUE!</v>
      </c>
      <c r="GC134" t="e">
        <f>AND(Bills!R514,"AAAAADk9u7g=")</f>
        <v>#VALUE!</v>
      </c>
      <c r="GD134" t="e">
        <f>AND(Bills!S514,"AAAAADk9u7k=")</f>
        <v>#VALUE!</v>
      </c>
      <c r="GE134" t="e">
        <f>AND(Bills!T514,"AAAAADk9u7o=")</f>
        <v>#VALUE!</v>
      </c>
      <c r="GF134" t="e">
        <f>AND(Bills!#REF!,"AAAAADk9u7s=")</f>
        <v>#REF!</v>
      </c>
      <c r="GG134" t="e">
        <f>AND(Bills!U514,"AAAAADk9u7w=")</f>
        <v>#VALUE!</v>
      </c>
      <c r="GH134" t="e">
        <f>AND(Bills!V514,"AAAAADk9u70=")</f>
        <v>#VALUE!</v>
      </c>
      <c r="GI134" t="e">
        <f>AND(Bills!W514,"AAAAADk9u74=")</f>
        <v>#VALUE!</v>
      </c>
      <c r="GJ134" t="e">
        <f>AND(Bills!#REF!,"AAAAADk9u78=")</f>
        <v>#REF!</v>
      </c>
      <c r="GK134" t="e">
        <f>AND(Bills!#REF!,"AAAAADk9u8A=")</f>
        <v>#REF!</v>
      </c>
      <c r="GL134" t="e">
        <f>AND(Bills!Y514,"AAAAADk9u8E=")</f>
        <v>#VALUE!</v>
      </c>
      <c r="GM134" t="e">
        <f>AND(Bills!Z514,"AAAAADk9u8I=")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AND(Bills!AA514,"AAAAADk9u8w=")</f>
        <v>#VALUE!</v>
      </c>
      <c r="GX134" t="e">
        <f>AND(Bills!AB514,"AAAAADk9u80=")</f>
        <v>#VALUE!</v>
      </c>
      <c r="GY134" t="e">
        <f>AND(Bills!#REF!,"AAAAADk9u84=")</f>
        <v>#REF!</v>
      </c>
      <c r="GZ134" t="e">
        <f>AND(Bills!#REF!,"AAAAADk9u88=")</f>
        <v>#REF!</v>
      </c>
      <c r="HA134" t="e">
        <f>AND(Bills!#REF!,"AAAAADk9u9A=")</f>
        <v>#REF!</v>
      </c>
      <c r="HB134" t="e">
        <f>AND(Bills!AC514,"AAAAADk9u9E=")</f>
        <v>#VALUE!</v>
      </c>
      <c r="HC134" t="e">
        <f>AND(Bills!AD514,"AAAAADk9u9I=")</f>
        <v>#VALUE!</v>
      </c>
      <c r="HD134" t="e">
        <f>AND(Bills!#REF!,"AAAAADk9u9M=")</f>
        <v>#REF!</v>
      </c>
      <c r="HE134">
        <f>IF(Bills!515:515,"AAAAADk9u9Q=",0)</f>
        <v>0</v>
      </c>
      <c r="HF134" t="e">
        <f>AND(Bills!B515,"AAAAADk9u9U=")</f>
        <v>#VALUE!</v>
      </c>
      <c r="HG134" t="e">
        <f>AND(Bills!#REF!,"AAAAADk9u9Y=")</f>
        <v>#REF!</v>
      </c>
      <c r="HH134" t="e">
        <f>AND(Bills!C515,"AAAAADk9u9c=")</f>
        <v>#VALUE!</v>
      </c>
      <c r="HI134" t="e">
        <f>AND(Bills!D515,"AAAAADk9u9g=")</f>
        <v>#VALUE!</v>
      </c>
      <c r="HJ134" t="e">
        <f>AND(Bills!E515,"AAAAADk9u9k=")</f>
        <v>#VALUE!</v>
      </c>
      <c r="HK134" t="e">
        <f>AND(Bills!#REF!,"AAAAADk9u9o=")</f>
        <v>#REF!</v>
      </c>
      <c r="HL134" t="e">
        <f>AND(Bills!#REF!,"AAAAADk9u9s=")</f>
        <v>#REF!</v>
      </c>
      <c r="HM134" t="e">
        <f>AND(Bills!#REF!,"AAAAADk9u9w=")</f>
        <v>#REF!</v>
      </c>
      <c r="HN134" t="e">
        <f>AND(Bills!F515,"AAAAADk9u90=")</f>
        <v>#VALUE!</v>
      </c>
      <c r="HO134" t="e">
        <f>AND(Bills!#REF!,"AAAAADk9u94=")</f>
        <v>#REF!</v>
      </c>
      <c r="HP134" t="e">
        <f>AND(Bills!G515,"AAAAADk9u98=")</f>
        <v>#VALUE!</v>
      </c>
      <c r="HQ134" t="e">
        <f>AND(Bills!H515,"AAAAADk9u+A=")</f>
        <v>#VALUE!</v>
      </c>
      <c r="HR134" t="e">
        <f>AND(Bills!I515,"AAAAADk9u+E=")</f>
        <v>#VALUE!</v>
      </c>
      <c r="HS134" t="e">
        <f>AND(Bills!J515,"AAAAADk9u+I=")</f>
        <v>#VALUE!</v>
      </c>
      <c r="HT134" t="e">
        <f>AND(Bills!K515,"AAAAADk9u+M=")</f>
        <v>#VALUE!</v>
      </c>
      <c r="HU134" t="e">
        <f>AND(Bills!L515,"AAAAADk9u+Q=")</f>
        <v>#VALUE!</v>
      </c>
      <c r="HV134" t="e">
        <f>AND(Bills!#REF!,"AAAAADk9u+U=")</f>
        <v>#REF!</v>
      </c>
      <c r="HW134" t="e">
        <f>AND(Bills!M515,"AAAAADk9u+Y=")</f>
        <v>#VALUE!</v>
      </c>
      <c r="HX134" t="e">
        <f>AND(Bills!N515,"AAAAADk9u+c=")</f>
        <v>#VALUE!</v>
      </c>
      <c r="HY134" t="e">
        <f>AND(Bills!O515,"AAAAADk9u+g=")</f>
        <v>#VALUE!</v>
      </c>
      <c r="HZ134" t="e">
        <f>AND(Bills!P515,"AAAAADk9u+k=")</f>
        <v>#VALUE!</v>
      </c>
      <c r="IA134" t="e">
        <f>AND(Bills!Q515,"AAAAADk9u+o=")</f>
        <v>#VALUE!</v>
      </c>
      <c r="IB134" t="e">
        <f>AND(Bills!R515,"AAAAADk9u+s=")</f>
        <v>#VALUE!</v>
      </c>
      <c r="IC134" t="e">
        <f>AND(Bills!S515,"AAAAADk9u+w=")</f>
        <v>#VALUE!</v>
      </c>
      <c r="ID134" t="e">
        <f>AND(Bills!T515,"AAAAADk9u+0=")</f>
        <v>#VALUE!</v>
      </c>
      <c r="IE134" t="e">
        <f>AND(Bills!#REF!,"AAAAADk9u+4=")</f>
        <v>#REF!</v>
      </c>
      <c r="IF134" t="e">
        <f>AND(Bills!U515,"AAAAADk9u+8=")</f>
        <v>#VALUE!</v>
      </c>
      <c r="IG134" t="e">
        <f>AND(Bills!V515,"AAAAADk9u/A=")</f>
        <v>#VALUE!</v>
      </c>
      <c r="IH134" t="e">
        <f>AND(Bills!W515,"AAAAADk9u/E=")</f>
        <v>#VALUE!</v>
      </c>
      <c r="II134" t="e">
        <f>AND(Bills!#REF!,"AAAAADk9u/I=")</f>
        <v>#REF!</v>
      </c>
      <c r="IJ134" t="e">
        <f>AND(Bills!#REF!,"AAAAADk9u/M=")</f>
        <v>#REF!</v>
      </c>
      <c r="IK134" t="e">
        <f>AND(Bills!Y515,"AAAAADk9u/Q=")</f>
        <v>#VALUE!</v>
      </c>
      <c r="IL134" t="e">
        <f>AND(Bills!Z515,"AAAAADk9u/U=")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AND(Bills!AA515,"AAAAADk9u/8=")</f>
        <v>#VALUE!</v>
      </c>
    </row>
    <row r="135" spans="1:256">
      <c r="A135" t="e">
        <f>AND(Bills!AB515,"AAAAAH/c9wA=")</f>
        <v>#VALUE!</v>
      </c>
      <c r="B135" t="e">
        <f>AND(Bills!#REF!,"AAAAAH/c9wE=")</f>
        <v>#REF!</v>
      </c>
      <c r="C135" t="e">
        <f>AND(Bills!#REF!,"AAAAAH/c9wI=")</f>
        <v>#REF!</v>
      </c>
      <c r="D135" t="e">
        <f>AND(Bills!#REF!,"AAAAAH/c9wM=")</f>
        <v>#REF!</v>
      </c>
      <c r="E135" t="e">
        <f>AND(Bills!AC515,"AAAAAH/c9wQ=")</f>
        <v>#VALUE!</v>
      </c>
      <c r="F135" t="e">
        <f>AND(Bills!AD515,"AAAAAH/c9wU=")</f>
        <v>#VALUE!</v>
      </c>
      <c r="G135" t="e">
        <f>AND(Bills!#REF!,"AAAAAH/c9wY=")</f>
        <v>#REF!</v>
      </c>
      <c r="H135">
        <f>IF(Bills!516:516,"AAAAAH/c9wc=",0)</f>
        <v>0</v>
      </c>
      <c r="I135" t="e">
        <f>AND(Bills!B516,"AAAAAH/c9wg=")</f>
        <v>#VALUE!</v>
      </c>
      <c r="J135" t="e">
        <f>AND(Bills!#REF!,"AAAAAH/c9wk=")</f>
        <v>#REF!</v>
      </c>
      <c r="K135" t="e">
        <f>AND(Bills!C516,"AAAAAH/c9wo=")</f>
        <v>#VALUE!</v>
      </c>
      <c r="L135" t="e">
        <f>AND(Bills!D516,"AAAAAH/c9ws=")</f>
        <v>#VALUE!</v>
      </c>
      <c r="M135" t="e">
        <f>AND(Bills!E516,"AAAAAH/c9ww=")</f>
        <v>#VALUE!</v>
      </c>
      <c r="N135" t="e">
        <f>AND(Bills!#REF!,"AAAAAH/c9w0=")</f>
        <v>#REF!</v>
      </c>
      <c r="O135" t="e">
        <f>AND(Bills!#REF!,"AAAAAH/c9w4=")</f>
        <v>#REF!</v>
      </c>
      <c r="P135" t="e">
        <f>AND(Bills!#REF!,"AAAAAH/c9w8=")</f>
        <v>#REF!</v>
      </c>
      <c r="Q135" t="e">
        <f>AND(Bills!F516,"AAAAAH/c9xA=")</f>
        <v>#VALUE!</v>
      </c>
      <c r="R135" t="e">
        <f>AND(Bills!#REF!,"AAAAAH/c9xE=")</f>
        <v>#REF!</v>
      </c>
      <c r="S135" t="e">
        <f>AND(Bills!G516,"AAAAAH/c9xI=")</f>
        <v>#VALUE!</v>
      </c>
      <c r="T135" t="e">
        <f>AND(Bills!H516,"AAAAAH/c9xM=")</f>
        <v>#VALUE!</v>
      </c>
      <c r="U135" t="e">
        <f>AND(Bills!I516,"AAAAAH/c9xQ=")</f>
        <v>#VALUE!</v>
      </c>
      <c r="V135" t="e">
        <f>AND(Bills!J516,"AAAAAH/c9xU=")</f>
        <v>#VALUE!</v>
      </c>
      <c r="W135" t="e">
        <f>AND(Bills!K516,"AAAAAH/c9xY=")</f>
        <v>#VALUE!</v>
      </c>
      <c r="X135" t="e">
        <f>AND(Bills!L516,"AAAAAH/c9xc=")</f>
        <v>#VALUE!</v>
      </c>
      <c r="Y135" t="e">
        <f>AND(Bills!#REF!,"AAAAAH/c9xg=")</f>
        <v>#REF!</v>
      </c>
      <c r="Z135" t="e">
        <f>AND(Bills!M516,"AAAAAH/c9xk=")</f>
        <v>#VALUE!</v>
      </c>
      <c r="AA135" t="e">
        <f>AND(Bills!N516,"AAAAAH/c9xo=")</f>
        <v>#VALUE!</v>
      </c>
      <c r="AB135" t="e">
        <f>AND(Bills!O516,"AAAAAH/c9xs=")</f>
        <v>#VALUE!</v>
      </c>
      <c r="AC135" t="e">
        <f>AND(Bills!P516,"AAAAAH/c9xw=")</f>
        <v>#VALUE!</v>
      </c>
      <c r="AD135" t="e">
        <f>AND(Bills!Q516,"AAAAAH/c9x0=")</f>
        <v>#VALUE!</v>
      </c>
      <c r="AE135" t="e">
        <f>AND(Bills!R516,"AAAAAH/c9x4=")</f>
        <v>#VALUE!</v>
      </c>
      <c r="AF135" t="e">
        <f>AND(Bills!S516,"AAAAAH/c9x8=")</f>
        <v>#VALUE!</v>
      </c>
      <c r="AG135" t="e">
        <f>AND(Bills!T516,"AAAAAH/c9yA=")</f>
        <v>#VALUE!</v>
      </c>
      <c r="AH135" t="e">
        <f>AND(Bills!#REF!,"AAAAAH/c9yE=")</f>
        <v>#REF!</v>
      </c>
      <c r="AI135" t="e">
        <f>AND(Bills!U516,"AAAAAH/c9yI=")</f>
        <v>#VALUE!</v>
      </c>
      <c r="AJ135" t="e">
        <f>AND(Bills!V516,"AAAAAH/c9yM=")</f>
        <v>#VALUE!</v>
      </c>
      <c r="AK135" t="e">
        <f>AND(Bills!W516,"AAAAAH/c9yQ=")</f>
        <v>#VALUE!</v>
      </c>
      <c r="AL135" t="e">
        <f>AND(Bills!#REF!,"AAAAAH/c9yU=")</f>
        <v>#REF!</v>
      </c>
      <c r="AM135" t="e">
        <f>AND(Bills!#REF!,"AAAAAH/c9yY=")</f>
        <v>#REF!</v>
      </c>
      <c r="AN135" t="e">
        <f>AND(Bills!Y516,"AAAAAH/c9yc=")</f>
        <v>#VALUE!</v>
      </c>
      <c r="AO135" t="e">
        <f>AND(Bills!Z516,"AAAAAH/c9yg=")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AND(Bills!AA516,"AAAAAH/c9zI=")</f>
        <v>#VALUE!</v>
      </c>
      <c r="AZ135" t="e">
        <f>AND(Bills!AB516,"AAAAAH/c9zM=")</f>
        <v>#VALUE!</v>
      </c>
      <c r="BA135" t="e">
        <f>AND(Bills!#REF!,"AAAAAH/c9zQ=")</f>
        <v>#REF!</v>
      </c>
      <c r="BB135" t="e">
        <f>AND(Bills!#REF!,"AAAAAH/c9zU=")</f>
        <v>#REF!</v>
      </c>
      <c r="BC135" t="e">
        <f>AND(Bills!#REF!,"AAAAAH/c9zY=")</f>
        <v>#REF!</v>
      </c>
      <c r="BD135" t="e">
        <f>AND(Bills!AC516,"AAAAAH/c9zc=")</f>
        <v>#VALUE!</v>
      </c>
      <c r="BE135" t="e">
        <f>AND(Bills!AD516,"AAAAAH/c9zg=")</f>
        <v>#VALUE!</v>
      </c>
      <c r="BF135" t="e">
        <f>AND(Bills!#REF!,"AAAAAH/c9zk=")</f>
        <v>#REF!</v>
      </c>
      <c r="BG135">
        <f>IF(Bills!517:517,"AAAAAH/c9zo=",0)</f>
        <v>0</v>
      </c>
      <c r="BH135" t="e">
        <f>AND(Bills!B517,"AAAAAH/c9zs=")</f>
        <v>#VALUE!</v>
      </c>
      <c r="BI135" t="e">
        <f>AND(Bills!#REF!,"AAAAAH/c9zw=")</f>
        <v>#REF!</v>
      </c>
      <c r="BJ135" t="e">
        <f>AND(Bills!C517,"AAAAAH/c9z0=")</f>
        <v>#VALUE!</v>
      </c>
      <c r="BK135" t="e">
        <f>AND(Bills!D517,"AAAAAH/c9z4=")</f>
        <v>#VALUE!</v>
      </c>
      <c r="BL135" t="e">
        <f>AND(Bills!E517,"AAAAAH/c9z8=")</f>
        <v>#VALUE!</v>
      </c>
      <c r="BM135" t="e">
        <f>AND(Bills!#REF!,"AAAAAH/c90A=")</f>
        <v>#REF!</v>
      </c>
      <c r="BN135" t="e">
        <f>AND(Bills!#REF!,"AAAAAH/c90E=")</f>
        <v>#REF!</v>
      </c>
      <c r="BO135" t="e">
        <f>AND(Bills!#REF!,"AAAAAH/c90I=")</f>
        <v>#REF!</v>
      </c>
      <c r="BP135" t="e">
        <f>AND(Bills!F517,"AAAAAH/c90M=")</f>
        <v>#VALUE!</v>
      </c>
      <c r="BQ135" t="e">
        <f>AND(Bills!#REF!,"AAAAAH/c90Q=")</f>
        <v>#REF!</v>
      </c>
      <c r="BR135" t="e">
        <f>AND(Bills!G517,"AAAAAH/c90U=")</f>
        <v>#VALUE!</v>
      </c>
      <c r="BS135" t="e">
        <f>AND(Bills!H517,"AAAAAH/c90Y=")</f>
        <v>#VALUE!</v>
      </c>
      <c r="BT135" t="e">
        <f>AND(Bills!I517,"AAAAAH/c90c=")</f>
        <v>#VALUE!</v>
      </c>
      <c r="BU135" t="e">
        <f>AND(Bills!J517,"AAAAAH/c90g=")</f>
        <v>#VALUE!</v>
      </c>
      <c r="BV135" t="e">
        <f>AND(Bills!K517,"AAAAAH/c90k=")</f>
        <v>#VALUE!</v>
      </c>
      <c r="BW135" t="e">
        <f>AND(Bills!L517,"AAAAAH/c90o=")</f>
        <v>#VALUE!</v>
      </c>
      <c r="BX135" t="e">
        <f>AND(Bills!#REF!,"AAAAAH/c90s=")</f>
        <v>#REF!</v>
      </c>
      <c r="BY135" t="e">
        <f>AND(Bills!M517,"AAAAAH/c90w=")</f>
        <v>#VALUE!</v>
      </c>
      <c r="BZ135" t="e">
        <f>AND(Bills!N517,"AAAAAH/c900=")</f>
        <v>#VALUE!</v>
      </c>
      <c r="CA135" t="e">
        <f>AND(Bills!O517,"AAAAAH/c904=")</f>
        <v>#VALUE!</v>
      </c>
      <c r="CB135" t="e">
        <f>AND(Bills!P517,"AAAAAH/c908=")</f>
        <v>#VALUE!</v>
      </c>
      <c r="CC135" t="e">
        <f>AND(Bills!Q517,"AAAAAH/c91A=")</f>
        <v>#VALUE!</v>
      </c>
      <c r="CD135" t="e">
        <f>AND(Bills!R517,"AAAAAH/c91E=")</f>
        <v>#VALUE!</v>
      </c>
      <c r="CE135" t="e">
        <f>AND(Bills!S517,"AAAAAH/c91I=")</f>
        <v>#VALUE!</v>
      </c>
      <c r="CF135" t="e">
        <f>AND(Bills!T517,"AAAAAH/c91M=")</f>
        <v>#VALUE!</v>
      </c>
      <c r="CG135" t="e">
        <f>AND(Bills!#REF!,"AAAAAH/c91Q=")</f>
        <v>#REF!</v>
      </c>
      <c r="CH135" t="e">
        <f>AND(Bills!U517,"AAAAAH/c91U=")</f>
        <v>#VALUE!</v>
      </c>
      <c r="CI135" t="e">
        <f>AND(Bills!V517,"AAAAAH/c91Y=")</f>
        <v>#VALUE!</v>
      </c>
      <c r="CJ135" t="e">
        <f>AND(Bills!W517,"AAAAAH/c91c=")</f>
        <v>#VALUE!</v>
      </c>
      <c r="CK135" t="e">
        <f>AND(Bills!#REF!,"AAAAAH/c91g=")</f>
        <v>#REF!</v>
      </c>
      <c r="CL135" t="e">
        <f>AND(Bills!#REF!,"AAAAAH/c91k=")</f>
        <v>#REF!</v>
      </c>
      <c r="CM135" t="e">
        <f>AND(Bills!Y517,"AAAAAH/c91o=")</f>
        <v>#VALUE!</v>
      </c>
      <c r="CN135" t="e">
        <f>AND(Bills!Z517,"AAAAAH/c91s=")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AND(Bills!AA517,"AAAAAH/c92U=")</f>
        <v>#VALUE!</v>
      </c>
      <c r="CY135" t="e">
        <f>AND(Bills!AB517,"AAAAAH/c92Y=")</f>
        <v>#VALUE!</v>
      </c>
      <c r="CZ135" t="e">
        <f>AND(Bills!#REF!,"AAAAAH/c92c=")</f>
        <v>#REF!</v>
      </c>
      <c r="DA135" t="e">
        <f>AND(Bills!#REF!,"AAAAAH/c92g=")</f>
        <v>#REF!</v>
      </c>
      <c r="DB135" t="e">
        <f>AND(Bills!#REF!,"AAAAAH/c92k=")</f>
        <v>#REF!</v>
      </c>
      <c r="DC135" t="e">
        <f>AND(Bills!AC517,"AAAAAH/c92o=")</f>
        <v>#VALUE!</v>
      </c>
      <c r="DD135" t="e">
        <f>AND(Bills!AD517,"AAAAAH/c92s=")</f>
        <v>#VALUE!</v>
      </c>
      <c r="DE135" t="e">
        <f>AND(Bills!#REF!,"AAAAAH/c92w=")</f>
        <v>#REF!</v>
      </c>
      <c r="DF135">
        <f>IF(Bills!518:518,"AAAAAH/c920=",0)</f>
        <v>0</v>
      </c>
      <c r="DG135" t="e">
        <f>AND(Bills!B518,"AAAAAH/c924=")</f>
        <v>#VALUE!</v>
      </c>
      <c r="DH135" t="e">
        <f>AND(Bills!#REF!,"AAAAAH/c928=")</f>
        <v>#REF!</v>
      </c>
      <c r="DI135" t="e">
        <f>AND(Bills!C518,"AAAAAH/c93A=")</f>
        <v>#VALUE!</v>
      </c>
      <c r="DJ135" t="e">
        <f>AND(Bills!D518,"AAAAAH/c93E=")</f>
        <v>#VALUE!</v>
      </c>
      <c r="DK135" t="e">
        <f>AND(Bills!E518,"AAAAAH/c93I=")</f>
        <v>#VALUE!</v>
      </c>
      <c r="DL135" t="e">
        <f>AND(Bills!#REF!,"AAAAAH/c93M=")</f>
        <v>#REF!</v>
      </c>
      <c r="DM135" t="e">
        <f>AND(Bills!#REF!,"AAAAAH/c93Q=")</f>
        <v>#REF!</v>
      </c>
      <c r="DN135" t="e">
        <f>AND(Bills!#REF!,"AAAAAH/c93U=")</f>
        <v>#REF!</v>
      </c>
      <c r="DO135" t="e">
        <f>AND(Bills!F518,"AAAAAH/c93Y=")</f>
        <v>#VALUE!</v>
      </c>
      <c r="DP135" t="e">
        <f>AND(Bills!#REF!,"AAAAAH/c93c=")</f>
        <v>#REF!</v>
      </c>
      <c r="DQ135" t="e">
        <f>AND(Bills!G518,"AAAAAH/c93g=")</f>
        <v>#VALUE!</v>
      </c>
      <c r="DR135" t="e">
        <f>AND(Bills!H518,"AAAAAH/c93k=")</f>
        <v>#VALUE!</v>
      </c>
      <c r="DS135" t="e">
        <f>AND(Bills!I518,"AAAAAH/c93o=")</f>
        <v>#VALUE!</v>
      </c>
      <c r="DT135" t="e">
        <f>AND(Bills!J518,"AAAAAH/c93s=")</f>
        <v>#VALUE!</v>
      </c>
      <c r="DU135" t="e">
        <f>AND(Bills!K518,"AAAAAH/c93w=")</f>
        <v>#VALUE!</v>
      </c>
      <c r="DV135" t="e">
        <f>AND(Bills!L518,"AAAAAH/c930=")</f>
        <v>#VALUE!</v>
      </c>
      <c r="DW135" t="e">
        <f>AND(Bills!#REF!,"AAAAAH/c934=")</f>
        <v>#REF!</v>
      </c>
      <c r="DX135" t="e">
        <f>AND(Bills!M518,"AAAAAH/c938=")</f>
        <v>#VALUE!</v>
      </c>
      <c r="DY135" t="e">
        <f>AND(Bills!N518,"AAAAAH/c94A=")</f>
        <v>#VALUE!</v>
      </c>
      <c r="DZ135" t="e">
        <f>AND(Bills!O518,"AAAAAH/c94E=")</f>
        <v>#VALUE!</v>
      </c>
      <c r="EA135" t="e">
        <f>AND(Bills!P518,"AAAAAH/c94I=")</f>
        <v>#VALUE!</v>
      </c>
      <c r="EB135" t="e">
        <f>AND(Bills!Q518,"AAAAAH/c94M=")</f>
        <v>#VALUE!</v>
      </c>
      <c r="EC135" t="e">
        <f>AND(Bills!R518,"AAAAAH/c94Q=")</f>
        <v>#VALUE!</v>
      </c>
      <c r="ED135" t="e">
        <f>AND(Bills!S518,"AAAAAH/c94U=")</f>
        <v>#VALUE!</v>
      </c>
      <c r="EE135" t="e">
        <f>AND(Bills!T518,"AAAAAH/c94Y=")</f>
        <v>#VALUE!</v>
      </c>
      <c r="EF135" t="e">
        <f>AND(Bills!#REF!,"AAAAAH/c94c=")</f>
        <v>#REF!</v>
      </c>
      <c r="EG135" t="e">
        <f>AND(Bills!U518,"AAAAAH/c94g=")</f>
        <v>#VALUE!</v>
      </c>
      <c r="EH135" t="e">
        <f>AND(Bills!V518,"AAAAAH/c94k=")</f>
        <v>#VALUE!</v>
      </c>
      <c r="EI135" t="e">
        <f>AND(Bills!W518,"AAAAAH/c94o=")</f>
        <v>#VALUE!</v>
      </c>
      <c r="EJ135" t="e">
        <f>AND(Bills!#REF!,"AAAAAH/c94s=")</f>
        <v>#REF!</v>
      </c>
      <c r="EK135" t="e">
        <f>AND(Bills!#REF!,"AAAAAH/c94w=")</f>
        <v>#REF!</v>
      </c>
      <c r="EL135" t="e">
        <f>AND(Bills!Y518,"AAAAAH/c940=")</f>
        <v>#VALUE!</v>
      </c>
      <c r="EM135" t="e">
        <f>AND(Bills!Z518,"AAAAAH/c944=")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AND(Bills!AA518,"AAAAAH/c95g=")</f>
        <v>#VALUE!</v>
      </c>
      <c r="EX135" t="e">
        <f>AND(Bills!AB518,"AAAAAH/c95k=")</f>
        <v>#VALUE!</v>
      </c>
      <c r="EY135" t="e">
        <f>AND(Bills!#REF!,"AAAAAH/c95o=")</f>
        <v>#REF!</v>
      </c>
      <c r="EZ135" t="e">
        <f>AND(Bills!#REF!,"AAAAAH/c95s=")</f>
        <v>#REF!</v>
      </c>
      <c r="FA135" t="e">
        <f>AND(Bills!#REF!,"AAAAAH/c95w=")</f>
        <v>#REF!</v>
      </c>
      <c r="FB135" t="e">
        <f>AND(Bills!AC518,"AAAAAH/c950=")</f>
        <v>#VALUE!</v>
      </c>
      <c r="FC135" t="e">
        <f>AND(Bills!AD518,"AAAAAH/c954=")</f>
        <v>#VALUE!</v>
      </c>
      <c r="FD135" t="e">
        <f>AND(Bills!#REF!,"AAAAAH/c958=")</f>
        <v>#REF!</v>
      </c>
      <c r="FE135">
        <f>IF(Bills!519:519,"AAAAAH/c96A=",0)</f>
        <v>0</v>
      </c>
      <c r="FF135" t="e">
        <f>AND(Bills!B519,"AAAAAH/c96E=")</f>
        <v>#VALUE!</v>
      </c>
      <c r="FG135" t="e">
        <f>AND(Bills!#REF!,"AAAAAH/c96I=")</f>
        <v>#REF!</v>
      </c>
      <c r="FH135" t="e">
        <f>AND(Bills!C519,"AAAAAH/c96M=")</f>
        <v>#VALUE!</v>
      </c>
      <c r="FI135" t="e">
        <f>AND(Bills!D519,"AAAAAH/c96Q=")</f>
        <v>#VALUE!</v>
      </c>
      <c r="FJ135" t="e">
        <f>AND(Bills!E519,"AAAAAH/c96U=")</f>
        <v>#VALUE!</v>
      </c>
      <c r="FK135" t="e">
        <f>AND(Bills!#REF!,"AAAAAH/c96Y=")</f>
        <v>#REF!</v>
      </c>
      <c r="FL135" t="e">
        <f>AND(Bills!#REF!,"AAAAAH/c96c=")</f>
        <v>#REF!</v>
      </c>
      <c r="FM135" t="e">
        <f>AND(Bills!#REF!,"AAAAAH/c96g=")</f>
        <v>#REF!</v>
      </c>
      <c r="FN135" t="e">
        <f>AND(Bills!F519,"AAAAAH/c96k=")</f>
        <v>#VALUE!</v>
      </c>
      <c r="FO135" t="e">
        <f>AND(Bills!#REF!,"AAAAAH/c96o=")</f>
        <v>#REF!</v>
      </c>
      <c r="FP135" t="e">
        <f>AND(Bills!G519,"AAAAAH/c96s=")</f>
        <v>#VALUE!</v>
      </c>
      <c r="FQ135" t="e">
        <f>AND(Bills!H519,"AAAAAH/c96w=")</f>
        <v>#VALUE!</v>
      </c>
      <c r="FR135" t="e">
        <f>AND(Bills!I519,"AAAAAH/c960=")</f>
        <v>#VALUE!</v>
      </c>
      <c r="FS135" t="e">
        <f>AND(Bills!J519,"AAAAAH/c964=")</f>
        <v>#VALUE!</v>
      </c>
      <c r="FT135" t="e">
        <f>AND(Bills!K519,"AAAAAH/c968=")</f>
        <v>#VALUE!</v>
      </c>
      <c r="FU135" t="e">
        <f>AND(Bills!L519,"AAAAAH/c97A=")</f>
        <v>#VALUE!</v>
      </c>
      <c r="FV135" t="e">
        <f>AND(Bills!#REF!,"AAAAAH/c97E=")</f>
        <v>#REF!</v>
      </c>
      <c r="FW135" t="e">
        <f>AND(Bills!M519,"AAAAAH/c97I=")</f>
        <v>#VALUE!</v>
      </c>
      <c r="FX135" t="e">
        <f>AND(Bills!N519,"AAAAAH/c97M=")</f>
        <v>#VALUE!</v>
      </c>
      <c r="FY135" t="e">
        <f>AND(Bills!O519,"AAAAAH/c97Q=")</f>
        <v>#VALUE!</v>
      </c>
      <c r="FZ135" t="e">
        <f>AND(Bills!P519,"AAAAAH/c97U=")</f>
        <v>#VALUE!</v>
      </c>
      <c r="GA135" t="e">
        <f>AND(Bills!Q519,"AAAAAH/c97Y=")</f>
        <v>#VALUE!</v>
      </c>
      <c r="GB135" t="e">
        <f>AND(Bills!R519,"AAAAAH/c97c=")</f>
        <v>#VALUE!</v>
      </c>
      <c r="GC135" t="e">
        <f>AND(Bills!S519,"AAAAAH/c97g=")</f>
        <v>#VALUE!</v>
      </c>
      <c r="GD135" t="e">
        <f>AND(Bills!T519,"AAAAAH/c97k=")</f>
        <v>#VALUE!</v>
      </c>
      <c r="GE135" t="e">
        <f>AND(Bills!#REF!,"AAAAAH/c97o=")</f>
        <v>#REF!</v>
      </c>
      <c r="GF135" t="e">
        <f>AND(Bills!U519,"AAAAAH/c97s=")</f>
        <v>#VALUE!</v>
      </c>
      <c r="GG135" t="e">
        <f>AND(Bills!V519,"AAAAAH/c97w=")</f>
        <v>#VALUE!</v>
      </c>
      <c r="GH135" t="e">
        <f>AND(Bills!W519,"AAAAAH/c970=")</f>
        <v>#VALUE!</v>
      </c>
      <c r="GI135" t="e">
        <f>AND(Bills!#REF!,"AAAAAH/c974=")</f>
        <v>#REF!</v>
      </c>
      <c r="GJ135" t="e">
        <f>AND(Bills!#REF!,"AAAAAH/c978=")</f>
        <v>#REF!</v>
      </c>
      <c r="GK135" t="e">
        <f>AND(Bills!Y519,"AAAAAH/c98A=")</f>
        <v>#VALUE!</v>
      </c>
      <c r="GL135" t="e">
        <f>AND(Bills!Z519,"AAAAAH/c98E=")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AND(Bills!AA519,"AAAAAH/c98s=")</f>
        <v>#VALUE!</v>
      </c>
      <c r="GW135" t="e">
        <f>AND(Bills!AB519,"AAAAAH/c98w=")</f>
        <v>#VALUE!</v>
      </c>
      <c r="GX135" t="e">
        <f>AND(Bills!#REF!,"AAAAAH/c980=")</f>
        <v>#REF!</v>
      </c>
      <c r="GY135" t="e">
        <f>AND(Bills!#REF!,"AAAAAH/c984=")</f>
        <v>#REF!</v>
      </c>
      <c r="GZ135" t="e">
        <f>AND(Bills!#REF!,"AAAAAH/c988=")</f>
        <v>#REF!</v>
      </c>
      <c r="HA135" t="e">
        <f>AND(Bills!AC519,"AAAAAH/c99A=")</f>
        <v>#VALUE!</v>
      </c>
      <c r="HB135" t="e">
        <f>AND(Bills!AD519,"AAAAAH/c99E=")</f>
        <v>#VALUE!</v>
      </c>
      <c r="HC135" t="e">
        <f>AND(Bills!#REF!,"AAAAAH/c99I=")</f>
        <v>#REF!</v>
      </c>
      <c r="HD135">
        <f>IF(Bills!520:520,"AAAAAH/c99M=",0)</f>
        <v>0</v>
      </c>
      <c r="HE135" t="e">
        <f>AND(Bills!B520,"AAAAAH/c99Q=")</f>
        <v>#VALUE!</v>
      </c>
      <c r="HF135" t="e">
        <f>AND(Bills!#REF!,"AAAAAH/c99U=")</f>
        <v>#REF!</v>
      </c>
      <c r="HG135" t="e">
        <f>AND(Bills!C520,"AAAAAH/c99Y=")</f>
        <v>#VALUE!</v>
      </c>
      <c r="HH135" t="e">
        <f>AND(Bills!D520,"AAAAAH/c99c=")</f>
        <v>#VALUE!</v>
      </c>
      <c r="HI135" t="e">
        <f>AND(Bills!E520,"AAAAAH/c99g=")</f>
        <v>#VALUE!</v>
      </c>
      <c r="HJ135" t="e">
        <f>AND(Bills!#REF!,"AAAAAH/c99k=")</f>
        <v>#REF!</v>
      </c>
      <c r="HK135" t="e">
        <f>AND(Bills!#REF!,"AAAAAH/c99o=")</f>
        <v>#REF!</v>
      </c>
      <c r="HL135" t="e">
        <f>AND(Bills!#REF!,"AAAAAH/c99s=")</f>
        <v>#REF!</v>
      </c>
      <c r="HM135" t="e">
        <f>AND(Bills!F520,"AAAAAH/c99w=")</f>
        <v>#VALUE!</v>
      </c>
      <c r="HN135" t="e">
        <f>AND(Bills!#REF!,"AAAAAH/c990=")</f>
        <v>#REF!</v>
      </c>
      <c r="HO135" t="e">
        <f>AND(Bills!G520,"AAAAAH/c994=")</f>
        <v>#VALUE!</v>
      </c>
      <c r="HP135" t="e">
        <f>AND(Bills!H520,"AAAAAH/c998=")</f>
        <v>#VALUE!</v>
      </c>
      <c r="HQ135" t="e">
        <f>AND(Bills!I520,"AAAAAH/c9+A=")</f>
        <v>#VALUE!</v>
      </c>
      <c r="HR135" t="e">
        <f>AND(Bills!J520,"AAAAAH/c9+E=")</f>
        <v>#VALUE!</v>
      </c>
      <c r="HS135" t="e">
        <f>AND(Bills!K520,"AAAAAH/c9+I=")</f>
        <v>#VALUE!</v>
      </c>
      <c r="HT135" t="e">
        <f>AND(Bills!L520,"AAAAAH/c9+M=")</f>
        <v>#VALUE!</v>
      </c>
      <c r="HU135" t="e">
        <f>AND(Bills!#REF!,"AAAAAH/c9+Q=")</f>
        <v>#REF!</v>
      </c>
      <c r="HV135" t="e">
        <f>AND(Bills!M520,"AAAAAH/c9+U=")</f>
        <v>#VALUE!</v>
      </c>
      <c r="HW135" t="e">
        <f>AND(Bills!N520,"AAAAAH/c9+Y=")</f>
        <v>#VALUE!</v>
      </c>
      <c r="HX135" t="e">
        <f>AND(Bills!O520,"AAAAAH/c9+c=")</f>
        <v>#VALUE!</v>
      </c>
      <c r="HY135" t="e">
        <f>AND(Bills!P520,"AAAAAH/c9+g=")</f>
        <v>#VALUE!</v>
      </c>
      <c r="HZ135" t="e">
        <f>AND(Bills!Q520,"AAAAAH/c9+k=")</f>
        <v>#VALUE!</v>
      </c>
      <c r="IA135" t="e">
        <f>AND(Bills!R520,"AAAAAH/c9+o=")</f>
        <v>#VALUE!</v>
      </c>
      <c r="IB135" t="e">
        <f>AND(Bills!S520,"AAAAAH/c9+s=")</f>
        <v>#VALUE!</v>
      </c>
      <c r="IC135" t="e">
        <f>AND(Bills!T520,"AAAAAH/c9+w=")</f>
        <v>#VALUE!</v>
      </c>
      <c r="ID135" t="e">
        <f>AND(Bills!#REF!,"AAAAAH/c9+0=")</f>
        <v>#REF!</v>
      </c>
      <c r="IE135" t="e">
        <f>AND(Bills!U520,"AAAAAH/c9+4=")</f>
        <v>#VALUE!</v>
      </c>
      <c r="IF135" t="e">
        <f>AND(Bills!V520,"AAAAAH/c9+8=")</f>
        <v>#VALUE!</v>
      </c>
      <c r="IG135" t="e">
        <f>AND(Bills!W520,"AAAAAH/c9/A=")</f>
        <v>#VALUE!</v>
      </c>
      <c r="IH135" t="e">
        <f>AND(Bills!#REF!,"AAAAAH/c9/E=")</f>
        <v>#REF!</v>
      </c>
      <c r="II135" t="e">
        <f>AND(Bills!#REF!,"AAAAAH/c9/I=")</f>
        <v>#REF!</v>
      </c>
      <c r="IJ135" t="e">
        <f>AND(Bills!Y520,"AAAAAH/c9/M=")</f>
        <v>#VALUE!</v>
      </c>
      <c r="IK135" t="e">
        <f>AND(Bills!Z520,"AAAAAH/c9/Q=")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AND(Bills!AA520,"AAAAAH/c9/4=")</f>
        <v>#VALUE!</v>
      </c>
      <c r="IV135" t="e">
        <f>AND(Bills!AB520,"AAAAAH/c9/8=")</f>
        <v>#VALUE!</v>
      </c>
    </row>
    <row r="136" spans="1:256">
      <c r="A136" t="e">
        <f>AND(Bills!#REF!,"AAAAAHaF/AA=")</f>
        <v>#REF!</v>
      </c>
      <c r="B136" t="e">
        <f>AND(Bills!#REF!,"AAAAAHaF/AE=")</f>
        <v>#REF!</v>
      </c>
      <c r="C136" t="e">
        <f>AND(Bills!#REF!,"AAAAAHaF/AI=")</f>
        <v>#REF!</v>
      </c>
      <c r="D136" t="e">
        <f>AND(Bills!AC520,"AAAAAHaF/AM=")</f>
        <v>#VALUE!</v>
      </c>
      <c r="E136" t="e">
        <f>AND(Bills!AD520,"AAAAAHaF/AQ=")</f>
        <v>#VALUE!</v>
      </c>
      <c r="F136" t="e">
        <f>AND(Bills!#REF!,"AAAAAHaF/AU=")</f>
        <v>#REF!</v>
      </c>
      <c r="G136">
        <f>IF(Bills!521:521,"AAAAAHaF/AY=",0)</f>
        <v>0</v>
      </c>
      <c r="H136" t="e">
        <f>AND(Bills!B521,"AAAAAHaF/Ac=")</f>
        <v>#VALUE!</v>
      </c>
      <c r="I136" t="e">
        <f>AND(Bills!#REF!,"AAAAAHaF/Ag=")</f>
        <v>#REF!</v>
      </c>
      <c r="J136" t="e">
        <f>AND(Bills!C521,"AAAAAHaF/Ak=")</f>
        <v>#VALUE!</v>
      </c>
      <c r="K136" t="e">
        <f>AND(Bills!D521,"AAAAAHaF/Ao=")</f>
        <v>#VALUE!</v>
      </c>
      <c r="L136" t="e">
        <f>AND(Bills!E521,"AAAAAHaF/As=")</f>
        <v>#VALUE!</v>
      </c>
      <c r="M136" t="e">
        <f>AND(Bills!#REF!,"AAAAAHaF/Aw=")</f>
        <v>#REF!</v>
      </c>
      <c r="N136" t="e">
        <f>AND(Bills!#REF!,"AAAAAHaF/A0=")</f>
        <v>#REF!</v>
      </c>
      <c r="O136" t="e">
        <f>AND(Bills!#REF!,"AAAAAHaF/A4=")</f>
        <v>#REF!</v>
      </c>
      <c r="P136" t="e">
        <f>AND(Bills!F521,"AAAAAHaF/A8=")</f>
        <v>#VALUE!</v>
      </c>
      <c r="Q136" t="e">
        <f>AND(Bills!#REF!,"AAAAAHaF/BA=")</f>
        <v>#REF!</v>
      </c>
      <c r="R136" t="e">
        <f>AND(Bills!G521,"AAAAAHaF/BE=")</f>
        <v>#VALUE!</v>
      </c>
      <c r="S136" t="e">
        <f>AND(Bills!H521,"AAAAAHaF/BI=")</f>
        <v>#VALUE!</v>
      </c>
      <c r="T136" t="e">
        <f>AND(Bills!I521,"AAAAAHaF/BM=")</f>
        <v>#VALUE!</v>
      </c>
      <c r="U136" t="e">
        <f>AND(Bills!J521,"AAAAAHaF/BQ=")</f>
        <v>#VALUE!</v>
      </c>
      <c r="V136" t="e">
        <f>AND(Bills!K521,"AAAAAHaF/BU=")</f>
        <v>#VALUE!</v>
      </c>
      <c r="W136" t="e">
        <f>AND(Bills!L521,"AAAAAHaF/BY=")</f>
        <v>#VALUE!</v>
      </c>
      <c r="X136" t="e">
        <f>AND(Bills!#REF!,"AAAAAHaF/Bc=")</f>
        <v>#REF!</v>
      </c>
      <c r="Y136" t="e">
        <f>AND(Bills!M521,"AAAAAHaF/Bg=")</f>
        <v>#VALUE!</v>
      </c>
      <c r="Z136" t="e">
        <f>AND(Bills!N521,"AAAAAHaF/Bk=")</f>
        <v>#VALUE!</v>
      </c>
      <c r="AA136" t="e">
        <f>AND(Bills!O521,"AAAAAHaF/Bo=")</f>
        <v>#VALUE!</v>
      </c>
      <c r="AB136" t="e">
        <f>AND(Bills!P521,"AAAAAHaF/Bs=")</f>
        <v>#VALUE!</v>
      </c>
      <c r="AC136" t="e">
        <f>AND(Bills!Q521,"AAAAAHaF/Bw=")</f>
        <v>#VALUE!</v>
      </c>
      <c r="AD136" t="e">
        <f>AND(Bills!R521,"AAAAAHaF/B0=")</f>
        <v>#VALUE!</v>
      </c>
      <c r="AE136" t="e">
        <f>AND(Bills!S521,"AAAAAHaF/B4=")</f>
        <v>#VALUE!</v>
      </c>
      <c r="AF136" t="e">
        <f>AND(Bills!T521,"AAAAAHaF/B8=")</f>
        <v>#VALUE!</v>
      </c>
      <c r="AG136" t="e">
        <f>AND(Bills!#REF!,"AAAAAHaF/CA=")</f>
        <v>#REF!</v>
      </c>
      <c r="AH136" t="e">
        <f>AND(Bills!U521,"AAAAAHaF/CE=")</f>
        <v>#VALUE!</v>
      </c>
      <c r="AI136" t="e">
        <f>AND(Bills!V521,"AAAAAHaF/CI=")</f>
        <v>#VALUE!</v>
      </c>
      <c r="AJ136" t="e">
        <f>AND(Bills!W521,"AAAAAHaF/CM=")</f>
        <v>#VALUE!</v>
      </c>
      <c r="AK136" t="e">
        <f>AND(Bills!#REF!,"AAAAAHaF/CQ=")</f>
        <v>#REF!</v>
      </c>
      <c r="AL136" t="e">
        <f>AND(Bills!#REF!,"AAAAAHaF/CU=")</f>
        <v>#REF!</v>
      </c>
      <c r="AM136" t="e">
        <f>AND(Bills!Y521,"AAAAAHaF/CY=")</f>
        <v>#VALUE!</v>
      </c>
      <c r="AN136" t="e">
        <f>AND(Bills!Z521,"AAAAAHaF/Cc=")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AND(Bills!AA521,"AAAAAHaF/DE=")</f>
        <v>#VALUE!</v>
      </c>
      <c r="AY136" t="e">
        <f>AND(Bills!AB521,"AAAAAHaF/DI=")</f>
        <v>#VALUE!</v>
      </c>
      <c r="AZ136" t="e">
        <f>AND(Bills!#REF!,"AAAAAHaF/DM=")</f>
        <v>#REF!</v>
      </c>
      <c r="BA136" t="e">
        <f>AND(Bills!#REF!,"AAAAAHaF/DQ=")</f>
        <v>#REF!</v>
      </c>
      <c r="BB136" t="e">
        <f>AND(Bills!#REF!,"AAAAAHaF/DU=")</f>
        <v>#REF!</v>
      </c>
      <c r="BC136" t="e">
        <f>AND(Bills!AC521,"AAAAAHaF/DY=")</f>
        <v>#VALUE!</v>
      </c>
      <c r="BD136" t="e">
        <f>AND(Bills!AD521,"AAAAAHaF/Dc=")</f>
        <v>#VALUE!</v>
      </c>
      <c r="BE136" t="e">
        <f>AND(Bills!#REF!,"AAAAAHaF/Dg=")</f>
        <v>#REF!</v>
      </c>
      <c r="BF136">
        <f>IF(Bills!522:522,"AAAAAHaF/Dk=",0)</f>
        <v>0</v>
      </c>
      <c r="BG136" t="e">
        <f>AND(Bills!B522,"AAAAAHaF/Do=")</f>
        <v>#VALUE!</v>
      </c>
      <c r="BH136" t="e">
        <f>AND(Bills!#REF!,"AAAAAHaF/Ds=")</f>
        <v>#REF!</v>
      </c>
      <c r="BI136" t="e">
        <f>AND(Bills!C522,"AAAAAHaF/Dw=")</f>
        <v>#VALUE!</v>
      </c>
      <c r="BJ136" t="e">
        <f>AND(Bills!D522,"AAAAAHaF/D0=")</f>
        <v>#VALUE!</v>
      </c>
      <c r="BK136" t="e">
        <f>AND(Bills!E522,"AAAAAHaF/D4=")</f>
        <v>#VALUE!</v>
      </c>
      <c r="BL136" t="e">
        <f>AND(Bills!#REF!,"AAAAAHaF/D8=")</f>
        <v>#REF!</v>
      </c>
      <c r="BM136" t="e">
        <f>AND(Bills!#REF!,"AAAAAHaF/EA=")</f>
        <v>#REF!</v>
      </c>
      <c r="BN136" t="e">
        <f>AND(Bills!#REF!,"AAAAAHaF/EE=")</f>
        <v>#REF!</v>
      </c>
      <c r="BO136" t="e">
        <f>AND(Bills!F522,"AAAAAHaF/EI=")</f>
        <v>#VALUE!</v>
      </c>
      <c r="BP136" t="e">
        <f>AND(Bills!#REF!,"AAAAAHaF/EM=")</f>
        <v>#REF!</v>
      </c>
      <c r="BQ136" t="e">
        <f>AND(Bills!G522,"AAAAAHaF/EQ=")</f>
        <v>#VALUE!</v>
      </c>
      <c r="BR136" t="e">
        <f>AND(Bills!H522,"AAAAAHaF/EU=")</f>
        <v>#VALUE!</v>
      </c>
      <c r="BS136" t="e">
        <f>AND(Bills!I522,"AAAAAHaF/EY=")</f>
        <v>#VALUE!</v>
      </c>
      <c r="BT136" t="e">
        <f>AND(Bills!J522,"AAAAAHaF/Ec=")</f>
        <v>#VALUE!</v>
      </c>
      <c r="BU136" t="e">
        <f>AND(Bills!K522,"AAAAAHaF/Eg=")</f>
        <v>#VALUE!</v>
      </c>
      <c r="BV136" t="e">
        <f>AND(Bills!L522,"AAAAAHaF/Ek=")</f>
        <v>#VALUE!</v>
      </c>
      <c r="BW136" t="e">
        <f>AND(Bills!#REF!,"AAAAAHaF/Eo=")</f>
        <v>#REF!</v>
      </c>
      <c r="BX136" t="e">
        <f>AND(Bills!M522,"AAAAAHaF/Es=")</f>
        <v>#VALUE!</v>
      </c>
      <c r="BY136" t="e">
        <f>AND(Bills!N522,"AAAAAHaF/Ew=")</f>
        <v>#VALUE!</v>
      </c>
      <c r="BZ136" t="e">
        <f>AND(Bills!O522,"AAAAAHaF/E0=")</f>
        <v>#VALUE!</v>
      </c>
      <c r="CA136" t="e">
        <f>AND(Bills!P522,"AAAAAHaF/E4=")</f>
        <v>#VALUE!</v>
      </c>
      <c r="CB136" t="e">
        <f>AND(Bills!Q522,"AAAAAHaF/E8=")</f>
        <v>#VALUE!</v>
      </c>
      <c r="CC136" t="e">
        <f>AND(Bills!R522,"AAAAAHaF/FA=")</f>
        <v>#VALUE!</v>
      </c>
      <c r="CD136" t="e">
        <f>AND(Bills!S522,"AAAAAHaF/FE=")</f>
        <v>#VALUE!</v>
      </c>
      <c r="CE136" t="e">
        <f>AND(Bills!T522,"AAAAAHaF/FI=")</f>
        <v>#VALUE!</v>
      </c>
      <c r="CF136" t="e">
        <f>AND(Bills!#REF!,"AAAAAHaF/FM=")</f>
        <v>#REF!</v>
      </c>
      <c r="CG136" t="e">
        <f>AND(Bills!U522,"AAAAAHaF/FQ=")</f>
        <v>#VALUE!</v>
      </c>
      <c r="CH136" t="e">
        <f>AND(Bills!V522,"AAAAAHaF/FU=")</f>
        <v>#VALUE!</v>
      </c>
      <c r="CI136" t="e">
        <f>AND(Bills!W522,"AAAAAHaF/FY=")</f>
        <v>#VALUE!</v>
      </c>
      <c r="CJ136" t="e">
        <f>AND(Bills!#REF!,"AAAAAHaF/Fc=")</f>
        <v>#REF!</v>
      </c>
      <c r="CK136" t="e">
        <f>AND(Bills!#REF!,"AAAAAHaF/Fg=")</f>
        <v>#REF!</v>
      </c>
      <c r="CL136" t="e">
        <f>AND(Bills!Y522,"AAAAAHaF/Fk=")</f>
        <v>#VALUE!</v>
      </c>
      <c r="CM136" t="e">
        <f>AND(Bills!Z522,"AAAAAHaF/Fo=")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AND(Bills!AA522,"AAAAAHaF/GQ=")</f>
        <v>#VALUE!</v>
      </c>
      <c r="CX136" t="e">
        <f>AND(Bills!AB522,"AAAAAHaF/GU=")</f>
        <v>#VALUE!</v>
      </c>
      <c r="CY136" t="e">
        <f>AND(Bills!#REF!,"AAAAAHaF/GY=")</f>
        <v>#REF!</v>
      </c>
      <c r="CZ136" t="e">
        <f>AND(Bills!#REF!,"AAAAAHaF/Gc=")</f>
        <v>#REF!</v>
      </c>
      <c r="DA136" t="e">
        <f>AND(Bills!#REF!,"AAAAAHaF/Gg=")</f>
        <v>#REF!</v>
      </c>
      <c r="DB136" t="e">
        <f>AND(Bills!AC522,"AAAAAHaF/Gk=")</f>
        <v>#VALUE!</v>
      </c>
      <c r="DC136" t="e">
        <f>AND(Bills!AD522,"AAAAAHaF/Go=")</f>
        <v>#VALUE!</v>
      </c>
      <c r="DD136" t="e">
        <f>AND(Bills!#REF!,"AAAAAHaF/Gs=")</f>
        <v>#REF!</v>
      </c>
      <c r="DE136">
        <f>IF(Bills!523:523,"AAAAAHaF/Gw=",0)</f>
        <v>0</v>
      </c>
      <c r="DF136" t="e">
        <f>AND(Bills!B523,"AAAAAHaF/G0=")</f>
        <v>#VALUE!</v>
      </c>
      <c r="DG136" t="e">
        <f>AND(Bills!#REF!,"AAAAAHaF/G4=")</f>
        <v>#REF!</v>
      </c>
      <c r="DH136" t="e">
        <f>AND(Bills!C523,"AAAAAHaF/G8=")</f>
        <v>#VALUE!</v>
      </c>
      <c r="DI136" t="e">
        <f>AND(Bills!D523,"AAAAAHaF/HA=")</f>
        <v>#VALUE!</v>
      </c>
      <c r="DJ136" t="e">
        <f>AND(Bills!E523,"AAAAAHaF/HE=")</f>
        <v>#VALUE!</v>
      </c>
      <c r="DK136" t="e">
        <f>AND(Bills!#REF!,"AAAAAHaF/HI=")</f>
        <v>#REF!</v>
      </c>
      <c r="DL136" t="e">
        <f>AND(Bills!#REF!,"AAAAAHaF/HM=")</f>
        <v>#REF!</v>
      </c>
      <c r="DM136" t="e">
        <f>AND(Bills!#REF!,"AAAAAHaF/HQ=")</f>
        <v>#REF!</v>
      </c>
      <c r="DN136" t="e">
        <f>AND(Bills!F523,"AAAAAHaF/HU=")</f>
        <v>#VALUE!</v>
      </c>
      <c r="DO136" t="e">
        <f>AND(Bills!#REF!,"AAAAAHaF/HY=")</f>
        <v>#REF!</v>
      </c>
      <c r="DP136" t="e">
        <f>AND(Bills!G523,"AAAAAHaF/Hc=")</f>
        <v>#VALUE!</v>
      </c>
      <c r="DQ136" t="e">
        <f>AND(Bills!H523,"AAAAAHaF/Hg=")</f>
        <v>#VALUE!</v>
      </c>
      <c r="DR136" t="e">
        <f>AND(Bills!I523,"AAAAAHaF/Hk=")</f>
        <v>#VALUE!</v>
      </c>
      <c r="DS136" t="e">
        <f>AND(Bills!J523,"AAAAAHaF/Ho=")</f>
        <v>#VALUE!</v>
      </c>
      <c r="DT136" t="e">
        <f>AND(Bills!K523,"AAAAAHaF/Hs=")</f>
        <v>#VALUE!</v>
      </c>
      <c r="DU136" t="e">
        <f>AND(Bills!L523,"AAAAAHaF/Hw=")</f>
        <v>#VALUE!</v>
      </c>
      <c r="DV136" t="e">
        <f>AND(Bills!#REF!,"AAAAAHaF/H0=")</f>
        <v>#REF!</v>
      </c>
      <c r="DW136" t="e">
        <f>AND(Bills!M523,"AAAAAHaF/H4=")</f>
        <v>#VALUE!</v>
      </c>
      <c r="DX136" t="e">
        <f>AND(Bills!N523,"AAAAAHaF/H8=")</f>
        <v>#VALUE!</v>
      </c>
      <c r="DY136" t="e">
        <f>AND(Bills!O523,"AAAAAHaF/IA=")</f>
        <v>#VALUE!</v>
      </c>
      <c r="DZ136" t="e">
        <f>AND(Bills!P523,"AAAAAHaF/IE=")</f>
        <v>#VALUE!</v>
      </c>
      <c r="EA136" t="e">
        <f>AND(Bills!Q523,"AAAAAHaF/II=")</f>
        <v>#VALUE!</v>
      </c>
      <c r="EB136" t="e">
        <f>AND(Bills!R523,"AAAAAHaF/IM=")</f>
        <v>#VALUE!</v>
      </c>
      <c r="EC136" t="e">
        <f>AND(Bills!S523,"AAAAAHaF/IQ=")</f>
        <v>#VALUE!</v>
      </c>
      <c r="ED136" t="e">
        <f>AND(Bills!T523,"AAAAAHaF/IU=")</f>
        <v>#VALUE!</v>
      </c>
      <c r="EE136" t="e">
        <f>AND(Bills!#REF!,"AAAAAHaF/IY=")</f>
        <v>#REF!</v>
      </c>
      <c r="EF136" t="e">
        <f>AND(Bills!U523,"AAAAAHaF/Ic=")</f>
        <v>#VALUE!</v>
      </c>
      <c r="EG136" t="e">
        <f>AND(Bills!V523,"AAAAAHaF/Ig=")</f>
        <v>#VALUE!</v>
      </c>
      <c r="EH136" t="e">
        <f>AND(Bills!W523,"AAAAAHaF/Ik=")</f>
        <v>#VALUE!</v>
      </c>
      <c r="EI136" t="e">
        <f>AND(Bills!#REF!,"AAAAAHaF/Io=")</f>
        <v>#REF!</v>
      </c>
      <c r="EJ136" t="e">
        <f>AND(Bills!#REF!,"AAAAAHaF/Is=")</f>
        <v>#REF!</v>
      </c>
      <c r="EK136" t="e">
        <f>AND(Bills!Y523,"AAAAAHaF/Iw=")</f>
        <v>#VALUE!</v>
      </c>
      <c r="EL136" t="e">
        <f>AND(Bills!Z523,"AAAAAHaF/I0=")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AND(Bills!AA523,"AAAAAHaF/Jc=")</f>
        <v>#VALUE!</v>
      </c>
      <c r="EW136" t="e">
        <f>AND(Bills!AB523,"AAAAAHaF/Jg=")</f>
        <v>#VALUE!</v>
      </c>
      <c r="EX136" t="e">
        <f>AND(Bills!#REF!,"AAAAAHaF/Jk=")</f>
        <v>#REF!</v>
      </c>
      <c r="EY136" t="e">
        <f>AND(Bills!#REF!,"AAAAAHaF/Jo=")</f>
        <v>#REF!</v>
      </c>
      <c r="EZ136" t="e">
        <f>AND(Bills!#REF!,"AAAAAHaF/Js=")</f>
        <v>#REF!</v>
      </c>
      <c r="FA136" t="e">
        <f>AND(Bills!AC523,"AAAAAHaF/Jw=")</f>
        <v>#VALUE!</v>
      </c>
      <c r="FB136" t="e">
        <f>AND(Bills!AD523,"AAAAAHaF/J0=")</f>
        <v>#VALUE!</v>
      </c>
      <c r="FC136" t="e">
        <f>AND(Bills!#REF!,"AAAAAHaF/J4=")</f>
        <v>#REF!</v>
      </c>
      <c r="FD136">
        <f>IF(Bills!524:524,"AAAAAHaF/J8=",0)</f>
        <v>0</v>
      </c>
      <c r="FE136" t="e">
        <f>AND(Bills!B524,"AAAAAHaF/KA=")</f>
        <v>#VALUE!</v>
      </c>
      <c r="FF136" t="e">
        <f>AND(Bills!#REF!,"AAAAAHaF/KE=")</f>
        <v>#REF!</v>
      </c>
      <c r="FG136" t="e">
        <f>AND(Bills!C524,"AAAAAHaF/KI=")</f>
        <v>#VALUE!</v>
      </c>
      <c r="FH136" t="e">
        <f>AND(Bills!D524,"AAAAAHaF/KM=")</f>
        <v>#VALUE!</v>
      </c>
      <c r="FI136" t="e">
        <f>AND(Bills!E524,"AAAAAHaF/KQ=")</f>
        <v>#VALUE!</v>
      </c>
      <c r="FJ136" t="e">
        <f>AND(Bills!#REF!,"AAAAAHaF/KU=")</f>
        <v>#REF!</v>
      </c>
      <c r="FK136" t="e">
        <f>AND(Bills!#REF!,"AAAAAHaF/KY=")</f>
        <v>#REF!</v>
      </c>
      <c r="FL136" t="e">
        <f>AND(Bills!#REF!,"AAAAAHaF/Kc=")</f>
        <v>#REF!</v>
      </c>
      <c r="FM136" t="e">
        <f>AND(Bills!F524,"AAAAAHaF/Kg=")</f>
        <v>#VALUE!</v>
      </c>
      <c r="FN136" t="e">
        <f>AND(Bills!#REF!,"AAAAAHaF/Kk=")</f>
        <v>#REF!</v>
      </c>
      <c r="FO136" t="e">
        <f>AND(Bills!G524,"AAAAAHaF/Ko=")</f>
        <v>#VALUE!</v>
      </c>
      <c r="FP136" t="e">
        <f>AND(Bills!H524,"AAAAAHaF/Ks=")</f>
        <v>#VALUE!</v>
      </c>
      <c r="FQ136" t="e">
        <f>AND(Bills!I524,"AAAAAHaF/Kw=")</f>
        <v>#VALUE!</v>
      </c>
      <c r="FR136" t="e">
        <f>AND(Bills!J524,"AAAAAHaF/K0=")</f>
        <v>#VALUE!</v>
      </c>
      <c r="FS136" t="e">
        <f>AND(Bills!K524,"AAAAAHaF/K4=")</f>
        <v>#VALUE!</v>
      </c>
      <c r="FT136" t="e">
        <f>AND(Bills!L524,"AAAAAHaF/K8=")</f>
        <v>#VALUE!</v>
      </c>
      <c r="FU136" t="e">
        <f>AND(Bills!#REF!,"AAAAAHaF/LA=")</f>
        <v>#REF!</v>
      </c>
      <c r="FV136" t="e">
        <f>AND(Bills!M524,"AAAAAHaF/LE=")</f>
        <v>#VALUE!</v>
      </c>
      <c r="FW136" t="e">
        <f>AND(Bills!N524,"AAAAAHaF/LI=")</f>
        <v>#VALUE!</v>
      </c>
      <c r="FX136" t="e">
        <f>AND(Bills!O524,"AAAAAHaF/LM=")</f>
        <v>#VALUE!</v>
      </c>
      <c r="FY136" t="e">
        <f>AND(Bills!P524,"AAAAAHaF/LQ=")</f>
        <v>#VALUE!</v>
      </c>
      <c r="FZ136" t="e">
        <f>AND(Bills!Q524,"AAAAAHaF/LU=")</f>
        <v>#VALUE!</v>
      </c>
      <c r="GA136" t="e">
        <f>AND(Bills!R524,"AAAAAHaF/LY=")</f>
        <v>#VALUE!</v>
      </c>
      <c r="GB136" t="e">
        <f>AND(Bills!S524,"AAAAAHaF/Lc=")</f>
        <v>#VALUE!</v>
      </c>
      <c r="GC136" t="e">
        <f>AND(Bills!T524,"AAAAAHaF/Lg=")</f>
        <v>#VALUE!</v>
      </c>
      <c r="GD136" t="e">
        <f>AND(Bills!#REF!,"AAAAAHaF/Lk=")</f>
        <v>#REF!</v>
      </c>
      <c r="GE136" t="e">
        <f>AND(Bills!U524,"AAAAAHaF/Lo=")</f>
        <v>#VALUE!</v>
      </c>
      <c r="GF136" t="e">
        <f>AND(Bills!V524,"AAAAAHaF/Ls=")</f>
        <v>#VALUE!</v>
      </c>
      <c r="GG136" t="e">
        <f>AND(Bills!W524,"AAAAAHaF/Lw=")</f>
        <v>#VALUE!</v>
      </c>
      <c r="GH136" t="e">
        <f>AND(Bills!#REF!,"AAAAAHaF/L0=")</f>
        <v>#REF!</v>
      </c>
      <c r="GI136" t="e">
        <f>AND(Bills!#REF!,"AAAAAHaF/L4=")</f>
        <v>#REF!</v>
      </c>
      <c r="GJ136" t="e">
        <f>AND(Bills!Y524,"AAAAAHaF/L8=")</f>
        <v>#VALUE!</v>
      </c>
      <c r="GK136" t="e">
        <f>AND(Bills!Z524,"AAAAAHaF/MA=")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AND(Bills!AA524,"AAAAAHaF/Mo=")</f>
        <v>#VALUE!</v>
      </c>
      <c r="GV136" t="e">
        <f>AND(Bills!AB524,"AAAAAHaF/Ms=")</f>
        <v>#VALUE!</v>
      </c>
      <c r="GW136" t="e">
        <f>AND(Bills!#REF!,"AAAAAHaF/Mw=")</f>
        <v>#REF!</v>
      </c>
      <c r="GX136" t="e">
        <f>AND(Bills!#REF!,"AAAAAHaF/M0=")</f>
        <v>#REF!</v>
      </c>
      <c r="GY136" t="e">
        <f>AND(Bills!#REF!,"AAAAAHaF/M4=")</f>
        <v>#REF!</v>
      </c>
      <c r="GZ136" t="e">
        <f>AND(Bills!AC524,"AAAAAHaF/M8=")</f>
        <v>#VALUE!</v>
      </c>
      <c r="HA136" t="e">
        <f>AND(Bills!AD524,"AAAAAHaF/NA=")</f>
        <v>#VALUE!</v>
      </c>
      <c r="HB136" t="e">
        <f>AND(Bills!#REF!,"AAAAAHaF/NE=")</f>
        <v>#REF!</v>
      </c>
      <c r="HC136">
        <f>IF(Bills!525:525,"AAAAAHaF/NI=",0)</f>
        <v>0</v>
      </c>
      <c r="HD136" t="e">
        <f>AND(Bills!B525,"AAAAAHaF/NM=")</f>
        <v>#VALUE!</v>
      </c>
      <c r="HE136" t="e">
        <f>AND(Bills!#REF!,"AAAAAHaF/NQ=")</f>
        <v>#REF!</v>
      </c>
      <c r="HF136" t="e">
        <f>AND(Bills!C525,"AAAAAHaF/NU=")</f>
        <v>#VALUE!</v>
      </c>
      <c r="HG136" t="e">
        <f>AND(Bills!D525,"AAAAAHaF/NY=")</f>
        <v>#VALUE!</v>
      </c>
      <c r="HH136" t="e">
        <f>AND(Bills!E525,"AAAAAHaF/Nc=")</f>
        <v>#VALUE!</v>
      </c>
      <c r="HI136" t="e">
        <f>AND(Bills!#REF!,"AAAAAHaF/Ng=")</f>
        <v>#REF!</v>
      </c>
      <c r="HJ136" t="e">
        <f>AND(Bills!#REF!,"AAAAAHaF/Nk=")</f>
        <v>#REF!</v>
      </c>
      <c r="HK136" t="e">
        <f>AND(Bills!#REF!,"AAAAAHaF/No=")</f>
        <v>#REF!</v>
      </c>
      <c r="HL136" t="e">
        <f>AND(Bills!F525,"AAAAAHaF/Ns=")</f>
        <v>#VALUE!</v>
      </c>
      <c r="HM136" t="e">
        <f>AND(Bills!#REF!,"AAAAAHaF/Nw=")</f>
        <v>#REF!</v>
      </c>
      <c r="HN136" t="e">
        <f>AND(Bills!G525,"AAAAAHaF/N0=")</f>
        <v>#VALUE!</v>
      </c>
      <c r="HO136" t="e">
        <f>AND(Bills!H525,"AAAAAHaF/N4=")</f>
        <v>#VALUE!</v>
      </c>
      <c r="HP136" t="e">
        <f>AND(Bills!I525,"AAAAAHaF/N8=")</f>
        <v>#VALUE!</v>
      </c>
      <c r="HQ136" t="e">
        <f>AND(Bills!J525,"AAAAAHaF/OA=")</f>
        <v>#VALUE!</v>
      </c>
      <c r="HR136" t="e">
        <f>AND(Bills!K525,"AAAAAHaF/OE=")</f>
        <v>#VALUE!</v>
      </c>
      <c r="HS136" t="e">
        <f>AND(Bills!L525,"AAAAAHaF/OI=")</f>
        <v>#VALUE!</v>
      </c>
      <c r="HT136" t="e">
        <f>AND(Bills!#REF!,"AAAAAHaF/OM=")</f>
        <v>#REF!</v>
      </c>
      <c r="HU136" t="e">
        <f>AND(Bills!M525,"AAAAAHaF/OQ=")</f>
        <v>#VALUE!</v>
      </c>
      <c r="HV136" t="e">
        <f>AND(Bills!N525,"AAAAAHaF/OU=")</f>
        <v>#VALUE!</v>
      </c>
      <c r="HW136" t="e">
        <f>AND(Bills!O525,"AAAAAHaF/OY=")</f>
        <v>#VALUE!</v>
      </c>
      <c r="HX136" t="e">
        <f>AND(Bills!P525,"AAAAAHaF/Oc=")</f>
        <v>#VALUE!</v>
      </c>
      <c r="HY136" t="e">
        <f>AND(Bills!Q525,"AAAAAHaF/Og=")</f>
        <v>#VALUE!</v>
      </c>
      <c r="HZ136" t="e">
        <f>AND(Bills!R525,"AAAAAHaF/Ok=")</f>
        <v>#VALUE!</v>
      </c>
      <c r="IA136" t="e">
        <f>AND(Bills!S525,"AAAAAHaF/Oo=")</f>
        <v>#VALUE!</v>
      </c>
      <c r="IB136" t="e">
        <f>AND(Bills!T525,"AAAAAHaF/Os=")</f>
        <v>#VALUE!</v>
      </c>
      <c r="IC136" t="e">
        <f>AND(Bills!#REF!,"AAAAAHaF/Ow=")</f>
        <v>#REF!</v>
      </c>
      <c r="ID136" t="e">
        <f>AND(Bills!U525,"AAAAAHaF/O0=")</f>
        <v>#VALUE!</v>
      </c>
      <c r="IE136" t="e">
        <f>AND(Bills!V525,"AAAAAHaF/O4=")</f>
        <v>#VALUE!</v>
      </c>
      <c r="IF136" t="e">
        <f>AND(Bills!W525,"AAAAAHaF/O8=")</f>
        <v>#VALUE!</v>
      </c>
      <c r="IG136" t="e">
        <f>AND(Bills!#REF!,"AAAAAHaF/PA=")</f>
        <v>#REF!</v>
      </c>
      <c r="IH136" t="e">
        <f>AND(Bills!#REF!,"AAAAAHaF/PE=")</f>
        <v>#REF!</v>
      </c>
      <c r="II136" t="e">
        <f>AND(Bills!Y525,"AAAAAHaF/PI=")</f>
        <v>#VALUE!</v>
      </c>
      <c r="IJ136" t="e">
        <f>AND(Bills!Z525,"AAAAAHaF/PM=")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AND(Bills!AA525,"AAAAAHaF/P0=")</f>
        <v>#VALUE!</v>
      </c>
      <c r="IU136" t="e">
        <f>AND(Bills!AB525,"AAAAAHaF/P4=")</f>
        <v>#VALUE!</v>
      </c>
      <c r="IV136" t="e">
        <f>AND(Bills!#REF!,"AAAAAHaF/P8=")</f>
        <v>#REF!</v>
      </c>
    </row>
    <row r="137" spans="1:256">
      <c r="A137" t="e">
        <f>AND(Bills!#REF!,"AAAAAEf8+wA=")</f>
        <v>#REF!</v>
      </c>
      <c r="B137" t="e">
        <f>AND(Bills!#REF!,"AAAAAEf8+wE=")</f>
        <v>#REF!</v>
      </c>
      <c r="C137" t="e">
        <f>AND(Bills!AC525,"AAAAAEf8+wI=")</f>
        <v>#VALUE!</v>
      </c>
      <c r="D137" t="e">
        <f>AND(Bills!AD525,"AAAAAEf8+wM=")</f>
        <v>#VALUE!</v>
      </c>
      <c r="E137" t="e">
        <f>AND(Bills!#REF!,"AAAAAEf8+wQ=")</f>
        <v>#REF!</v>
      </c>
      <c r="F137">
        <f>IF(Bills!526:526,"AAAAAEf8+wU=",0)</f>
        <v>0</v>
      </c>
      <c r="G137" t="e">
        <f>AND(Bills!B526,"AAAAAEf8+wY=")</f>
        <v>#VALUE!</v>
      </c>
      <c r="H137" t="e">
        <f>AND(Bills!#REF!,"AAAAAEf8+wc=")</f>
        <v>#REF!</v>
      </c>
      <c r="I137" t="e">
        <f>AND(Bills!C526,"AAAAAEf8+wg=")</f>
        <v>#VALUE!</v>
      </c>
      <c r="J137" t="e">
        <f>AND(Bills!D526,"AAAAAEf8+wk=")</f>
        <v>#VALUE!</v>
      </c>
      <c r="K137" t="e">
        <f>AND(Bills!E526,"AAAAAEf8+wo=")</f>
        <v>#VALUE!</v>
      </c>
      <c r="L137" t="e">
        <f>AND(Bills!#REF!,"AAAAAEf8+ws=")</f>
        <v>#REF!</v>
      </c>
      <c r="M137" t="e">
        <f>AND(Bills!#REF!,"AAAAAEf8+ww=")</f>
        <v>#REF!</v>
      </c>
      <c r="N137" t="e">
        <f>AND(Bills!#REF!,"AAAAAEf8+w0=")</f>
        <v>#REF!</v>
      </c>
      <c r="O137" t="e">
        <f>AND(Bills!F526,"AAAAAEf8+w4=")</f>
        <v>#VALUE!</v>
      </c>
      <c r="P137" t="e">
        <f>AND(Bills!#REF!,"AAAAAEf8+w8=")</f>
        <v>#REF!</v>
      </c>
      <c r="Q137" t="e">
        <f>AND(Bills!G526,"AAAAAEf8+xA=")</f>
        <v>#VALUE!</v>
      </c>
      <c r="R137" t="e">
        <f>AND(Bills!H526,"AAAAAEf8+xE=")</f>
        <v>#VALUE!</v>
      </c>
      <c r="S137" t="e">
        <f>AND(Bills!I526,"AAAAAEf8+xI=")</f>
        <v>#VALUE!</v>
      </c>
      <c r="T137" t="e">
        <f>AND(Bills!J526,"AAAAAEf8+xM=")</f>
        <v>#VALUE!</v>
      </c>
      <c r="U137" t="e">
        <f>AND(Bills!K526,"AAAAAEf8+xQ=")</f>
        <v>#VALUE!</v>
      </c>
      <c r="V137" t="e">
        <f>AND(Bills!L526,"AAAAAEf8+xU=")</f>
        <v>#VALUE!</v>
      </c>
      <c r="W137" t="e">
        <f>AND(Bills!#REF!,"AAAAAEf8+xY=")</f>
        <v>#REF!</v>
      </c>
      <c r="X137" t="e">
        <f>AND(Bills!M526,"AAAAAEf8+xc=")</f>
        <v>#VALUE!</v>
      </c>
      <c r="Y137" t="e">
        <f>AND(Bills!N526,"AAAAAEf8+xg=")</f>
        <v>#VALUE!</v>
      </c>
      <c r="Z137" t="e">
        <f>AND(Bills!O526,"AAAAAEf8+xk=")</f>
        <v>#VALUE!</v>
      </c>
      <c r="AA137" t="e">
        <f>AND(Bills!P526,"AAAAAEf8+xo=")</f>
        <v>#VALUE!</v>
      </c>
      <c r="AB137" t="e">
        <f>AND(Bills!Q526,"AAAAAEf8+xs=")</f>
        <v>#VALUE!</v>
      </c>
      <c r="AC137" t="e">
        <f>AND(Bills!R526,"AAAAAEf8+xw=")</f>
        <v>#VALUE!</v>
      </c>
      <c r="AD137" t="e">
        <f>AND(Bills!S526,"AAAAAEf8+x0=")</f>
        <v>#VALUE!</v>
      </c>
      <c r="AE137" t="e">
        <f>AND(Bills!T526,"AAAAAEf8+x4=")</f>
        <v>#VALUE!</v>
      </c>
      <c r="AF137" t="e">
        <f>AND(Bills!#REF!,"AAAAAEf8+x8=")</f>
        <v>#REF!</v>
      </c>
      <c r="AG137" t="e">
        <f>AND(Bills!U526,"AAAAAEf8+yA=")</f>
        <v>#VALUE!</v>
      </c>
      <c r="AH137" t="e">
        <f>AND(Bills!V526,"AAAAAEf8+yE=")</f>
        <v>#VALUE!</v>
      </c>
      <c r="AI137" t="e">
        <f>AND(Bills!W526,"AAAAAEf8+yI=")</f>
        <v>#VALUE!</v>
      </c>
      <c r="AJ137" t="e">
        <f>AND(Bills!#REF!,"AAAAAEf8+yM=")</f>
        <v>#REF!</v>
      </c>
      <c r="AK137" t="e">
        <f>AND(Bills!#REF!,"AAAAAEf8+yQ=")</f>
        <v>#REF!</v>
      </c>
      <c r="AL137" t="e">
        <f>AND(Bills!Y526,"AAAAAEf8+yU=")</f>
        <v>#VALUE!</v>
      </c>
      <c r="AM137" t="e">
        <f>AND(Bills!Z526,"AAAAAEf8+yY=")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AND(Bills!AA526,"AAAAAEf8+zA=")</f>
        <v>#VALUE!</v>
      </c>
      <c r="AX137" t="e">
        <f>AND(Bills!AB526,"AAAAAEf8+zE=")</f>
        <v>#VALUE!</v>
      </c>
      <c r="AY137" t="e">
        <f>AND(Bills!#REF!,"AAAAAEf8+zI=")</f>
        <v>#REF!</v>
      </c>
      <c r="AZ137" t="e">
        <f>AND(Bills!#REF!,"AAAAAEf8+zM=")</f>
        <v>#REF!</v>
      </c>
      <c r="BA137" t="e">
        <f>AND(Bills!#REF!,"AAAAAEf8+zQ=")</f>
        <v>#REF!</v>
      </c>
      <c r="BB137" t="e">
        <f>AND(Bills!AC526,"AAAAAEf8+zU=")</f>
        <v>#VALUE!</v>
      </c>
      <c r="BC137" t="e">
        <f>AND(Bills!AD526,"AAAAAEf8+zY=")</f>
        <v>#VALUE!</v>
      </c>
      <c r="BD137" t="e">
        <f>AND(Bills!#REF!,"AAAAAEf8+zc=")</f>
        <v>#REF!</v>
      </c>
      <c r="BE137">
        <f>IF(Bills!527:527,"AAAAAEf8+zg=",0)</f>
        <v>0</v>
      </c>
      <c r="BF137" t="e">
        <f>AND(Bills!B527,"AAAAAEf8+zk=")</f>
        <v>#VALUE!</v>
      </c>
      <c r="BG137" t="e">
        <f>AND(Bills!#REF!,"AAAAAEf8+zo=")</f>
        <v>#REF!</v>
      </c>
      <c r="BH137" t="e">
        <f>AND(Bills!C527,"AAAAAEf8+zs=")</f>
        <v>#VALUE!</v>
      </c>
      <c r="BI137" t="e">
        <f>AND(Bills!D527,"AAAAAEf8+zw=")</f>
        <v>#VALUE!</v>
      </c>
      <c r="BJ137" t="e">
        <f>AND(Bills!E527,"AAAAAEf8+z0=")</f>
        <v>#VALUE!</v>
      </c>
      <c r="BK137" t="e">
        <f>AND(Bills!#REF!,"AAAAAEf8+z4=")</f>
        <v>#REF!</v>
      </c>
      <c r="BL137" t="e">
        <f>AND(Bills!#REF!,"AAAAAEf8+z8=")</f>
        <v>#REF!</v>
      </c>
      <c r="BM137" t="e">
        <f>AND(Bills!#REF!,"AAAAAEf8+0A=")</f>
        <v>#REF!</v>
      </c>
      <c r="BN137" t="e">
        <f>AND(Bills!F527,"AAAAAEf8+0E=")</f>
        <v>#VALUE!</v>
      </c>
      <c r="BO137" t="e">
        <f>AND(Bills!#REF!,"AAAAAEf8+0I=")</f>
        <v>#REF!</v>
      </c>
      <c r="BP137" t="e">
        <f>AND(Bills!G527,"AAAAAEf8+0M=")</f>
        <v>#VALUE!</v>
      </c>
      <c r="BQ137" t="e">
        <f>AND(Bills!H527,"AAAAAEf8+0Q=")</f>
        <v>#VALUE!</v>
      </c>
      <c r="BR137" t="e">
        <f>AND(Bills!I527,"AAAAAEf8+0U=")</f>
        <v>#VALUE!</v>
      </c>
      <c r="BS137" t="e">
        <f>AND(Bills!J527,"AAAAAEf8+0Y=")</f>
        <v>#VALUE!</v>
      </c>
      <c r="BT137" t="e">
        <f>AND(Bills!K527,"AAAAAEf8+0c=")</f>
        <v>#VALUE!</v>
      </c>
      <c r="BU137" t="e">
        <f>AND(Bills!L527,"AAAAAEf8+0g=")</f>
        <v>#VALUE!</v>
      </c>
      <c r="BV137" t="e">
        <f>AND(Bills!#REF!,"AAAAAEf8+0k=")</f>
        <v>#REF!</v>
      </c>
      <c r="BW137" t="e">
        <f>AND(Bills!M527,"AAAAAEf8+0o=")</f>
        <v>#VALUE!</v>
      </c>
      <c r="BX137" t="e">
        <f>AND(Bills!N527,"AAAAAEf8+0s=")</f>
        <v>#VALUE!</v>
      </c>
      <c r="BY137" t="e">
        <f>AND(Bills!O527,"AAAAAEf8+0w=")</f>
        <v>#VALUE!</v>
      </c>
      <c r="BZ137" t="e">
        <f>AND(Bills!P527,"AAAAAEf8+00=")</f>
        <v>#VALUE!</v>
      </c>
      <c r="CA137" t="e">
        <f>AND(Bills!Q527,"AAAAAEf8+04=")</f>
        <v>#VALUE!</v>
      </c>
      <c r="CB137" t="e">
        <f>AND(Bills!R527,"AAAAAEf8+08=")</f>
        <v>#VALUE!</v>
      </c>
      <c r="CC137" t="e">
        <f>AND(Bills!S527,"AAAAAEf8+1A=")</f>
        <v>#VALUE!</v>
      </c>
      <c r="CD137" t="e">
        <f>AND(Bills!T527,"AAAAAEf8+1E=")</f>
        <v>#VALUE!</v>
      </c>
      <c r="CE137" t="e">
        <f>AND(Bills!#REF!,"AAAAAEf8+1I=")</f>
        <v>#REF!</v>
      </c>
      <c r="CF137" t="e">
        <f>AND(Bills!U527,"AAAAAEf8+1M=")</f>
        <v>#VALUE!</v>
      </c>
      <c r="CG137" t="e">
        <f>AND(Bills!V527,"AAAAAEf8+1Q=")</f>
        <v>#VALUE!</v>
      </c>
      <c r="CH137" t="e">
        <f>AND(Bills!W527,"AAAAAEf8+1U=")</f>
        <v>#VALUE!</v>
      </c>
      <c r="CI137" t="e">
        <f>AND(Bills!#REF!,"AAAAAEf8+1Y=")</f>
        <v>#REF!</v>
      </c>
      <c r="CJ137" t="e">
        <f>AND(Bills!#REF!,"AAAAAEf8+1c=")</f>
        <v>#REF!</v>
      </c>
      <c r="CK137" t="e">
        <f>AND(Bills!Y527,"AAAAAEf8+1g=")</f>
        <v>#VALUE!</v>
      </c>
      <c r="CL137" t="e">
        <f>AND(Bills!Z527,"AAAAAEf8+1k=")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AND(Bills!AA527,"AAAAAEf8+2M=")</f>
        <v>#VALUE!</v>
      </c>
      <c r="CW137" t="e">
        <f>AND(Bills!AB527,"AAAAAEf8+2Q=")</f>
        <v>#VALUE!</v>
      </c>
      <c r="CX137" t="e">
        <f>AND(Bills!#REF!,"AAAAAEf8+2U=")</f>
        <v>#REF!</v>
      </c>
      <c r="CY137" t="e">
        <f>AND(Bills!#REF!,"AAAAAEf8+2Y=")</f>
        <v>#REF!</v>
      </c>
      <c r="CZ137" t="e">
        <f>AND(Bills!#REF!,"AAAAAEf8+2c=")</f>
        <v>#REF!</v>
      </c>
      <c r="DA137" t="e">
        <f>AND(Bills!AC527,"AAAAAEf8+2g=")</f>
        <v>#VALUE!</v>
      </c>
      <c r="DB137" t="e">
        <f>AND(Bills!AD527,"AAAAAEf8+2k=")</f>
        <v>#VALUE!</v>
      </c>
      <c r="DC137" t="e">
        <f>AND(Bills!#REF!,"AAAAAEf8+2o=")</f>
        <v>#REF!</v>
      </c>
      <c r="DD137">
        <f>IF(Bills!528:528,"AAAAAEf8+2s=",0)</f>
        <v>0</v>
      </c>
      <c r="DE137" t="e">
        <f>AND(Bills!B528,"AAAAAEf8+2w=")</f>
        <v>#VALUE!</v>
      </c>
      <c r="DF137" t="e">
        <f>AND(Bills!#REF!,"AAAAAEf8+20=")</f>
        <v>#REF!</v>
      </c>
      <c r="DG137" t="e">
        <f>AND(Bills!C528,"AAAAAEf8+24=")</f>
        <v>#VALUE!</v>
      </c>
      <c r="DH137" t="e">
        <f>AND(Bills!D528,"AAAAAEf8+28=")</f>
        <v>#VALUE!</v>
      </c>
      <c r="DI137" t="e">
        <f>AND(Bills!E528,"AAAAAEf8+3A=")</f>
        <v>#VALUE!</v>
      </c>
      <c r="DJ137" t="e">
        <f>AND(Bills!#REF!,"AAAAAEf8+3E=")</f>
        <v>#REF!</v>
      </c>
      <c r="DK137" t="e">
        <f>AND(Bills!#REF!,"AAAAAEf8+3I=")</f>
        <v>#REF!</v>
      </c>
      <c r="DL137" t="e">
        <f>AND(Bills!#REF!,"AAAAAEf8+3M=")</f>
        <v>#REF!</v>
      </c>
      <c r="DM137" t="e">
        <f>AND(Bills!F528,"AAAAAEf8+3Q=")</f>
        <v>#VALUE!</v>
      </c>
      <c r="DN137" t="e">
        <f>AND(Bills!#REF!,"AAAAAEf8+3U=")</f>
        <v>#REF!</v>
      </c>
      <c r="DO137" t="e">
        <f>AND(Bills!G528,"AAAAAEf8+3Y=")</f>
        <v>#VALUE!</v>
      </c>
      <c r="DP137" t="e">
        <f>AND(Bills!H528,"AAAAAEf8+3c=")</f>
        <v>#VALUE!</v>
      </c>
      <c r="DQ137" t="e">
        <f>AND(Bills!I528,"AAAAAEf8+3g=")</f>
        <v>#VALUE!</v>
      </c>
      <c r="DR137" t="e">
        <f>AND(Bills!J528,"AAAAAEf8+3k=")</f>
        <v>#VALUE!</v>
      </c>
      <c r="DS137" t="e">
        <f>AND(Bills!K528,"AAAAAEf8+3o=")</f>
        <v>#VALUE!</v>
      </c>
      <c r="DT137" t="e">
        <f>AND(Bills!L528,"AAAAAEf8+3s=")</f>
        <v>#VALUE!</v>
      </c>
      <c r="DU137" t="e">
        <f>AND(Bills!#REF!,"AAAAAEf8+3w=")</f>
        <v>#REF!</v>
      </c>
      <c r="DV137" t="e">
        <f>AND(Bills!M528,"AAAAAEf8+30=")</f>
        <v>#VALUE!</v>
      </c>
      <c r="DW137" t="e">
        <f>AND(Bills!N528,"AAAAAEf8+34=")</f>
        <v>#VALUE!</v>
      </c>
      <c r="DX137" t="e">
        <f>AND(Bills!O528,"AAAAAEf8+38=")</f>
        <v>#VALUE!</v>
      </c>
      <c r="DY137" t="e">
        <f>AND(Bills!P528,"AAAAAEf8+4A=")</f>
        <v>#VALUE!</v>
      </c>
      <c r="DZ137" t="e">
        <f>AND(Bills!Q528,"AAAAAEf8+4E=")</f>
        <v>#VALUE!</v>
      </c>
      <c r="EA137" t="e">
        <f>AND(Bills!R528,"AAAAAEf8+4I=")</f>
        <v>#VALUE!</v>
      </c>
      <c r="EB137" t="e">
        <f>AND(Bills!S528,"AAAAAEf8+4M=")</f>
        <v>#VALUE!</v>
      </c>
      <c r="EC137" t="e">
        <f>AND(Bills!T528,"AAAAAEf8+4Q=")</f>
        <v>#VALUE!</v>
      </c>
      <c r="ED137" t="e">
        <f>AND(Bills!#REF!,"AAAAAEf8+4U=")</f>
        <v>#REF!</v>
      </c>
      <c r="EE137" t="e">
        <f>AND(Bills!U528,"AAAAAEf8+4Y=")</f>
        <v>#VALUE!</v>
      </c>
      <c r="EF137" t="e">
        <f>AND(Bills!V528,"AAAAAEf8+4c=")</f>
        <v>#VALUE!</v>
      </c>
      <c r="EG137" t="e">
        <f>AND(Bills!W528,"AAAAAEf8+4g=")</f>
        <v>#VALUE!</v>
      </c>
      <c r="EH137" t="e">
        <f>AND(Bills!#REF!,"AAAAAEf8+4k=")</f>
        <v>#REF!</v>
      </c>
      <c r="EI137" t="e">
        <f>AND(Bills!#REF!,"AAAAAEf8+4o=")</f>
        <v>#REF!</v>
      </c>
      <c r="EJ137" t="e">
        <f>AND(Bills!Y528,"AAAAAEf8+4s=")</f>
        <v>#VALUE!</v>
      </c>
      <c r="EK137" t="e">
        <f>AND(Bills!Z528,"AAAAAEf8+4w=")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AND(Bills!AA528,"AAAAAEf8+5Y=")</f>
        <v>#VALUE!</v>
      </c>
      <c r="EV137" t="e">
        <f>AND(Bills!AB528,"AAAAAEf8+5c=")</f>
        <v>#VALUE!</v>
      </c>
      <c r="EW137" t="e">
        <f>AND(Bills!#REF!,"AAAAAEf8+5g=")</f>
        <v>#REF!</v>
      </c>
      <c r="EX137" t="e">
        <f>AND(Bills!#REF!,"AAAAAEf8+5k=")</f>
        <v>#REF!</v>
      </c>
      <c r="EY137" t="e">
        <f>AND(Bills!#REF!,"AAAAAEf8+5o=")</f>
        <v>#REF!</v>
      </c>
      <c r="EZ137" t="e">
        <f>AND(Bills!AC528,"AAAAAEf8+5s=")</f>
        <v>#VALUE!</v>
      </c>
      <c r="FA137" t="e">
        <f>AND(Bills!AD528,"AAAAAEf8+5w=")</f>
        <v>#VALUE!</v>
      </c>
      <c r="FB137" t="e">
        <f>AND(Bills!#REF!,"AAAAAEf8+50=")</f>
        <v>#REF!</v>
      </c>
      <c r="FC137">
        <f>IF(Bills!529:529,"AAAAAEf8+54=",0)</f>
        <v>0</v>
      </c>
      <c r="FD137" t="e">
        <f>AND(Bills!B529,"AAAAAEf8+58=")</f>
        <v>#VALUE!</v>
      </c>
      <c r="FE137" t="e">
        <f>AND(Bills!#REF!,"AAAAAEf8+6A=")</f>
        <v>#REF!</v>
      </c>
      <c r="FF137" t="e">
        <f>AND(Bills!C529,"AAAAAEf8+6E=")</f>
        <v>#VALUE!</v>
      </c>
      <c r="FG137" t="e">
        <f>AND(Bills!D529,"AAAAAEf8+6I=")</f>
        <v>#VALUE!</v>
      </c>
      <c r="FH137" t="e">
        <f>AND(Bills!E529,"AAAAAEf8+6M=")</f>
        <v>#VALUE!</v>
      </c>
      <c r="FI137" t="e">
        <f>AND(Bills!#REF!,"AAAAAEf8+6Q=")</f>
        <v>#REF!</v>
      </c>
      <c r="FJ137" t="e">
        <f>AND(Bills!#REF!,"AAAAAEf8+6U=")</f>
        <v>#REF!</v>
      </c>
      <c r="FK137" t="e">
        <f>AND(Bills!#REF!,"AAAAAEf8+6Y=")</f>
        <v>#REF!</v>
      </c>
      <c r="FL137" t="e">
        <f>AND(Bills!F529,"AAAAAEf8+6c=")</f>
        <v>#VALUE!</v>
      </c>
      <c r="FM137" t="e">
        <f>AND(Bills!#REF!,"AAAAAEf8+6g=")</f>
        <v>#REF!</v>
      </c>
      <c r="FN137" t="e">
        <f>AND(Bills!G529,"AAAAAEf8+6k=")</f>
        <v>#VALUE!</v>
      </c>
      <c r="FO137" t="e">
        <f>AND(Bills!H529,"AAAAAEf8+6o=")</f>
        <v>#VALUE!</v>
      </c>
      <c r="FP137" t="e">
        <f>AND(Bills!I529,"AAAAAEf8+6s=")</f>
        <v>#VALUE!</v>
      </c>
      <c r="FQ137" t="e">
        <f>AND(Bills!J529,"AAAAAEf8+6w=")</f>
        <v>#VALUE!</v>
      </c>
      <c r="FR137" t="e">
        <f>AND(Bills!K529,"AAAAAEf8+60=")</f>
        <v>#VALUE!</v>
      </c>
      <c r="FS137" t="e">
        <f>AND(Bills!L529,"AAAAAEf8+64=")</f>
        <v>#VALUE!</v>
      </c>
      <c r="FT137" t="e">
        <f>AND(Bills!#REF!,"AAAAAEf8+68=")</f>
        <v>#REF!</v>
      </c>
      <c r="FU137" t="e">
        <f>AND(Bills!M529,"AAAAAEf8+7A=")</f>
        <v>#VALUE!</v>
      </c>
      <c r="FV137" t="e">
        <f>AND(Bills!N529,"AAAAAEf8+7E=")</f>
        <v>#VALUE!</v>
      </c>
      <c r="FW137" t="e">
        <f>AND(Bills!O529,"AAAAAEf8+7I=")</f>
        <v>#VALUE!</v>
      </c>
      <c r="FX137" t="e">
        <f>AND(Bills!P529,"AAAAAEf8+7M=")</f>
        <v>#VALUE!</v>
      </c>
      <c r="FY137" t="e">
        <f>AND(Bills!Q529,"AAAAAEf8+7Q=")</f>
        <v>#VALUE!</v>
      </c>
      <c r="FZ137" t="e">
        <f>AND(Bills!R529,"AAAAAEf8+7U=")</f>
        <v>#VALUE!</v>
      </c>
      <c r="GA137" t="e">
        <f>AND(Bills!S529,"AAAAAEf8+7Y=")</f>
        <v>#VALUE!</v>
      </c>
      <c r="GB137" t="e">
        <f>AND(Bills!T529,"AAAAAEf8+7c=")</f>
        <v>#VALUE!</v>
      </c>
      <c r="GC137" t="e">
        <f>AND(Bills!#REF!,"AAAAAEf8+7g=")</f>
        <v>#REF!</v>
      </c>
      <c r="GD137" t="e">
        <f>AND(Bills!U529,"AAAAAEf8+7k=")</f>
        <v>#VALUE!</v>
      </c>
      <c r="GE137" t="e">
        <f>AND(Bills!V529,"AAAAAEf8+7o=")</f>
        <v>#VALUE!</v>
      </c>
      <c r="GF137" t="e">
        <f>AND(Bills!W529,"AAAAAEf8+7s=")</f>
        <v>#VALUE!</v>
      </c>
      <c r="GG137" t="e">
        <f>AND(Bills!#REF!,"AAAAAEf8+7w=")</f>
        <v>#REF!</v>
      </c>
      <c r="GH137" t="e">
        <f>AND(Bills!#REF!,"AAAAAEf8+70=")</f>
        <v>#REF!</v>
      </c>
      <c r="GI137" t="e">
        <f>AND(Bills!Y529,"AAAAAEf8+74=")</f>
        <v>#VALUE!</v>
      </c>
      <c r="GJ137" t="e">
        <f>AND(Bills!Z529,"AAAAAEf8+78=")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AND(Bills!AA529,"AAAAAEf8+8k=")</f>
        <v>#VALUE!</v>
      </c>
      <c r="GU137" t="e">
        <f>AND(Bills!AB529,"AAAAAEf8+8o=")</f>
        <v>#VALUE!</v>
      </c>
      <c r="GV137" t="e">
        <f>AND(Bills!#REF!,"AAAAAEf8+8s=")</f>
        <v>#REF!</v>
      </c>
      <c r="GW137" t="e">
        <f>AND(Bills!#REF!,"AAAAAEf8+8w=")</f>
        <v>#REF!</v>
      </c>
      <c r="GX137" t="e">
        <f>AND(Bills!#REF!,"AAAAAEf8+80=")</f>
        <v>#REF!</v>
      </c>
      <c r="GY137" t="e">
        <f>AND(Bills!AC529,"AAAAAEf8+84=")</f>
        <v>#VALUE!</v>
      </c>
      <c r="GZ137" t="e">
        <f>AND(Bills!AD529,"AAAAAEf8+88=")</f>
        <v>#VALUE!</v>
      </c>
      <c r="HA137" t="e">
        <f>AND(Bills!#REF!,"AAAAAEf8+9A=")</f>
        <v>#REF!</v>
      </c>
      <c r="HB137">
        <f>IF(Bills!530:530,"AAAAAEf8+9E=",0)</f>
        <v>0</v>
      </c>
      <c r="HC137" t="e">
        <f>AND(Bills!B530,"AAAAAEf8+9I=")</f>
        <v>#VALUE!</v>
      </c>
      <c r="HD137" t="e">
        <f>AND(Bills!#REF!,"AAAAAEf8+9M=")</f>
        <v>#REF!</v>
      </c>
      <c r="HE137" t="e">
        <f>AND(Bills!C530,"AAAAAEf8+9Q=")</f>
        <v>#VALUE!</v>
      </c>
      <c r="HF137" t="e">
        <f>AND(Bills!D530,"AAAAAEf8+9U=")</f>
        <v>#VALUE!</v>
      </c>
      <c r="HG137" t="e">
        <f>AND(Bills!E530,"AAAAAEf8+9Y=")</f>
        <v>#VALUE!</v>
      </c>
      <c r="HH137" t="e">
        <f>AND(Bills!#REF!,"AAAAAEf8+9c=")</f>
        <v>#REF!</v>
      </c>
      <c r="HI137" t="e">
        <f>AND(Bills!#REF!,"AAAAAEf8+9g=")</f>
        <v>#REF!</v>
      </c>
      <c r="HJ137" t="e">
        <f>AND(Bills!#REF!,"AAAAAEf8+9k=")</f>
        <v>#REF!</v>
      </c>
      <c r="HK137" t="e">
        <f>AND(Bills!F530,"AAAAAEf8+9o=")</f>
        <v>#VALUE!</v>
      </c>
      <c r="HL137" t="e">
        <f>AND(Bills!#REF!,"AAAAAEf8+9s=")</f>
        <v>#REF!</v>
      </c>
      <c r="HM137" t="e">
        <f>AND(Bills!G530,"AAAAAEf8+9w=")</f>
        <v>#VALUE!</v>
      </c>
      <c r="HN137" t="e">
        <f>AND(Bills!H530,"AAAAAEf8+90=")</f>
        <v>#VALUE!</v>
      </c>
      <c r="HO137" t="e">
        <f>AND(Bills!I530,"AAAAAEf8+94=")</f>
        <v>#VALUE!</v>
      </c>
      <c r="HP137" t="e">
        <f>AND(Bills!J530,"AAAAAEf8+98=")</f>
        <v>#VALUE!</v>
      </c>
      <c r="HQ137" t="e">
        <f>AND(Bills!K530,"AAAAAEf8++A=")</f>
        <v>#VALUE!</v>
      </c>
      <c r="HR137" t="e">
        <f>AND(Bills!L530,"AAAAAEf8++E=")</f>
        <v>#VALUE!</v>
      </c>
      <c r="HS137" t="e">
        <f>AND(Bills!#REF!,"AAAAAEf8++I=")</f>
        <v>#REF!</v>
      </c>
      <c r="HT137" t="e">
        <f>AND(Bills!M530,"AAAAAEf8++M=")</f>
        <v>#VALUE!</v>
      </c>
      <c r="HU137" t="e">
        <f>AND(Bills!N530,"AAAAAEf8++Q=")</f>
        <v>#VALUE!</v>
      </c>
      <c r="HV137" t="e">
        <f>AND(Bills!O530,"AAAAAEf8++U=")</f>
        <v>#VALUE!</v>
      </c>
      <c r="HW137" t="e">
        <f>AND(Bills!P530,"AAAAAEf8++Y=")</f>
        <v>#VALUE!</v>
      </c>
      <c r="HX137" t="e">
        <f>AND(Bills!Q530,"AAAAAEf8++c=")</f>
        <v>#VALUE!</v>
      </c>
      <c r="HY137" t="e">
        <f>AND(Bills!R530,"AAAAAEf8++g=")</f>
        <v>#VALUE!</v>
      </c>
      <c r="HZ137" t="e">
        <f>AND(Bills!S530,"AAAAAEf8++k=")</f>
        <v>#VALUE!</v>
      </c>
      <c r="IA137" t="e">
        <f>AND(Bills!T530,"AAAAAEf8++o=")</f>
        <v>#VALUE!</v>
      </c>
      <c r="IB137" t="e">
        <f>AND(Bills!#REF!,"AAAAAEf8++s=")</f>
        <v>#REF!</v>
      </c>
      <c r="IC137" t="e">
        <f>AND(Bills!U530,"AAAAAEf8++w=")</f>
        <v>#VALUE!</v>
      </c>
      <c r="ID137" t="e">
        <f>AND(Bills!V530,"AAAAAEf8++0=")</f>
        <v>#VALUE!</v>
      </c>
      <c r="IE137" t="e">
        <f>AND(Bills!W530,"AAAAAEf8++4=")</f>
        <v>#VALUE!</v>
      </c>
      <c r="IF137" t="e">
        <f>AND(Bills!#REF!,"AAAAAEf8++8=")</f>
        <v>#REF!</v>
      </c>
      <c r="IG137" t="e">
        <f>AND(Bills!#REF!,"AAAAAEf8+/A=")</f>
        <v>#REF!</v>
      </c>
      <c r="IH137" t="e">
        <f>AND(Bills!Y530,"AAAAAEf8+/E=")</f>
        <v>#VALUE!</v>
      </c>
      <c r="II137" t="e">
        <f>AND(Bills!Z530,"AAAAAEf8+/I=")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AND(Bills!AA530,"AAAAAEf8+/w=")</f>
        <v>#VALUE!</v>
      </c>
      <c r="IT137" t="e">
        <f>AND(Bills!AB530,"AAAAAEf8+/0=")</f>
        <v>#VALUE!</v>
      </c>
      <c r="IU137" t="e">
        <f>AND(Bills!#REF!,"AAAAAEf8+/4=")</f>
        <v>#REF!</v>
      </c>
      <c r="IV137" t="e">
        <f>AND(Bills!#REF!,"AAAAAEf8+/8=")</f>
        <v>#REF!</v>
      </c>
    </row>
    <row r="138" spans="1:256">
      <c r="A138" t="e">
        <f>AND(Bills!#REF!,"AAAAAHz/XwA=")</f>
        <v>#REF!</v>
      </c>
      <c r="B138" t="e">
        <f>AND(Bills!AC530,"AAAAAHz/XwE=")</f>
        <v>#VALUE!</v>
      </c>
      <c r="C138" t="e">
        <f>AND(Bills!AD530,"AAAAAHz/XwI=")</f>
        <v>#VALUE!</v>
      </c>
      <c r="D138" t="e">
        <f>AND(Bills!#REF!,"AAAAAHz/XwM=")</f>
        <v>#REF!</v>
      </c>
      <c r="E138">
        <f>IF(Bills!531:531,"AAAAAHz/XwQ=",0)</f>
        <v>0</v>
      </c>
      <c r="F138" t="e">
        <f>AND(Bills!B531,"AAAAAHz/XwU=")</f>
        <v>#VALUE!</v>
      </c>
      <c r="G138" t="e">
        <f>AND(Bills!#REF!,"AAAAAHz/XwY=")</f>
        <v>#REF!</v>
      </c>
      <c r="H138" t="e">
        <f>AND(Bills!C531,"AAAAAHz/Xwc=")</f>
        <v>#VALUE!</v>
      </c>
      <c r="I138" t="e">
        <f>AND(Bills!D531,"AAAAAHz/Xwg=")</f>
        <v>#VALUE!</v>
      </c>
      <c r="J138" t="e">
        <f>AND(Bills!E531,"AAAAAHz/Xwk=")</f>
        <v>#VALUE!</v>
      </c>
      <c r="K138" t="e">
        <f>AND(Bills!#REF!,"AAAAAHz/Xwo=")</f>
        <v>#REF!</v>
      </c>
      <c r="L138" t="e">
        <f>AND(Bills!#REF!,"AAAAAHz/Xws=")</f>
        <v>#REF!</v>
      </c>
      <c r="M138" t="e">
        <f>AND(Bills!#REF!,"AAAAAHz/Xww=")</f>
        <v>#REF!</v>
      </c>
      <c r="N138" t="e">
        <f>AND(Bills!F531,"AAAAAHz/Xw0=")</f>
        <v>#VALUE!</v>
      </c>
      <c r="O138" t="e">
        <f>AND(Bills!#REF!,"AAAAAHz/Xw4=")</f>
        <v>#REF!</v>
      </c>
      <c r="P138" t="e">
        <f>AND(Bills!G531,"AAAAAHz/Xw8=")</f>
        <v>#VALUE!</v>
      </c>
      <c r="Q138" t="e">
        <f>AND(Bills!H531,"AAAAAHz/XxA=")</f>
        <v>#VALUE!</v>
      </c>
      <c r="R138" t="e">
        <f>AND(Bills!I531,"AAAAAHz/XxE=")</f>
        <v>#VALUE!</v>
      </c>
      <c r="S138" t="e">
        <f>AND(Bills!J531,"AAAAAHz/XxI=")</f>
        <v>#VALUE!</v>
      </c>
      <c r="T138" t="e">
        <f>AND(Bills!K531,"AAAAAHz/XxM=")</f>
        <v>#VALUE!</v>
      </c>
      <c r="U138" t="e">
        <f>AND(Bills!L531,"AAAAAHz/XxQ=")</f>
        <v>#VALUE!</v>
      </c>
      <c r="V138" t="e">
        <f>AND(Bills!#REF!,"AAAAAHz/XxU=")</f>
        <v>#REF!</v>
      </c>
      <c r="W138" t="e">
        <f>AND(Bills!M531,"AAAAAHz/XxY=")</f>
        <v>#VALUE!</v>
      </c>
      <c r="X138" t="e">
        <f>AND(Bills!N531,"AAAAAHz/Xxc=")</f>
        <v>#VALUE!</v>
      </c>
      <c r="Y138" t="e">
        <f>AND(Bills!O531,"AAAAAHz/Xxg=")</f>
        <v>#VALUE!</v>
      </c>
      <c r="Z138" t="e">
        <f>AND(Bills!P531,"AAAAAHz/Xxk=")</f>
        <v>#VALUE!</v>
      </c>
      <c r="AA138" t="e">
        <f>AND(Bills!Q531,"AAAAAHz/Xxo=")</f>
        <v>#VALUE!</v>
      </c>
      <c r="AB138" t="e">
        <f>AND(Bills!R531,"AAAAAHz/Xxs=")</f>
        <v>#VALUE!</v>
      </c>
      <c r="AC138" t="e">
        <f>AND(Bills!S531,"AAAAAHz/Xxw=")</f>
        <v>#VALUE!</v>
      </c>
      <c r="AD138" t="e">
        <f>AND(Bills!T531,"AAAAAHz/Xx0=")</f>
        <v>#VALUE!</v>
      </c>
      <c r="AE138" t="e">
        <f>AND(Bills!#REF!,"AAAAAHz/Xx4=")</f>
        <v>#REF!</v>
      </c>
      <c r="AF138" t="e">
        <f>AND(Bills!U531,"AAAAAHz/Xx8=")</f>
        <v>#VALUE!</v>
      </c>
      <c r="AG138" t="e">
        <f>AND(Bills!V531,"AAAAAHz/XyA=")</f>
        <v>#VALUE!</v>
      </c>
      <c r="AH138" t="e">
        <f>AND(Bills!W531,"AAAAAHz/XyE=")</f>
        <v>#VALUE!</v>
      </c>
      <c r="AI138" t="e">
        <f>AND(Bills!#REF!,"AAAAAHz/XyI=")</f>
        <v>#REF!</v>
      </c>
      <c r="AJ138" t="e">
        <f>AND(Bills!#REF!,"AAAAAHz/XyM=")</f>
        <v>#REF!</v>
      </c>
      <c r="AK138" t="e">
        <f>AND(Bills!Y531,"AAAAAHz/XyQ=")</f>
        <v>#VALUE!</v>
      </c>
      <c r="AL138" t="e">
        <f>AND(Bills!Z531,"AAAAAHz/XyU=")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AND(Bills!AA531,"AAAAAHz/Xy8=")</f>
        <v>#VALUE!</v>
      </c>
      <c r="AW138" t="e">
        <f>AND(Bills!AB531,"AAAAAHz/XzA=")</f>
        <v>#VALUE!</v>
      </c>
      <c r="AX138" t="e">
        <f>AND(Bills!#REF!,"AAAAAHz/XzE=")</f>
        <v>#REF!</v>
      </c>
      <c r="AY138" t="e">
        <f>AND(Bills!#REF!,"AAAAAHz/XzI=")</f>
        <v>#REF!</v>
      </c>
      <c r="AZ138" t="e">
        <f>AND(Bills!#REF!,"AAAAAHz/XzM=")</f>
        <v>#REF!</v>
      </c>
      <c r="BA138" t="e">
        <f>AND(Bills!AC531,"AAAAAHz/XzQ=")</f>
        <v>#VALUE!</v>
      </c>
      <c r="BB138" t="e">
        <f>AND(Bills!AD531,"AAAAAHz/XzU=")</f>
        <v>#VALUE!</v>
      </c>
      <c r="BC138" t="e">
        <f>AND(Bills!#REF!,"AAAAAHz/XzY=")</f>
        <v>#REF!</v>
      </c>
      <c r="BD138">
        <f>IF(Bills!532:532,"AAAAAHz/Xzc=",0)</f>
        <v>0</v>
      </c>
      <c r="BE138" t="e">
        <f>AND(Bills!B532,"AAAAAHz/Xzg=")</f>
        <v>#VALUE!</v>
      </c>
      <c r="BF138" t="e">
        <f>AND(Bills!#REF!,"AAAAAHz/Xzk=")</f>
        <v>#REF!</v>
      </c>
      <c r="BG138" t="e">
        <f>AND(Bills!C532,"AAAAAHz/Xzo=")</f>
        <v>#VALUE!</v>
      </c>
      <c r="BH138" t="e">
        <f>AND(Bills!D532,"AAAAAHz/Xzs=")</f>
        <v>#VALUE!</v>
      </c>
      <c r="BI138" t="e">
        <f>AND(Bills!E532,"AAAAAHz/Xzw=")</f>
        <v>#VALUE!</v>
      </c>
      <c r="BJ138" t="e">
        <f>AND(Bills!#REF!,"AAAAAHz/Xz0=")</f>
        <v>#REF!</v>
      </c>
      <c r="BK138" t="e">
        <f>AND(Bills!#REF!,"AAAAAHz/Xz4=")</f>
        <v>#REF!</v>
      </c>
      <c r="BL138" t="e">
        <f>AND(Bills!#REF!,"AAAAAHz/Xz8=")</f>
        <v>#REF!</v>
      </c>
      <c r="BM138" t="e">
        <f>AND(Bills!F532,"AAAAAHz/X0A=")</f>
        <v>#VALUE!</v>
      </c>
      <c r="BN138" t="e">
        <f>AND(Bills!#REF!,"AAAAAHz/X0E=")</f>
        <v>#REF!</v>
      </c>
      <c r="BO138" t="e">
        <f>AND(Bills!G532,"AAAAAHz/X0I=")</f>
        <v>#VALUE!</v>
      </c>
      <c r="BP138" t="e">
        <f>AND(Bills!H532,"AAAAAHz/X0M=")</f>
        <v>#VALUE!</v>
      </c>
      <c r="BQ138" t="e">
        <f>AND(Bills!I532,"AAAAAHz/X0Q=")</f>
        <v>#VALUE!</v>
      </c>
      <c r="BR138" t="e">
        <f>AND(Bills!J532,"AAAAAHz/X0U=")</f>
        <v>#VALUE!</v>
      </c>
      <c r="BS138" t="e">
        <f>AND(Bills!K532,"AAAAAHz/X0Y=")</f>
        <v>#VALUE!</v>
      </c>
      <c r="BT138" t="e">
        <f>AND(Bills!L532,"AAAAAHz/X0c=")</f>
        <v>#VALUE!</v>
      </c>
      <c r="BU138" t="e">
        <f>AND(Bills!#REF!,"AAAAAHz/X0g=")</f>
        <v>#REF!</v>
      </c>
      <c r="BV138" t="e">
        <f>AND(Bills!M532,"AAAAAHz/X0k=")</f>
        <v>#VALUE!</v>
      </c>
      <c r="BW138" t="e">
        <f>AND(Bills!N532,"AAAAAHz/X0o=")</f>
        <v>#VALUE!</v>
      </c>
      <c r="BX138" t="e">
        <f>AND(Bills!O532,"AAAAAHz/X0s=")</f>
        <v>#VALUE!</v>
      </c>
      <c r="BY138" t="e">
        <f>AND(Bills!P532,"AAAAAHz/X0w=")</f>
        <v>#VALUE!</v>
      </c>
      <c r="BZ138" t="e">
        <f>AND(Bills!Q532,"AAAAAHz/X00=")</f>
        <v>#VALUE!</v>
      </c>
      <c r="CA138" t="e">
        <f>AND(Bills!R532,"AAAAAHz/X04=")</f>
        <v>#VALUE!</v>
      </c>
      <c r="CB138" t="e">
        <f>AND(Bills!S532,"AAAAAHz/X08=")</f>
        <v>#VALUE!</v>
      </c>
      <c r="CC138" t="e">
        <f>AND(Bills!T532,"AAAAAHz/X1A=")</f>
        <v>#VALUE!</v>
      </c>
      <c r="CD138" t="e">
        <f>AND(Bills!#REF!,"AAAAAHz/X1E=")</f>
        <v>#REF!</v>
      </c>
      <c r="CE138" t="e">
        <f>AND(Bills!U532,"AAAAAHz/X1I=")</f>
        <v>#VALUE!</v>
      </c>
      <c r="CF138" t="e">
        <f>AND(Bills!V532,"AAAAAHz/X1M=")</f>
        <v>#VALUE!</v>
      </c>
      <c r="CG138" t="e">
        <f>AND(Bills!W532,"AAAAAHz/X1Q=")</f>
        <v>#VALUE!</v>
      </c>
      <c r="CH138" t="e">
        <f>AND(Bills!#REF!,"AAAAAHz/X1U=")</f>
        <v>#REF!</v>
      </c>
      <c r="CI138" t="e">
        <f>AND(Bills!#REF!,"AAAAAHz/X1Y=")</f>
        <v>#REF!</v>
      </c>
      <c r="CJ138" t="e">
        <f>AND(Bills!Y532,"AAAAAHz/X1c=")</f>
        <v>#VALUE!</v>
      </c>
      <c r="CK138" t="e">
        <f>AND(Bills!Z532,"AAAAAHz/X1g=")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AND(Bills!AA532,"AAAAAHz/X2I=")</f>
        <v>#VALUE!</v>
      </c>
      <c r="CV138" t="e">
        <f>AND(Bills!AB532,"AAAAAHz/X2M=")</f>
        <v>#VALUE!</v>
      </c>
      <c r="CW138" t="e">
        <f>AND(Bills!#REF!,"AAAAAHz/X2Q=")</f>
        <v>#REF!</v>
      </c>
      <c r="CX138" t="e">
        <f>AND(Bills!#REF!,"AAAAAHz/X2U=")</f>
        <v>#REF!</v>
      </c>
      <c r="CY138" t="e">
        <f>AND(Bills!#REF!,"AAAAAHz/X2Y=")</f>
        <v>#REF!</v>
      </c>
      <c r="CZ138" t="e">
        <f>AND(Bills!AC532,"AAAAAHz/X2c=")</f>
        <v>#VALUE!</v>
      </c>
      <c r="DA138" t="e">
        <f>AND(Bills!AD532,"AAAAAHz/X2g=")</f>
        <v>#VALUE!</v>
      </c>
      <c r="DB138" t="e">
        <f>AND(Bills!#REF!,"AAAAAHz/X2k=")</f>
        <v>#REF!</v>
      </c>
      <c r="DC138">
        <f>IF(Bills!533:533,"AAAAAHz/X2o=",0)</f>
        <v>0</v>
      </c>
      <c r="DD138" t="e">
        <f>AND(Bills!B533,"AAAAAHz/X2s=")</f>
        <v>#VALUE!</v>
      </c>
      <c r="DE138" t="e">
        <f>AND(Bills!#REF!,"AAAAAHz/X2w=")</f>
        <v>#REF!</v>
      </c>
      <c r="DF138" t="e">
        <f>AND(Bills!C533,"AAAAAHz/X20=")</f>
        <v>#VALUE!</v>
      </c>
      <c r="DG138" t="e">
        <f>AND(Bills!D533,"AAAAAHz/X24=")</f>
        <v>#VALUE!</v>
      </c>
      <c r="DH138" t="e">
        <f>AND(Bills!E533,"AAAAAHz/X28=")</f>
        <v>#VALUE!</v>
      </c>
      <c r="DI138" t="e">
        <f>AND(Bills!#REF!,"AAAAAHz/X3A=")</f>
        <v>#REF!</v>
      </c>
      <c r="DJ138" t="e">
        <f>AND(Bills!#REF!,"AAAAAHz/X3E=")</f>
        <v>#REF!</v>
      </c>
      <c r="DK138" t="e">
        <f>AND(Bills!#REF!,"AAAAAHz/X3I=")</f>
        <v>#REF!</v>
      </c>
      <c r="DL138" t="e">
        <f>AND(Bills!F533,"AAAAAHz/X3M=")</f>
        <v>#VALUE!</v>
      </c>
      <c r="DM138" t="e">
        <f>AND(Bills!#REF!,"AAAAAHz/X3Q=")</f>
        <v>#REF!</v>
      </c>
      <c r="DN138" t="e">
        <f>AND(Bills!G533,"AAAAAHz/X3U=")</f>
        <v>#VALUE!</v>
      </c>
      <c r="DO138" t="e">
        <f>AND(Bills!H533,"AAAAAHz/X3Y=")</f>
        <v>#VALUE!</v>
      </c>
      <c r="DP138" t="e">
        <f>AND(Bills!I533,"AAAAAHz/X3c=")</f>
        <v>#VALUE!</v>
      </c>
      <c r="DQ138" t="e">
        <f>AND(Bills!J533,"AAAAAHz/X3g=")</f>
        <v>#VALUE!</v>
      </c>
      <c r="DR138" t="e">
        <f>AND(Bills!K533,"AAAAAHz/X3k=")</f>
        <v>#VALUE!</v>
      </c>
      <c r="DS138" t="e">
        <f>AND(Bills!L533,"AAAAAHz/X3o=")</f>
        <v>#VALUE!</v>
      </c>
      <c r="DT138" t="e">
        <f>AND(Bills!#REF!,"AAAAAHz/X3s=")</f>
        <v>#REF!</v>
      </c>
      <c r="DU138" t="e">
        <f>AND(Bills!M533,"AAAAAHz/X3w=")</f>
        <v>#VALUE!</v>
      </c>
      <c r="DV138" t="e">
        <f>AND(Bills!N533,"AAAAAHz/X30=")</f>
        <v>#VALUE!</v>
      </c>
      <c r="DW138" t="e">
        <f>AND(Bills!O533,"AAAAAHz/X34=")</f>
        <v>#VALUE!</v>
      </c>
      <c r="DX138" t="e">
        <f>AND(Bills!P533,"AAAAAHz/X38=")</f>
        <v>#VALUE!</v>
      </c>
      <c r="DY138" t="e">
        <f>AND(Bills!Q533,"AAAAAHz/X4A=")</f>
        <v>#VALUE!</v>
      </c>
      <c r="DZ138" t="e">
        <f>AND(Bills!R533,"AAAAAHz/X4E=")</f>
        <v>#VALUE!</v>
      </c>
      <c r="EA138" t="e">
        <f>AND(Bills!S533,"AAAAAHz/X4I=")</f>
        <v>#VALUE!</v>
      </c>
      <c r="EB138" t="e">
        <f>AND(Bills!T533,"AAAAAHz/X4M=")</f>
        <v>#VALUE!</v>
      </c>
      <c r="EC138" t="e">
        <f>AND(Bills!#REF!,"AAAAAHz/X4Q=")</f>
        <v>#REF!</v>
      </c>
      <c r="ED138" t="e">
        <f>AND(Bills!U533,"AAAAAHz/X4U=")</f>
        <v>#VALUE!</v>
      </c>
      <c r="EE138" t="e">
        <f>AND(Bills!V533,"AAAAAHz/X4Y=")</f>
        <v>#VALUE!</v>
      </c>
      <c r="EF138" t="e">
        <f>AND(Bills!W533,"AAAAAHz/X4c=")</f>
        <v>#VALUE!</v>
      </c>
      <c r="EG138" t="e">
        <f>AND(Bills!#REF!,"AAAAAHz/X4g=")</f>
        <v>#REF!</v>
      </c>
      <c r="EH138" t="e">
        <f>AND(Bills!#REF!,"AAAAAHz/X4k=")</f>
        <v>#REF!</v>
      </c>
      <c r="EI138" t="e">
        <f>AND(Bills!Y533,"AAAAAHz/X4o=")</f>
        <v>#VALUE!</v>
      </c>
      <c r="EJ138" t="e">
        <f>AND(Bills!Z533,"AAAAAHz/X4s=")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AND(Bills!AA533,"AAAAAHz/X5U=")</f>
        <v>#VALUE!</v>
      </c>
      <c r="EU138" t="e">
        <f>AND(Bills!AB533,"AAAAAHz/X5Y=")</f>
        <v>#VALUE!</v>
      </c>
      <c r="EV138" t="e">
        <f>AND(Bills!#REF!,"AAAAAHz/X5c=")</f>
        <v>#REF!</v>
      </c>
      <c r="EW138" t="e">
        <f>AND(Bills!#REF!,"AAAAAHz/X5g=")</f>
        <v>#REF!</v>
      </c>
      <c r="EX138" t="e">
        <f>AND(Bills!#REF!,"AAAAAHz/X5k=")</f>
        <v>#REF!</v>
      </c>
      <c r="EY138" t="e">
        <f>AND(Bills!AC533,"AAAAAHz/X5o=")</f>
        <v>#VALUE!</v>
      </c>
      <c r="EZ138" t="e">
        <f>AND(Bills!AD533,"AAAAAHz/X5s=")</f>
        <v>#VALUE!</v>
      </c>
      <c r="FA138" t="e">
        <f>AND(Bills!#REF!,"AAAAAHz/X5w=")</f>
        <v>#REF!</v>
      </c>
      <c r="FB138">
        <f>IF(Bills!534:534,"AAAAAHz/X50=",0)</f>
        <v>0</v>
      </c>
      <c r="FC138" t="e">
        <f>AND(Bills!B534,"AAAAAHz/X54=")</f>
        <v>#VALUE!</v>
      </c>
      <c r="FD138" t="e">
        <f>AND(Bills!#REF!,"AAAAAHz/X58=")</f>
        <v>#REF!</v>
      </c>
      <c r="FE138" t="e">
        <f>AND(Bills!C534,"AAAAAHz/X6A=")</f>
        <v>#VALUE!</v>
      </c>
      <c r="FF138" t="e">
        <f>AND(Bills!D534,"AAAAAHz/X6E=")</f>
        <v>#VALUE!</v>
      </c>
      <c r="FG138" t="e">
        <f>AND(Bills!E534,"AAAAAHz/X6I=")</f>
        <v>#VALUE!</v>
      </c>
      <c r="FH138" t="e">
        <f>AND(Bills!#REF!,"AAAAAHz/X6M=")</f>
        <v>#REF!</v>
      </c>
      <c r="FI138" t="e">
        <f>AND(Bills!#REF!,"AAAAAHz/X6Q=")</f>
        <v>#REF!</v>
      </c>
      <c r="FJ138" t="e">
        <f>AND(Bills!#REF!,"AAAAAHz/X6U=")</f>
        <v>#REF!</v>
      </c>
      <c r="FK138" t="e">
        <f>AND(Bills!F534,"AAAAAHz/X6Y=")</f>
        <v>#VALUE!</v>
      </c>
      <c r="FL138" t="e">
        <f>AND(Bills!#REF!,"AAAAAHz/X6c=")</f>
        <v>#REF!</v>
      </c>
      <c r="FM138" t="e">
        <f>AND(Bills!G534,"AAAAAHz/X6g=")</f>
        <v>#VALUE!</v>
      </c>
      <c r="FN138" t="e">
        <f>AND(Bills!H534,"AAAAAHz/X6k=")</f>
        <v>#VALUE!</v>
      </c>
      <c r="FO138" t="e">
        <f>AND(Bills!I534,"AAAAAHz/X6o=")</f>
        <v>#VALUE!</v>
      </c>
      <c r="FP138" t="e">
        <f>AND(Bills!J534,"AAAAAHz/X6s=")</f>
        <v>#VALUE!</v>
      </c>
      <c r="FQ138" t="e">
        <f>AND(Bills!K534,"AAAAAHz/X6w=")</f>
        <v>#VALUE!</v>
      </c>
      <c r="FR138" t="e">
        <f>AND(Bills!L534,"AAAAAHz/X60=")</f>
        <v>#VALUE!</v>
      </c>
      <c r="FS138" t="e">
        <f>AND(Bills!#REF!,"AAAAAHz/X64=")</f>
        <v>#REF!</v>
      </c>
      <c r="FT138" t="e">
        <f>AND(Bills!M534,"AAAAAHz/X68=")</f>
        <v>#VALUE!</v>
      </c>
      <c r="FU138" t="e">
        <f>AND(Bills!N534,"AAAAAHz/X7A=")</f>
        <v>#VALUE!</v>
      </c>
      <c r="FV138" t="e">
        <f>AND(Bills!O534,"AAAAAHz/X7E=")</f>
        <v>#VALUE!</v>
      </c>
      <c r="FW138" t="e">
        <f>AND(Bills!P534,"AAAAAHz/X7I=")</f>
        <v>#VALUE!</v>
      </c>
      <c r="FX138" t="e">
        <f>AND(Bills!Q534,"AAAAAHz/X7M=")</f>
        <v>#VALUE!</v>
      </c>
      <c r="FY138" t="e">
        <f>AND(Bills!R534,"AAAAAHz/X7Q=")</f>
        <v>#VALUE!</v>
      </c>
      <c r="FZ138" t="e">
        <f>AND(Bills!S534,"AAAAAHz/X7U=")</f>
        <v>#VALUE!</v>
      </c>
      <c r="GA138" t="e">
        <f>AND(Bills!T534,"AAAAAHz/X7Y=")</f>
        <v>#VALUE!</v>
      </c>
      <c r="GB138" t="e">
        <f>AND(Bills!#REF!,"AAAAAHz/X7c=")</f>
        <v>#REF!</v>
      </c>
      <c r="GC138" t="e">
        <f>AND(Bills!U534,"AAAAAHz/X7g=")</f>
        <v>#VALUE!</v>
      </c>
      <c r="GD138" t="e">
        <f>AND(Bills!V534,"AAAAAHz/X7k=")</f>
        <v>#VALUE!</v>
      </c>
      <c r="GE138" t="e">
        <f>AND(Bills!W534,"AAAAAHz/X7o=")</f>
        <v>#VALUE!</v>
      </c>
      <c r="GF138" t="e">
        <f>AND(Bills!#REF!,"AAAAAHz/X7s=")</f>
        <v>#REF!</v>
      </c>
      <c r="GG138" t="e">
        <f>AND(Bills!#REF!,"AAAAAHz/X7w=")</f>
        <v>#REF!</v>
      </c>
      <c r="GH138" t="e">
        <f>AND(Bills!Y534,"AAAAAHz/X70=")</f>
        <v>#VALUE!</v>
      </c>
      <c r="GI138" t="e">
        <f>AND(Bills!Z534,"AAAAAHz/X74=")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AND(Bills!AA534,"AAAAAHz/X8g=")</f>
        <v>#VALUE!</v>
      </c>
      <c r="GT138" t="e">
        <f>AND(Bills!AB534,"AAAAAHz/X8k=")</f>
        <v>#VALUE!</v>
      </c>
      <c r="GU138" t="e">
        <f>AND(Bills!#REF!,"AAAAAHz/X8o=")</f>
        <v>#REF!</v>
      </c>
      <c r="GV138" t="e">
        <f>AND(Bills!#REF!,"AAAAAHz/X8s=")</f>
        <v>#REF!</v>
      </c>
      <c r="GW138" t="e">
        <f>AND(Bills!#REF!,"AAAAAHz/X8w=")</f>
        <v>#REF!</v>
      </c>
      <c r="GX138" t="e">
        <f>AND(Bills!AC534,"AAAAAHz/X80=")</f>
        <v>#VALUE!</v>
      </c>
      <c r="GY138" t="e">
        <f>AND(Bills!AD534,"AAAAAHz/X84=")</f>
        <v>#VALUE!</v>
      </c>
      <c r="GZ138" t="e">
        <f>AND(Bills!#REF!,"AAAAAHz/X88=")</f>
        <v>#REF!</v>
      </c>
      <c r="HA138">
        <f>IF(Bills!535:535,"AAAAAHz/X9A=",0)</f>
        <v>0</v>
      </c>
      <c r="HB138" t="e">
        <f>AND(Bills!B535,"AAAAAHz/X9E=")</f>
        <v>#VALUE!</v>
      </c>
      <c r="HC138" t="e">
        <f>AND(Bills!#REF!,"AAAAAHz/X9I=")</f>
        <v>#REF!</v>
      </c>
      <c r="HD138" t="e">
        <f>AND(Bills!C535,"AAAAAHz/X9M=")</f>
        <v>#VALUE!</v>
      </c>
      <c r="HE138" t="e">
        <f>AND(Bills!D535,"AAAAAHz/X9Q=")</f>
        <v>#VALUE!</v>
      </c>
      <c r="HF138" t="e">
        <f>AND(Bills!E535,"AAAAAHz/X9U=")</f>
        <v>#VALUE!</v>
      </c>
      <c r="HG138" t="e">
        <f>AND(Bills!#REF!,"AAAAAHz/X9Y=")</f>
        <v>#REF!</v>
      </c>
      <c r="HH138" t="e">
        <f>AND(Bills!#REF!,"AAAAAHz/X9c=")</f>
        <v>#REF!</v>
      </c>
      <c r="HI138" t="e">
        <f>AND(Bills!#REF!,"AAAAAHz/X9g=")</f>
        <v>#REF!</v>
      </c>
      <c r="HJ138" t="e">
        <f>AND(Bills!F535,"AAAAAHz/X9k=")</f>
        <v>#VALUE!</v>
      </c>
      <c r="HK138" t="e">
        <f>AND(Bills!#REF!,"AAAAAHz/X9o=")</f>
        <v>#REF!</v>
      </c>
      <c r="HL138" t="e">
        <f>AND(Bills!G535,"AAAAAHz/X9s=")</f>
        <v>#VALUE!</v>
      </c>
      <c r="HM138" t="e">
        <f>AND(Bills!H535,"AAAAAHz/X9w=")</f>
        <v>#VALUE!</v>
      </c>
      <c r="HN138" t="e">
        <f>AND(Bills!I535,"AAAAAHz/X90=")</f>
        <v>#VALUE!</v>
      </c>
      <c r="HO138" t="e">
        <f>AND(Bills!J535,"AAAAAHz/X94=")</f>
        <v>#VALUE!</v>
      </c>
      <c r="HP138" t="e">
        <f>AND(Bills!K535,"AAAAAHz/X98=")</f>
        <v>#VALUE!</v>
      </c>
      <c r="HQ138" t="e">
        <f>AND(Bills!L535,"AAAAAHz/X+A=")</f>
        <v>#VALUE!</v>
      </c>
      <c r="HR138" t="e">
        <f>AND(Bills!#REF!,"AAAAAHz/X+E=")</f>
        <v>#REF!</v>
      </c>
      <c r="HS138" t="e">
        <f>AND(Bills!M535,"AAAAAHz/X+I=")</f>
        <v>#VALUE!</v>
      </c>
      <c r="HT138" t="e">
        <f>AND(Bills!N535,"AAAAAHz/X+M=")</f>
        <v>#VALUE!</v>
      </c>
      <c r="HU138" t="e">
        <f>AND(Bills!O535,"AAAAAHz/X+Q=")</f>
        <v>#VALUE!</v>
      </c>
      <c r="HV138" t="e">
        <f>AND(Bills!P535,"AAAAAHz/X+U=")</f>
        <v>#VALUE!</v>
      </c>
      <c r="HW138" t="e">
        <f>AND(Bills!Q535,"AAAAAHz/X+Y=")</f>
        <v>#VALUE!</v>
      </c>
      <c r="HX138" t="e">
        <f>AND(Bills!R535,"AAAAAHz/X+c=")</f>
        <v>#VALUE!</v>
      </c>
      <c r="HY138" t="e">
        <f>AND(Bills!S535,"AAAAAHz/X+g=")</f>
        <v>#VALUE!</v>
      </c>
      <c r="HZ138" t="e">
        <f>AND(Bills!T535,"AAAAAHz/X+k=")</f>
        <v>#VALUE!</v>
      </c>
      <c r="IA138" t="e">
        <f>AND(Bills!#REF!,"AAAAAHz/X+o=")</f>
        <v>#REF!</v>
      </c>
      <c r="IB138" t="e">
        <f>AND(Bills!U535,"AAAAAHz/X+s=")</f>
        <v>#VALUE!</v>
      </c>
      <c r="IC138" t="e">
        <f>AND(Bills!V535,"AAAAAHz/X+w=")</f>
        <v>#VALUE!</v>
      </c>
      <c r="ID138" t="e">
        <f>AND(Bills!W535,"AAAAAHz/X+0=")</f>
        <v>#VALUE!</v>
      </c>
      <c r="IE138" t="e">
        <f>AND(Bills!#REF!,"AAAAAHz/X+4=")</f>
        <v>#REF!</v>
      </c>
      <c r="IF138" t="e">
        <f>AND(Bills!#REF!,"AAAAAHz/X+8=")</f>
        <v>#REF!</v>
      </c>
      <c r="IG138" t="e">
        <f>AND(Bills!Y535,"AAAAAHz/X/A=")</f>
        <v>#VALUE!</v>
      </c>
      <c r="IH138" t="e">
        <f>AND(Bills!Z535,"AAAAAHz/X/E=")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AND(Bills!AA535,"AAAAAHz/X/s=")</f>
        <v>#VALUE!</v>
      </c>
      <c r="IS138" t="e">
        <f>AND(Bills!AB535,"AAAAAHz/X/w=")</f>
        <v>#VALUE!</v>
      </c>
      <c r="IT138" t="e">
        <f>AND(Bills!#REF!,"AAAAAHz/X/0=")</f>
        <v>#REF!</v>
      </c>
      <c r="IU138" t="e">
        <f>AND(Bills!#REF!,"AAAAAHz/X/4=")</f>
        <v>#REF!</v>
      </c>
      <c r="IV138" t="e">
        <f>AND(Bills!#REF!,"AAAAAHz/X/8=")</f>
        <v>#REF!</v>
      </c>
    </row>
    <row r="139" spans="1:256">
      <c r="A139" t="e">
        <f>AND(Bills!AC535,"AAAAAFf99wA=")</f>
        <v>#VALUE!</v>
      </c>
      <c r="B139" t="e">
        <f>AND(Bills!AD535,"AAAAAFf99wE=")</f>
        <v>#VALUE!</v>
      </c>
      <c r="C139" t="e">
        <f>AND(Bills!#REF!,"AAAAAFf99wI=")</f>
        <v>#REF!</v>
      </c>
      <c r="D139">
        <f>IF(Bills!536:536,"AAAAAFf99wM=",0)</f>
        <v>0</v>
      </c>
      <c r="E139" t="e">
        <f>AND(Bills!B536,"AAAAAFf99wQ=")</f>
        <v>#VALUE!</v>
      </c>
      <c r="F139" t="e">
        <f>AND(Bills!#REF!,"AAAAAFf99wU=")</f>
        <v>#REF!</v>
      </c>
      <c r="G139" t="e">
        <f>AND(Bills!C536,"AAAAAFf99wY=")</f>
        <v>#VALUE!</v>
      </c>
      <c r="H139" t="e">
        <f>AND(Bills!D536,"AAAAAFf99wc=")</f>
        <v>#VALUE!</v>
      </c>
      <c r="I139" t="e">
        <f>AND(Bills!E536,"AAAAAFf99wg=")</f>
        <v>#VALUE!</v>
      </c>
      <c r="J139" t="e">
        <f>AND(Bills!#REF!,"AAAAAFf99wk=")</f>
        <v>#REF!</v>
      </c>
      <c r="K139" t="e">
        <f>AND(Bills!#REF!,"AAAAAFf99wo=")</f>
        <v>#REF!</v>
      </c>
      <c r="L139" t="e">
        <f>AND(Bills!#REF!,"AAAAAFf99ws=")</f>
        <v>#REF!</v>
      </c>
      <c r="M139" t="e">
        <f>AND(Bills!F536,"AAAAAFf99ww=")</f>
        <v>#VALUE!</v>
      </c>
      <c r="N139" t="e">
        <f>AND(Bills!#REF!,"AAAAAFf99w0=")</f>
        <v>#REF!</v>
      </c>
      <c r="O139" t="e">
        <f>AND(Bills!G536,"AAAAAFf99w4=")</f>
        <v>#VALUE!</v>
      </c>
      <c r="P139" t="e">
        <f>AND(Bills!H536,"AAAAAFf99w8=")</f>
        <v>#VALUE!</v>
      </c>
      <c r="Q139" t="e">
        <f>AND(Bills!I536,"AAAAAFf99xA=")</f>
        <v>#VALUE!</v>
      </c>
      <c r="R139" t="e">
        <f>AND(Bills!J536,"AAAAAFf99xE=")</f>
        <v>#VALUE!</v>
      </c>
      <c r="S139" t="e">
        <f>AND(Bills!K536,"AAAAAFf99xI=")</f>
        <v>#VALUE!</v>
      </c>
      <c r="T139" t="e">
        <f>AND(Bills!L536,"AAAAAFf99xM=")</f>
        <v>#VALUE!</v>
      </c>
      <c r="U139" t="e">
        <f>AND(Bills!#REF!,"AAAAAFf99xQ=")</f>
        <v>#REF!</v>
      </c>
      <c r="V139" t="e">
        <f>AND(Bills!M536,"AAAAAFf99xU=")</f>
        <v>#VALUE!</v>
      </c>
      <c r="W139" t="e">
        <f>AND(Bills!N536,"AAAAAFf99xY=")</f>
        <v>#VALUE!</v>
      </c>
      <c r="X139" t="e">
        <f>AND(Bills!O536,"AAAAAFf99xc=")</f>
        <v>#VALUE!</v>
      </c>
      <c r="Y139" t="e">
        <f>AND(Bills!P536,"AAAAAFf99xg=")</f>
        <v>#VALUE!</v>
      </c>
      <c r="Z139" t="e">
        <f>AND(Bills!Q536,"AAAAAFf99xk=")</f>
        <v>#VALUE!</v>
      </c>
      <c r="AA139" t="e">
        <f>AND(Bills!R536,"AAAAAFf99xo=")</f>
        <v>#VALUE!</v>
      </c>
      <c r="AB139" t="e">
        <f>AND(Bills!S536,"AAAAAFf99xs=")</f>
        <v>#VALUE!</v>
      </c>
      <c r="AC139" t="e">
        <f>AND(Bills!T536,"AAAAAFf99xw=")</f>
        <v>#VALUE!</v>
      </c>
      <c r="AD139" t="e">
        <f>AND(Bills!#REF!,"AAAAAFf99x0=")</f>
        <v>#REF!</v>
      </c>
      <c r="AE139" t="e">
        <f>AND(Bills!U536,"AAAAAFf99x4=")</f>
        <v>#VALUE!</v>
      </c>
      <c r="AF139" t="e">
        <f>AND(Bills!V536,"AAAAAFf99x8=")</f>
        <v>#VALUE!</v>
      </c>
      <c r="AG139" t="e">
        <f>AND(Bills!W536,"AAAAAFf99yA=")</f>
        <v>#VALUE!</v>
      </c>
      <c r="AH139" t="e">
        <f>AND(Bills!#REF!,"AAAAAFf99yE=")</f>
        <v>#REF!</v>
      </c>
      <c r="AI139" t="e">
        <f>AND(Bills!#REF!,"AAAAAFf99yI=")</f>
        <v>#REF!</v>
      </c>
      <c r="AJ139" t="e">
        <f>AND(Bills!Y536,"AAAAAFf99yM=")</f>
        <v>#VALUE!</v>
      </c>
      <c r="AK139" t="e">
        <f>AND(Bills!Z536,"AAAAAFf99yQ=")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AND(Bills!AA536,"AAAAAFf99y4=")</f>
        <v>#VALUE!</v>
      </c>
      <c r="AV139" t="e">
        <f>AND(Bills!AB536,"AAAAAFf99y8=")</f>
        <v>#VALUE!</v>
      </c>
      <c r="AW139" t="e">
        <f>AND(Bills!#REF!,"AAAAAFf99zA=")</f>
        <v>#REF!</v>
      </c>
      <c r="AX139" t="e">
        <f>AND(Bills!#REF!,"AAAAAFf99zE=")</f>
        <v>#REF!</v>
      </c>
      <c r="AY139" t="e">
        <f>AND(Bills!#REF!,"AAAAAFf99zI=")</f>
        <v>#REF!</v>
      </c>
      <c r="AZ139" t="e">
        <f>AND(Bills!AC536,"AAAAAFf99zM=")</f>
        <v>#VALUE!</v>
      </c>
      <c r="BA139" t="e">
        <f>AND(Bills!AD536,"AAAAAFf99zQ=")</f>
        <v>#VALUE!</v>
      </c>
      <c r="BB139" t="e">
        <f>AND(Bills!#REF!,"AAAAAFf99zU=")</f>
        <v>#REF!</v>
      </c>
      <c r="BC139">
        <f>IF(Bills!537:537,"AAAAAFf99zY=",0)</f>
        <v>0</v>
      </c>
      <c r="BD139" t="e">
        <f>AND(Bills!B537,"AAAAAFf99zc=")</f>
        <v>#VALUE!</v>
      </c>
      <c r="BE139" t="e">
        <f>AND(Bills!#REF!,"AAAAAFf99zg=")</f>
        <v>#REF!</v>
      </c>
      <c r="BF139" t="e">
        <f>AND(Bills!C537,"AAAAAFf99zk=")</f>
        <v>#VALUE!</v>
      </c>
      <c r="BG139" t="e">
        <f>AND(Bills!D537,"AAAAAFf99zo=")</f>
        <v>#VALUE!</v>
      </c>
      <c r="BH139" t="e">
        <f>AND(Bills!E537,"AAAAAFf99zs=")</f>
        <v>#VALUE!</v>
      </c>
      <c r="BI139" t="e">
        <f>AND(Bills!#REF!,"AAAAAFf99zw=")</f>
        <v>#REF!</v>
      </c>
      <c r="BJ139" t="e">
        <f>AND(Bills!#REF!,"AAAAAFf99z0=")</f>
        <v>#REF!</v>
      </c>
      <c r="BK139" t="e">
        <f>AND(Bills!#REF!,"AAAAAFf99z4=")</f>
        <v>#REF!</v>
      </c>
      <c r="BL139" t="e">
        <f>AND(Bills!F537,"AAAAAFf99z8=")</f>
        <v>#VALUE!</v>
      </c>
      <c r="BM139" t="e">
        <f>AND(Bills!#REF!,"AAAAAFf990A=")</f>
        <v>#REF!</v>
      </c>
      <c r="BN139" t="e">
        <f>AND(Bills!G537,"AAAAAFf990E=")</f>
        <v>#VALUE!</v>
      </c>
      <c r="BO139" t="e">
        <f>AND(Bills!H537,"AAAAAFf990I=")</f>
        <v>#VALUE!</v>
      </c>
      <c r="BP139" t="e">
        <f>AND(Bills!I537,"AAAAAFf990M=")</f>
        <v>#VALUE!</v>
      </c>
      <c r="BQ139" t="e">
        <f>AND(Bills!J537,"AAAAAFf990Q=")</f>
        <v>#VALUE!</v>
      </c>
      <c r="BR139" t="e">
        <f>AND(Bills!K537,"AAAAAFf990U=")</f>
        <v>#VALUE!</v>
      </c>
      <c r="BS139" t="e">
        <f>AND(Bills!L537,"AAAAAFf990Y=")</f>
        <v>#VALUE!</v>
      </c>
      <c r="BT139" t="e">
        <f>AND(Bills!#REF!,"AAAAAFf990c=")</f>
        <v>#REF!</v>
      </c>
      <c r="BU139" t="e">
        <f>AND(Bills!M537,"AAAAAFf990g=")</f>
        <v>#VALUE!</v>
      </c>
      <c r="BV139" t="e">
        <f>AND(Bills!N537,"AAAAAFf990k=")</f>
        <v>#VALUE!</v>
      </c>
      <c r="BW139" t="e">
        <f>AND(Bills!O537,"AAAAAFf990o=")</f>
        <v>#VALUE!</v>
      </c>
      <c r="BX139" t="e">
        <f>AND(Bills!P537,"AAAAAFf990s=")</f>
        <v>#VALUE!</v>
      </c>
      <c r="BY139" t="e">
        <f>AND(Bills!Q537,"AAAAAFf990w=")</f>
        <v>#VALUE!</v>
      </c>
      <c r="BZ139" t="e">
        <f>AND(Bills!R537,"AAAAAFf9900=")</f>
        <v>#VALUE!</v>
      </c>
      <c r="CA139" t="e">
        <f>AND(Bills!S537,"AAAAAFf9904=")</f>
        <v>#VALUE!</v>
      </c>
      <c r="CB139" t="e">
        <f>AND(Bills!T537,"AAAAAFf9908=")</f>
        <v>#VALUE!</v>
      </c>
      <c r="CC139" t="e">
        <f>AND(Bills!#REF!,"AAAAAFf991A=")</f>
        <v>#REF!</v>
      </c>
      <c r="CD139" t="e">
        <f>AND(Bills!U537,"AAAAAFf991E=")</f>
        <v>#VALUE!</v>
      </c>
      <c r="CE139" t="e">
        <f>AND(Bills!V537,"AAAAAFf991I=")</f>
        <v>#VALUE!</v>
      </c>
      <c r="CF139" t="e">
        <f>AND(Bills!W537,"AAAAAFf991M=")</f>
        <v>#VALUE!</v>
      </c>
      <c r="CG139" t="e">
        <f>AND(Bills!#REF!,"AAAAAFf991Q=")</f>
        <v>#REF!</v>
      </c>
      <c r="CH139" t="e">
        <f>AND(Bills!#REF!,"AAAAAFf991U=")</f>
        <v>#REF!</v>
      </c>
      <c r="CI139" t="e">
        <f>AND(Bills!Y537,"AAAAAFf991Y=")</f>
        <v>#VALUE!</v>
      </c>
      <c r="CJ139" t="e">
        <f>AND(Bills!Z537,"AAAAAFf991c=")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AND(Bills!AA537,"AAAAAFf992E=")</f>
        <v>#VALUE!</v>
      </c>
      <c r="CU139" t="e">
        <f>AND(Bills!AB537,"AAAAAFf992I=")</f>
        <v>#VALUE!</v>
      </c>
      <c r="CV139" t="e">
        <f>AND(Bills!#REF!,"AAAAAFf992M=")</f>
        <v>#REF!</v>
      </c>
      <c r="CW139" t="e">
        <f>AND(Bills!#REF!,"AAAAAFf992Q=")</f>
        <v>#REF!</v>
      </c>
      <c r="CX139" t="e">
        <f>AND(Bills!#REF!,"AAAAAFf992U=")</f>
        <v>#REF!</v>
      </c>
      <c r="CY139" t="e">
        <f>AND(Bills!AC537,"AAAAAFf992Y=")</f>
        <v>#VALUE!</v>
      </c>
      <c r="CZ139" t="e">
        <f>AND(Bills!AD537,"AAAAAFf992c=")</f>
        <v>#VALUE!</v>
      </c>
      <c r="DA139" t="e">
        <f>AND(Bills!#REF!,"AAAAAFf992g=")</f>
        <v>#REF!</v>
      </c>
      <c r="DB139">
        <f>IF(Bills!538:538,"AAAAAFf992k=",0)</f>
        <v>0</v>
      </c>
      <c r="DC139" t="e">
        <f>AND(Bills!B538,"AAAAAFf992o=")</f>
        <v>#VALUE!</v>
      </c>
      <c r="DD139" t="e">
        <f>AND(Bills!#REF!,"AAAAAFf992s=")</f>
        <v>#REF!</v>
      </c>
      <c r="DE139" t="e">
        <f>AND(Bills!C538,"AAAAAFf992w=")</f>
        <v>#VALUE!</v>
      </c>
      <c r="DF139" t="e">
        <f>AND(Bills!D538,"AAAAAFf9920=")</f>
        <v>#VALUE!</v>
      </c>
      <c r="DG139" t="e">
        <f>AND(Bills!E538,"AAAAAFf9924=")</f>
        <v>#VALUE!</v>
      </c>
      <c r="DH139" t="e">
        <f>AND(Bills!#REF!,"AAAAAFf9928=")</f>
        <v>#REF!</v>
      </c>
      <c r="DI139" t="e">
        <f>AND(Bills!#REF!,"AAAAAFf993A=")</f>
        <v>#REF!</v>
      </c>
      <c r="DJ139" t="e">
        <f>AND(Bills!#REF!,"AAAAAFf993E=")</f>
        <v>#REF!</v>
      </c>
      <c r="DK139" t="e">
        <f>AND(Bills!F538,"AAAAAFf993I=")</f>
        <v>#VALUE!</v>
      </c>
      <c r="DL139" t="e">
        <f>AND(Bills!#REF!,"AAAAAFf993M=")</f>
        <v>#REF!</v>
      </c>
      <c r="DM139" t="e">
        <f>AND(Bills!G538,"AAAAAFf993Q=")</f>
        <v>#VALUE!</v>
      </c>
      <c r="DN139" t="e">
        <f>AND(Bills!H538,"AAAAAFf993U=")</f>
        <v>#VALUE!</v>
      </c>
      <c r="DO139" t="e">
        <f>AND(Bills!I538,"AAAAAFf993Y=")</f>
        <v>#VALUE!</v>
      </c>
      <c r="DP139" t="e">
        <f>AND(Bills!J538,"AAAAAFf993c=")</f>
        <v>#VALUE!</v>
      </c>
      <c r="DQ139" t="e">
        <f>AND(Bills!K538,"AAAAAFf993g=")</f>
        <v>#VALUE!</v>
      </c>
      <c r="DR139" t="e">
        <f>AND(Bills!L538,"AAAAAFf993k=")</f>
        <v>#VALUE!</v>
      </c>
      <c r="DS139" t="e">
        <f>AND(Bills!#REF!,"AAAAAFf993o=")</f>
        <v>#REF!</v>
      </c>
      <c r="DT139" t="e">
        <f>AND(Bills!M538,"AAAAAFf993s=")</f>
        <v>#VALUE!</v>
      </c>
      <c r="DU139" t="e">
        <f>AND(Bills!N538,"AAAAAFf993w=")</f>
        <v>#VALUE!</v>
      </c>
      <c r="DV139" t="e">
        <f>AND(Bills!O538,"AAAAAFf9930=")</f>
        <v>#VALUE!</v>
      </c>
      <c r="DW139" t="e">
        <f>AND(Bills!P538,"AAAAAFf9934=")</f>
        <v>#VALUE!</v>
      </c>
      <c r="DX139" t="e">
        <f>AND(Bills!Q538,"AAAAAFf9938=")</f>
        <v>#VALUE!</v>
      </c>
      <c r="DY139" t="e">
        <f>AND(Bills!R538,"AAAAAFf994A=")</f>
        <v>#VALUE!</v>
      </c>
      <c r="DZ139" t="e">
        <f>AND(Bills!S538,"AAAAAFf994E=")</f>
        <v>#VALUE!</v>
      </c>
      <c r="EA139" t="e">
        <f>AND(Bills!T538,"AAAAAFf994I=")</f>
        <v>#VALUE!</v>
      </c>
      <c r="EB139" t="e">
        <f>AND(Bills!#REF!,"AAAAAFf994M=")</f>
        <v>#REF!</v>
      </c>
      <c r="EC139" t="e">
        <f>AND(Bills!U538,"AAAAAFf994Q=")</f>
        <v>#VALUE!</v>
      </c>
      <c r="ED139" t="e">
        <f>AND(Bills!V538,"AAAAAFf994U=")</f>
        <v>#VALUE!</v>
      </c>
      <c r="EE139" t="e">
        <f>AND(Bills!W538,"AAAAAFf994Y=")</f>
        <v>#VALUE!</v>
      </c>
      <c r="EF139" t="e">
        <f>AND(Bills!#REF!,"AAAAAFf994c=")</f>
        <v>#REF!</v>
      </c>
      <c r="EG139" t="e">
        <f>AND(Bills!#REF!,"AAAAAFf994g=")</f>
        <v>#REF!</v>
      </c>
      <c r="EH139" t="e">
        <f>AND(Bills!Y538,"AAAAAFf994k=")</f>
        <v>#VALUE!</v>
      </c>
      <c r="EI139" t="e">
        <f>AND(Bills!Z538,"AAAAAFf994o=")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AND(Bills!AA538,"AAAAAFf995Q=")</f>
        <v>#VALUE!</v>
      </c>
      <c r="ET139" t="e">
        <f>AND(Bills!AB538,"AAAAAFf995U=")</f>
        <v>#VALUE!</v>
      </c>
      <c r="EU139" t="e">
        <f>AND(Bills!#REF!,"AAAAAFf995Y=")</f>
        <v>#REF!</v>
      </c>
      <c r="EV139" t="e">
        <f>AND(Bills!#REF!,"AAAAAFf995c=")</f>
        <v>#REF!</v>
      </c>
      <c r="EW139" t="e">
        <f>AND(Bills!#REF!,"AAAAAFf995g=")</f>
        <v>#REF!</v>
      </c>
      <c r="EX139" t="e">
        <f>AND(Bills!AC538,"AAAAAFf995k=")</f>
        <v>#VALUE!</v>
      </c>
      <c r="EY139" t="e">
        <f>AND(Bills!AD538,"AAAAAFf995o=")</f>
        <v>#VALUE!</v>
      </c>
      <c r="EZ139" t="e">
        <f>AND(Bills!#REF!,"AAAAAFf995s=")</f>
        <v>#REF!</v>
      </c>
      <c r="FA139">
        <f>IF(Bills!539:539,"AAAAAFf995w=",0)</f>
        <v>0</v>
      </c>
      <c r="FB139" t="e">
        <f>AND(Bills!B539,"AAAAAFf9950=")</f>
        <v>#VALUE!</v>
      </c>
      <c r="FC139" t="e">
        <f>AND(Bills!#REF!,"AAAAAFf9954=")</f>
        <v>#REF!</v>
      </c>
      <c r="FD139" t="e">
        <f>AND(Bills!C539,"AAAAAFf9958=")</f>
        <v>#VALUE!</v>
      </c>
      <c r="FE139" t="e">
        <f>AND(Bills!D539,"AAAAAFf996A=")</f>
        <v>#VALUE!</v>
      </c>
      <c r="FF139" t="e">
        <f>AND(Bills!E539,"AAAAAFf996E=")</f>
        <v>#VALUE!</v>
      </c>
      <c r="FG139" t="e">
        <f>AND(Bills!#REF!,"AAAAAFf996I=")</f>
        <v>#REF!</v>
      </c>
      <c r="FH139" t="e">
        <f>AND(Bills!#REF!,"AAAAAFf996M=")</f>
        <v>#REF!</v>
      </c>
      <c r="FI139" t="e">
        <f>AND(Bills!#REF!,"AAAAAFf996Q=")</f>
        <v>#REF!</v>
      </c>
      <c r="FJ139" t="e">
        <f>AND(Bills!F539,"AAAAAFf996U=")</f>
        <v>#VALUE!</v>
      </c>
      <c r="FK139" t="e">
        <f>AND(Bills!#REF!,"AAAAAFf996Y=")</f>
        <v>#REF!</v>
      </c>
      <c r="FL139" t="e">
        <f>AND(Bills!G539,"AAAAAFf996c=")</f>
        <v>#VALUE!</v>
      </c>
      <c r="FM139" t="e">
        <f>AND(Bills!H539,"AAAAAFf996g=")</f>
        <v>#VALUE!</v>
      </c>
      <c r="FN139" t="e">
        <f>AND(Bills!I539,"AAAAAFf996k=")</f>
        <v>#VALUE!</v>
      </c>
      <c r="FO139" t="e">
        <f>AND(Bills!J539,"AAAAAFf996o=")</f>
        <v>#VALUE!</v>
      </c>
      <c r="FP139" t="e">
        <f>AND(Bills!K539,"AAAAAFf996s=")</f>
        <v>#VALUE!</v>
      </c>
      <c r="FQ139" t="e">
        <f>AND(Bills!L539,"AAAAAFf996w=")</f>
        <v>#VALUE!</v>
      </c>
      <c r="FR139" t="e">
        <f>AND(Bills!#REF!,"AAAAAFf9960=")</f>
        <v>#REF!</v>
      </c>
      <c r="FS139" t="e">
        <f>AND(Bills!M539,"AAAAAFf9964=")</f>
        <v>#VALUE!</v>
      </c>
      <c r="FT139" t="e">
        <f>AND(Bills!N539,"AAAAAFf9968=")</f>
        <v>#VALUE!</v>
      </c>
      <c r="FU139" t="e">
        <f>AND(Bills!O539,"AAAAAFf997A=")</f>
        <v>#VALUE!</v>
      </c>
      <c r="FV139" t="e">
        <f>AND(Bills!P539,"AAAAAFf997E=")</f>
        <v>#VALUE!</v>
      </c>
      <c r="FW139" t="e">
        <f>AND(Bills!Q539,"AAAAAFf997I=")</f>
        <v>#VALUE!</v>
      </c>
      <c r="FX139" t="e">
        <f>AND(Bills!R539,"AAAAAFf997M=")</f>
        <v>#VALUE!</v>
      </c>
      <c r="FY139" t="e">
        <f>AND(Bills!S539,"AAAAAFf997Q=")</f>
        <v>#VALUE!</v>
      </c>
      <c r="FZ139" t="e">
        <f>AND(Bills!T539,"AAAAAFf997U=")</f>
        <v>#VALUE!</v>
      </c>
      <c r="GA139" t="e">
        <f>AND(Bills!#REF!,"AAAAAFf997Y=")</f>
        <v>#REF!</v>
      </c>
      <c r="GB139" t="e">
        <f>AND(Bills!U539,"AAAAAFf997c=")</f>
        <v>#VALUE!</v>
      </c>
      <c r="GC139" t="e">
        <f>AND(Bills!V539,"AAAAAFf997g=")</f>
        <v>#VALUE!</v>
      </c>
      <c r="GD139" t="e">
        <f>AND(Bills!W539,"AAAAAFf997k=")</f>
        <v>#VALUE!</v>
      </c>
      <c r="GE139" t="e">
        <f>AND(Bills!#REF!,"AAAAAFf997o=")</f>
        <v>#REF!</v>
      </c>
      <c r="GF139" t="e">
        <f>AND(Bills!#REF!,"AAAAAFf997s=")</f>
        <v>#REF!</v>
      </c>
      <c r="GG139" t="e">
        <f>AND(Bills!Y539,"AAAAAFf997w=")</f>
        <v>#VALUE!</v>
      </c>
      <c r="GH139" t="e">
        <f>AND(Bills!Z539,"AAAAAFf9970=")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AND(Bills!AA539,"AAAAAFf998c=")</f>
        <v>#VALUE!</v>
      </c>
      <c r="GS139" t="e">
        <f>AND(Bills!AB539,"AAAAAFf998g=")</f>
        <v>#VALUE!</v>
      </c>
      <c r="GT139" t="e">
        <f>AND(Bills!#REF!,"AAAAAFf998k=")</f>
        <v>#REF!</v>
      </c>
      <c r="GU139" t="e">
        <f>AND(Bills!#REF!,"AAAAAFf998o=")</f>
        <v>#REF!</v>
      </c>
      <c r="GV139" t="e">
        <f>AND(Bills!#REF!,"AAAAAFf998s=")</f>
        <v>#REF!</v>
      </c>
      <c r="GW139" t="e">
        <f>AND(Bills!AC539,"AAAAAFf998w=")</f>
        <v>#VALUE!</v>
      </c>
      <c r="GX139" t="e">
        <f>AND(Bills!AD539,"AAAAAFf9980=")</f>
        <v>#VALUE!</v>
      </c>
      <c r="GY139" t="e">
        <f>AND(Bills!#REF!,"AAAAAFf9984=")</f>
        <v>#REF!</v>
      </c>
      <c r="GZ139">
        <f>IF(Bills!540:540,"AAAAAFf9988=",0)</f>
        <v>0</v>
      </c>
      <c r="HA139" t="e">
        <f>AND(Bills!B540,"AAAAAFf999A=")</f>
        <v>#VALUE!</v>
      </c>
      <c r="HB139" t="e">
        <f>AND(Bills!#REF!,"AAAAAFf999E=")</f>
        <v>#REF!</v>
      </c>
      <c r="HC139" t="e">
        <f>AND(Bills!C540,"AAAAAFf999I=")</f>
        <v>#VALUE!</v>
      </c>
      <c r="HD139" t="e">
        <f>AND(Bills!D540,"AAAAAFf999M=")</f>
        <v>#VALUE!</v>
      </c>
      <c r="HE139" t="e">
        <f>AND(Bills!E540,"AAAAAFf999Q=")</f>
        <v>#VALUE!</v>
      </c>
      <c r="HF139" t="e">
        <f>AND(Bills!#REF!,"AAAAAFf999U=")</f>
        <v>#REF!</v>
      </c>
      <c r="HG139" t="e">
        <f>AND(Bills!#REF!,"AAAAAFf999Y=")</f>
        <v>#REF!</v>
      </c>
      <c r="HH139" t="e">
        <f>AND(Bills!#REF!,"AAAAAFf999c=")</f>
        <v>#REF!</v>
      </c>
      <c r="HI139" t="e">
        <f>AND(Bills!F540,"AAAAAFf999g=")</f>
        <v>#VALUE!</v>
      </c>
      <c r="HJ139" t="e">
        <f>AND(Bills!#REF!,"AAAAAFf999k=")</f>
        <v>#REF!</v>
      </c>
      <c r="HK139" t="e">
        <f>AND(Bills!G540,"AAAAAFf999o=")</f>
        <v>#VALUE!</v>
      </c>
      <c r="HL139" t="e">
        <f>AND(Bills!H540,"AAAAAFf999s=")</f>
        <v>#VALUE!</v>
      </c>
      <c r="HM139" t="e">
        <f>AND(Bills!I540,"AAAAAFf999w=")</f>
        <v>#VALUE!</v>
      </c>
      <c r="HN139" t="e">
        <f>AND(Bills!J540,"AAAAAFf9990=")</f>
        <v>#VALUE!</v>
      </c>
      <c r="HO139" t="e">
        <f>AND(Bills!K540,"AAAAAFf9994=")</f>
        <v>#VALUE!</v>
      </c>
      <c r="HP139" t="e">
        <f>AND(Bills!L540,"AAAAAFf9998=")</f>
        <v>#VALUE!</v>
      </c>
      <c r="HQ139" t="e">
        <f>AND(Bills!#REF!,"AAAAAFf99+A=")</f>
        <v>#REF!</v>
      </c>
      <c r="HR139" t="e">
        <f>AND(Bills!M540,"AAAAAFf99+E=")</f>
        <v>#VALUE!</v>
      </c>
      <c r="HS139" t="e">
        <f>AND(Bills!N540,"AAAAAFf99+I=")</f>
        <v>#VALUE!</v>
      </c>
      <c r="HT139" t="e">
        <f>AND(Bills!O540,"AAAAAFf99+M=")</f>
        <v>#VALUE!</v>
      </c>
      <c r="HU139" t="e">
        <f>AND(Bills!P540,"AAAAAFf99+Q=")</f>
        <v>#VALUE!</v>
      </c>
      <c r="HV139" t="e">
        <f>AND(Bills!Q540,"AAAAAFf99+U=")</f>
        <v>#VALUE!</v>
      </c>
      <c r="HW139" t="e">
        <f>AND(Bills!R540,"AAAAAFf99+Y=")</f>
        <v>#VALUE!</v>
      </c>
      <c r="HX139" t="e">
        <f>AND(Bills!S540,"AAAAAFf99+c=")</f>
        <v>#VALUE!</v>
      </c>
      <c r="HY139" t="e">
        <f>AND(Bills!T540,"AAAAAFf99+g=")</f>
        <v>#VALUE!</v>
      </c>
      <c r="HZ139" t="e">
        <f>AND(Bills!#REF!,"AAAAAFf99+k=")</f>
        <v>#REF!</v>
      </c>
      <c r="IA139" t="e">
        <f>AND(Bills!U540,"AAAAAFf99+o=")</f>
        <v>#VALUE!</v>
      </c>
      <c r="IB139" t="e">
        <f>AND(Bills!V540,"AAAAAFf99+s=")</f>
        <v>#VALUE!</v>
      </c>
      <c r="IC139" t="e">
        <f>AND(Bills!W540,"AAAAAFf99+w=")</f>
        <v>#VALUE!</v>
      </c>
      <c r="ID139" t="e">
        <f>AND(Bills!#REF!,"AAAAAFf99+0=")</f>
        <v>#REF!</v>
      </c>
      <c r="IE139" t="e">
        <f>AND(Bills!#REF!,"AAAAAFf99+4=")</f>
        <v>#REF!</v>
      </c>
      <c r="IF139" t="e">
        <f>AND(Bills!Y540,"AAAAAFf99+8=")</f>
        <v>#VALUE!</v>
      </c>
      <c r="IG139" t="e">
        <f>AND(Bills!Z540,"AAAAAFf99/A=")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AND(Bills!AA540,"AAAAAFf99/o=")</f>
        <v>#VALUE!</v>
      </c>
      <c r="IR139" t="e">
        <f>AND(Bills!AB540,"AAAAAFf99/s=")</f>
        <v>#VALUE!</v>
      </c>
      <c r="IS139" t="e">
        <f>AND(Bills!#REF!,"AAAAAFf99/w=")</f>
        <v>#REF!</v>
      </c>
      <c r="IT139" t="e">
        <f>AND(Bills!#REF!,"AAAAAFf99/0=")</f>
        <v>#REF!</v>
      </c>
      <c r="IU139" t="e">
        <f>AND(Bills!#REF!,"AAAAAFf99/4=")</f>
        <v>#REF!</v>
      </c>
      <c r="IV139" t="e">
        <f>AND(Bills!AC540,"AAAAAFf99/8=")</f>
        <v>#VALUE!</v>
      </c>
    </row>
    <row r="140" spans="1:256">
      <c r="A140" t="e">
        <f>AND(Bills!AD540,"AAAAAA/PbQA=")</f>
        <v>#VALUE!</v>
      </c>
      <c r="B140" t="e">
        <f>AND(Bills!#REF!,"AAAAAA/PbQE=")</f>
        <v>#REF!</v>
      </c>
      <c r="C140">
        <f>IF(Bills!541:541,"AAAAAA/PbQI=",0)</f>
        <v>0</v>
      </c>
      <c r="D140" t="e">
        <f>AND(Bills!B541,"AAAAAA/PbQM=")</f>
        <v>#VALUE!</v>
      </c>
      <c r="E140" t="e">
        <f>AND(Bills!#REF!,"AAAAAA/PbQQ=")</f>
        <v>#REF!</v>
      </c>
      <c r="F140" t="e">
        <f>AND(Bills!C541,"AAAAAA/PbQU=")</f>
        <v>#VALUE!</v>
      </c>
      <c r="G140" t="e">
        <f>AND(Bills!D541,"AAAAAA/PbQY=")</f>
        <v>#VALUE!</v>
      </c>
      <c r="H140" t="e">
        <f>AND(Bills!E541,"AAAAAA/PbQc=")</f>
        <v>#VALUE!</v>
      </c>
      <c r="I140" t="e">
        <f>AND(Bills!#REF!,"AAAAAA/PbQg=")</f>
        <v>#REF!</v>
      </c>
      <c r="J140" t="e">
        <f>AND(Bills!#REF!,"AAAAAA/PbQk=")</f>
        <v>#REF!</v>
      </c>
      <c r="K140" t="e">
        <f>AND(Bills!#REF!,"AAAAAA/PbQo=")</f>
        <v>#REF!</v>
      </c>
      <c r="L140" t="e">
        <f>AND(Bills!F541,"AAAAAA/PbQs=")</f>
        <v>#VALUE!</v>
      </c>
      <c r="M140" t="e">
        <f>AND(Bills!#REF!,"AAAAAA/PbQw=")</f>
        <v>#REF!</v>
      </c>
      <c r="N140" t="e">
        <f>AND(Bills!G541,"AAAAAA/PbQ0=")</f>
        <v>#VALUE!</v>
      </c>
      <c r="O140" t="e">
        <f>AND(Bills!H541,"AAAAAA/PbQ4=")</f>
        <v>#VALUE!</v>
      </c>
      <c r="P140" t="e">
        <f>AND(Bills!I541,"AAAAAA/PbQ8=")</f>
        <v>#VALUE!</v>
      </c>
      <c r="Q140" t="e">
        <f>AND(Bills!J541,"AAAAAA/PbRA=")</f>
        <v>#VALUE!</v>
      </c>
      <c r="R140" t="e">
        <f>AND(Bills!K541,"AAAAAA/PbRE=")</f>
        <v>#VALUE!</v>
      </c>
      <c r="S140" t="e">
        <f>AND(Bills!L541,"AAAAAA/PbRI=")</f>
        <v>#VALUE!</v>
      </c>
      <c r="T140" t="e">
        <f>AND(Bills!#REF!,"AAAAAA/PbRM=")</f>
        <v>#REF!</v>
      </c>
      <c r="U140" t="e">
        <f>AND(Bills!M541,"AAAAAA/PbRQ=")</f>
        <v>#VALUE!</v>
      </c>
      <c r="V140" t="e">
        <f>AND(Bills!N541,"AAAAAA/PbRU=")</f>
        <v>#VALUE!</v>
      </c>
      <c r="W140" t="e">
        <f>AND(Bills!O541,"AAAAAA/PbRY=")</f>
        <v>#VALUE!</v>
      </c>
      <c r="X140" t="e">
        <f>AND(Bills!P541,"AAAAAA/PbRc=")</f>
        <v>#VALUE!</v>
      </c>
      <c r="Y140" t="e">
        <f>AND(Bills!Q541,"AAAAAA/PbRg=")</f>
        <v>#VALUE!</v>
      </c>
      <c r="Z140" t="e">
        <f>AND(Bills!R541,"AAAAAA/PbRk=")</f>
        <v>#VALUE!</v>
      </c>
      <c r="AA140" t="e">
        <f>AND(Bills!S541,"AAAAAA/PbRo=")</f>
        <v>#VALUE!</v>
      </c>
      <c r="AB140" t="e">
        <f>AND(Bills!T541,"AAAAAA/PbRs=")</f>
        <v>#VALUE!</v>
      </c>
      <c r="AC140" t="e">
        <f>AND(Bills!#REF!,"AAAAAA/PbRw=")</f>
        <v>#REF!</v>
      </c>
      <c r="AD140" t="e">
        <f>AND(Bills!U541,"AAAAAA/PbR0=")</f>
        <v>#VALUE!</v>
      </c>
      <c r="AE140" t="e">
        <f>AND(Bills!V541,"AAAAAA/PbR4=")</f>
        <v>#VALUE!</v>
      </c>
      <c r="AF140" t="e">
        <f>AND(Bills!W541,"AAAAAA/PbR8=")</f>
        <v>#VALUE!</v>
      </c>
      <c r="AG140" t="e">
        <f>AND(Bills!#REF!,"AAAAAA/PbSA=")</f>
        <v>#REF!</v>
      </c>
      <c r="AH140" t="e">
        <f>AND(Bills!#REF!,"AAAAAA/PbSE=")</f>
        <v>#REF!</v>
      </c>
      <c r="AI140" t="e">
        <f>AND(Bills!Y541,"AAAAAA/PbSI=")</f>
        <v>#VALUE!</v>
      </c>
      <c r="AJ140" t="e">
        <f>AND(Bills!Z541,"AAAAAA/PbSM=")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AND(Bills!AA541,"AAAAAA/PbS0=")</f>
        <v>#VALUE!</v>
      </c>
      <c r="AU140" t="e">
        <f>AND(Bills!AB541,"AAAAAA/PbS4=")</f>
        <v>#VALUE!</v>
      </c>
      <c r="AV140" t="e">
        <f>AND(Bills!#REF!,"AAAAAA/PbS8=")</f>
        <v>#REF!</v>
      </c>
      <c r="AW140" t="e">
        <f>AND(Bills!#REF!,"AAAAAA/PbTA=")</f>
        <v>#REF!</v>
      </c>
      <c r="AX140" t="e">
        <f>AND(Bills!#REF!,"AAAAAA/PbTE=")</f>
        <v>#REF!</v>
      </c>
      <c r="AY140" t="e">
        <f>AND(Bills!AC541,"AAAAAA/PbTI=")</f>
        <v>#VALUE!</v>
      </c>
      <c r="AZ140" t="e">
        <f>AND(Bills!AD541,"AAAAAA/PbTM=")</f>
        <v>#VALUE!</v>
      </c>
      <c r="BA140" t="e">
        <f>AND(Bills!#REF!,"AAAAAA/PbTQ=")</f>
        <v>#REF!</v>
      </c>
      <c r="BB140">
        <f>IF(Bills!542:542,"AAAAAA/PbTU=",0)</f>
        <v>0</v>
      </c>
      <c r="BC140" t="e">
        <f>AND(Bills!B542,"AAAAAA/PbTY=")</f>
        <v>#VALUE!</v>
      </c>
      <c r="BD140" t="e">
        <f>AND(Bills!#REF!,"AAAAAA/PbTc=")</f>
        <v>#REF!</v>
      </c>
      <c r="BE140" t="e">
        <f>AND(Bills!C542,"AAAAAA/PbTg=")</f>
        <v>#VALUE!</v>
      </c>
      <c r="BF140" t="e">
        <f>AND(Bills!D542,"AAAAAA/PbTk=")</f>
        <v>#VALUE!</v>
      </c>
      <c r="BG140" t="e">
        <f>AND(Bills!E542,"AAAAAA/PbTo=")</f>
        <v>#VALUE!</v>
      </c>
      <c r="BH140" t="e">
        <f>AND(Bills!#REF!,"AAAAAA/PbTs=")</f>
        <v>#REF!</v>
      </c>
      <c r="BI140" t="e">
        <f>AND(Bills!#REF!,"AAAAAA/PbTw=")</f>
        <v>#REF!</v>
      </c>
      <c r="BJ140" t="e">
        <f>AND(Bills!#REF!,"AAAAAA/PbT0=")</f>
        <v>#REF!</v>
      </c>
      <c r="BK140" t="e">
        <f>AND(Bills!F542,"AAAAAA/PbT4=")</f>
        <v>#VALUE!</v>
      </c>
      <c r="BL140" t="e">
        <f>AND(Bills!#REF!,"AAAAAA/PbT8=")</f>
        <v>#REF!</v>
      </c>
      <c r="BM140" t="e">
        <f>AND(Bills!G542,"AAAAAA/PbUA=")</f>
        <v>#VALUE!</v>
      </c>
      <c r="BN140" t="e">
        <f>AND(Bills!H542,"AAAAAA/PbUE=")</f>
        <v>#VALUE!</v>
      </c>
      <c r="BO140" t="e">
        <f>AND(Bills!I542,"AAAAAA/PbUI=")</f>
        <v>#VALUE!</v>
      </c>
      <c r="BP140" t="e">
        <f>AND(Bills!J542,"AAAAAA/PbUM=")</f>
        <v>#VALUE!</v>
      </c>
      <c r="BQ140" t="e">
        <f>AND(Bills!K542,"AAAAAA/PbUQ=")</f>
        <v>#VALUE!</v>
      </c>
      <c r="BR140" t="e">
        <f>AND(Bills!L542,"AAAAAA/PbUU=")</f>
        <v>#VALUE!</v>
      </c>
      <c r="BS140" t="e">
        <f>AND(Bills!#REF!,"AAAAAA/PbUY=")</f>
        <v>#REF!</v>
      </c>
      <c r="BT140" t="e">
        <f>AND(Bills!M542,"AAAAAA/PbUc=")</f>
        <v>#VALUE!</v>
      </c>
      <c r="BU140" t="e">
        <f>AND(Bills!N542,"AAAAAA/PbUg=")</f>
        <v>#VALUE!</v>
      </c>
      <c r="BV140" t="e">
        <f>AND(Bills!O542,"AAAAAA/PbUk=")</f>
        <v>#VALUE!</v>
      </c>
      <c r="BW140" t="e">
        <f>AND(Bills!P542,"AAAAAA/PbUo=")</f>
        <v>#VALUE!</v>
      </c>
      <c r="BX140" t="e">
        <f>AND(Bills!Q542,"AAAAAA/PbUs=")</f>
        <v>#VALUE!</v>
      </c>
      <c r="BY140" t="e">
        <f>AND(Bills!R542,"AAAAAA/PbUw=")</f>
        <v>#VALUE!</v>
      </c>
      <c r="BZ140" t="e">
        <f>AND(Bills!S542,"AAAAAA/PbU0=")</f>
        <v>#VALUE!</v>
      </c>
      <c r="CA140" t="e">
        <f>AND(Bills!T542,"AAAAAA/PbU4=")</f>
        <v>#VALUE!</v>
      </c>
      <c r="CB140" t="e">
        <f>AND(Bills!#REF!,"AAAAAA/PbU8=")</f>
        <v>#REF!</v>
      </c>
      <c r="CC140" t="e">
        <f>AND(Bills!U542,"AAAAAA/PbVA=")</f>
        <v>#VALUE!</v>
      </c>
      <c r="CD140" t="e">
        <f>AND(Bills!V542,"AAAAAA/PbVE=")</f>
        <v>#VALUE!</v>
      </c>
      <c r="CE140" t="e">
        <f>AND(Bills!W542,"AAAAAA/PbVI=")</f>
        <v>#VALUE!</v>
      </c>
      <c r="CF140" t="e">
        <f>AND(Bills!#REF!,"AAAAAA/PbVM=")</f>
        <v>#REF!</v>
      </c>
      <c r="CG140" t="e">
        <f>AND(Bills!#REF!,"AAAAAA/PbVQ=")</f>
        <v>#REF!</v>
      </c>
      <c r="CH140" t="e">
        <f>AND(Bills!Y542,"AAAAAA/PbVU=")</f>
        <v>#VALUE!</v>
      </c>
      <c r="CI140" t="e">
        <f>AND(Bills!Z542,"AAAAAA/PbVY=")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AND(Bills!AA542,"AAAAAA/PbWA=")</f>
        <v>#VALUE!</v>
      </c>
      <c r="CT140" t="e">
        <f>AND(Bills!AB542,"AAAAAA/PbWE=")</f>
        <v>#VALUE!</v>
      </c>
      <c r="CU140" t="e">
        <f>AND(Bills!#REF!,"AAAAAA/PbWI=")</f>
        <v>#REF!</v>
      </c>
      <c r="CV140" t="e">
        <f>AND(Bills!#REF!,"AAAAAA/PbWM=")</f>
        <v>#REF!</v>
      </c>
      <c r="CW140" t="e">
        <f>AND(Bills!#REF!,"AAAAAA/PbWQ=")</f>
        <v>#REF!</v>
      </c>
      <c r="CX140" t="e">
        <f>AND(Bills!AC542,"AAAAAA/PbWU=")</f>
        <v>#VALUE!</v>
      </c>
      <c r="CY140" t="e">
        <f>AND(Bills!AD542,"AAAAAA/PbWY=")</f>
        <v>#VALUE!</v>
      </c>
      <c r="CZ140" t="e">
        <f>AND(Bills!#REF!,"AAAAAA/PbWc=")</f>
        <v>#REF!</v>
      </c>
      <c r="DA140">
        <f>IF(Bills!543:543,"AAAAAA/PbWg=",0)</f>
        <v>0</v>
      </c>
      <c r="DB140" t="e">
        <f>AND(Bills!B543,"AAAAAA/PbWk=")</f>
        <v>#VALUE!</v>
      </c>
      <c r="DC140" t="e">
        <f>AND(Bills!#REF!,"AAAAAA/PbWo=")</f>
        <v>#REF!</v>
      </c>
      <c r="DD140" t="e">
        <f>AND(Bills!C543,"AAAAAA/PbWs=")</f>
        <v>#VALUE!</v>
      </c>
      <c r="DE140" t="e">
        <f>AND(Bills!D543,"AAAAAA/PbWw=")</f>
        <v>#VALUE!</v>
      </c>
      <c r="DF140" t="e">
        <f>AND(Bills!E543,"AAAAAA/PbW0=")</f>
        <v>#VALUE!</v>
      </c>
      <c r="DG140" t="e">
        <f>AND(Bills!#REF!,"AAAAAA/PbW4=")</f>
        <v>#REF!</v>
      </c>
      <c r="DH140" t="e">
        <f>AND(Bills!#REF!,"AAAAAA/PbW8=")</f>
        <v>#REF!</v>
      </c>
      <c r="DI140" t="e">
        <f>AND(Bills!#REF!,"AAAAAA/PbXA=")</f>
        <v>#REF!</v>
      </c>
      <c r="DJ140" t="e">
        <f>AND(Bills!F543,"AAAAAA/PbXE=")</f>
        <v>#VALUE!</v>
      </c>
      <c r="DK140" t="e">
        <f>AND(Bills!#REF!,"AAAAAA/PbXI=")</f>
        <v>#REF!</v>
      </c>
      <c r="DL140" t="e">
        <f>AND(Bills!G543,"AAAAAA/PbXM=")</f>
        <v>#VALUE!</v>
      </c>
      <c r="DM140" t="e">
        <f>AND(Bills!H543,"AAAAAA/PbXQ=")</f>
        <v>#VALUE!</v>
      </c>
      <c r="DN140" t="e">
        <f>AND(Bills!I543,"AAAAAA/PbXU=")</f>
        <v>#VALUE!</v>
      </c>
      <c r="DO140" t="e">
        <f>AND(Bills!J543,"AAAAAA/PbXY=")</f>
        <v>#VALUE!</v>
      </c>
      <c r="DP140" t="e">
        <f>AND(Bills!K543,"AAAAAA/PbXc=")</f>
        <v>#VALUE!</v>
      </c>
      <c r="DQ140" t="e">
        <f>AND(Bills!L543,"AAAAAA/PbXg=")</f>
        <v>#VALUE!</v>
      </c>
      <c r="DR140" t="e">
        <f>AND(Bills!#REF!,"AAAAAA/PbXk=")</f>
        <v>#REF!</v>
      </c>
      <c r="DS140" t="e">
        <f>AND(Bills!M543,"AAAAAA/PbXo=")</f>
        <v>#VALUE!</v>
      </c>
      <c r="DT140" t="e">
        <f>AND(Bills!N543,"AAAAAA/PbXs=")</f>
        <v>#VALUE!</v>
      </c>
      <c r="DU140" t="e">
        <f>AND(Bills!O543,"AAAAAA/PbXw=")</f>
        <v>#VALUE!</v>
      </c>
      <c r="DV140" t="e">
        <f>AND(Bills!P543,"AAAAAA/PbX0=")</f>
        <v>#VALUE!</v>
      </c>
      <c r="DW140" t="e">
        <f>AND(Bills!Q543,"AAAAAA/PbX4=")</f>
        <v>#VALUE!</v>
      </c>
      <c r="DX140" t="e">
        <f>AND(Bills!R543,"AAAAAA/PbX8=")</f>
        <v>#VALUE!</v>
      </c>
      <c r="DY140" t="e">
        <f>AND(Bills!S543,"AAAAAA/PbYA=")</f>
        <v>#VALUE!</v>
      </c>
      <c r="DZ140" t="e">
        <f>AND(Bills!T543,"AAAAAA/PbYE=")</f>
        <v>#VALUE!</v>
      </c>
      <c r="EA140" t="e">
        <f>AND(Bills!#REF!,"AAAAAA/PbYI=")</f>
        <v>#REF!</v>
      </c>
      <c r="EB140" t="e">
        <f>AND(Bills!U543,"AAAAAA/PbYM=")</f>
        <v>#VALUE!</v>
      </c>
      <c r="EC140" t="e">
        <f>AND(Bills!V543,"AAAAAA/PbYQ=")</f>
        <v>#VALUE!</v>
      </c>
      <c r="ED140" t="e">
        <f>AND(Bills!W543,"AAAAAA/PbYU=")</f>
        <v>#VALUE!</v>
      </c>
      <c r="EE140" t="e">
        <f>AND(Bills!#REF!,"AAAAAA/PbYY=")</f>
        <v>#REF!</v>
      </c>
      <c r="EF140" t="e">
        <f>AND(Bills!#REF!,"AAAAAA/PbYc=")</f>
        <v>#REF!</v>
      </c>
      <c r="EG140" t="e">
        <f>AND(Bills!Y543,"AAAAAA/PbYg=")</f>
        <v>#VALUE!</v>
      </c>
      <c r="EH140" t="e">
        <f>AND(Bills!Z543,"AAAAAA/PbYk=")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AND(Bills!AA543,"AAAAAA/PbZM=")</f>
        <v>#VALUE!</v>
      </c>
      <c r="ES140" t="e">
        <f>AND(Bills!AB543,"AAAAAA/PbZQ=")</f>
        <v>#VALUE!</v>
      </c>
      <c r="ET140" t="e">
        <f>AND(Bills!#REF!,"AAAAAA/PbZU=")</f>
        <v>#REF!</v>
      </c>
      <c r="EU140" t="e">
        <f>AND(Bills!#REF!,"AAAAAA/PbZY=")</f>
        <v>#REF!</v>
      </c>
      <c r="EV140" t="e">
        <f>AND(Bills!#REF!,"AAAAAA/PbZc=")</f>
        <v>#REF!</v>
      </c>
      <c r="EW140" t="e">
        <f>AND(Bills!AC543,"AAAAAA/PbZg=")</f>
        <v>#VALUE!</v>
      </c>
      <c r="EX140" t="e">
        <f>AND(Bills!AD543,"AAAAAA/PbZk=")</f>
        <v>#VALUE!</v>
      </c>
      <c r="EY140" t="e">
        <f>AND(Bills!#REF!,"AAAAAA/PbZo=")</f>
        <v>#REF!</v>
      </c>
      <c r="EZ140">
        <f>IF(Bills!544:544,"AAAAAA/PbZs=",0)</f>
        <v>0</v>
      </c>
      <c r="FA140" t="e">
        <f>AND(Bills!B544,"AAAAAA/PbZw=")</f>
        <v>#VALUE!</v>
      </c>
      <c r="FB140" t="e">
        <f>AND(Bills!#REF!,"AAAAAA/PbZ0=")</f>
        <v>#REF!</v>
      </c>
      <c r="FC140" t="e">
        <f>AND(Bills!C544,"AAAAAA/PbZ4=")</f>
        <v>#VALUE!</v>
      </c>
      <c r="FD140" t="e">
        <f>AND(Bills!D544,"AAAAAA/PbZ8=")</f>
        <v>#VALUE!</v>
      </c>
      <c r="FE140" t="e">
        <f>AND(Bills!E544,"AAAAAA/PbaA=")</f>
        <v>#VALUE!</v>
      </c>
      <c r="FF140" t="e">
        <f>AND(Bills!#REF!,"AAAAAA/PbaE=")</f>
        <v>#REF!</v>
      </c>
      <c r="FG140" t="e">
        <f>AND(Bills!#REF!,"AAAAAA/PbaI=")</f>
        <v>#REF!</v>
      </c>
      <c r="FH140" t="e">
        <f>AND(Bills!#REF!,"AAAAAA/PbaM=")</f>
        <v>#REF!</v>
      </c>
      <c r="FI140" t="e">
        <f>AND(Bills!F544,"AAAAAA/PbaQ=")</f>
        <v>#VALUE!</v>
      </c>
      <c r="FJ140" t="e">
        <f>AND(Bills!#REF!,"AAAAAA/PbaU=")</f>
        <v>#REF!</v>
      </c>
      <c r="FK140" t="e">
        <f>AND(Bills!G544,"AAAAAA/PbaY=")</f>
        <v>#VALUE!</v>
      </c>
      <c r="FL140" t="e">
        <f>AND(Bills!H544,"AAAAAA/Pbac=")</f>
        <v>#VALUE!</v>
      </c>
      <c r="FM140" t="e">
        <f>AND(Bills!I544,"AAAAAA/Pbag=")</f>
        <v>#VALUE!</v>
      </c>
      <c r="FN140" t="e">
        <f>AND(Bills!J544,"AAAAAA/Pbak=")</f>
        <v>#VALUE!</v>
      </c>
      <c r="FO140" t="e">
        <f>AND(Bills!K544,"AAAAAA/Pbao=")</f>
        <v>#VALUE!</v>
      </c>
      <c r="FP140" t="e">
        <f>AND(Bills!L544,"AAAAAA/Pbas=")</f>
        <v>#VALUE!</v>
      </c>
      <c r="FQ140" t="e">
        <f>AND(Bills!#REF!,"AAAAAA/Pbaw=")</f>
        <v>#REF!</v>
      </c>
      <c r="FR140" t="e">
        <f>AND(Bills!M544,"AAAAAA/Pba0=")</f>
        <v>#VALUE!</v>
      </c>
      <c r="FS140" t="e">
        <f>AND(Bills!N544,"AAAAAA/Pba4=")</f>
        <v>#VALUE!</v>
      </c>
      <c r="FT140" t="e">
        <f>AND(Bills!O544,"AAAAAA/Pba8=")</f>
        <v>#VALUE!</v>
      </c>
      <c r="FU140" t="e">
        <f>AND(Bills!P544,"AAAAAA/PbbA=")</f>
        <v>#VALUE!</v>
      </c>
      <c r="FV140" t="e">
        <f>AND(Bills!Q544,"AAAAAA/PbbE=")</f>
        <v>#VALUE!</v>
      </c>
      <c r="FW140" t="e">
        <f>AND(Bills!R544,"AAAAAA/PbbI=")</f>
        <v>#VALUE!</v>
      </c>
      <c r="FX140" t="e">
        <f>AND(Bills!S544,"AAAAAA/PbbM=")</f>
        <v>#VALUE!</v>
      </c>
      <c r="FY140" t="e">
        <f>AND(Bills!T544,"AAAAAA/PbbQ=")</f>
        <v>#VALUE!</v>
      </c>
      <c r="FZ140" t="e">
        <f>AND(Bills!#REF!,"AAAAAA/PbbU=")</f>
        <v>#REF!</v>
      </c>
      <c r="GA140" t="e">
        <f>AND(Bills!U544,"AAAAAA/PbbY=")</f>
        <v>#VALUE!</v>
      </c>
      <c r="GB140" t="e">
        <f>AND(Bills!V544,"AAAAAA/Pbbc=")</f>
        <v>#VALUE!</v>
      </c>
      <c r="GC140" t="e">
        <f>AND(Bills!W544,"AAAAAA/Pbbg=")</f>
        <v>#VALUE!</v>
      </c>
      <c r="GD140" t="e">
        <f>AND(Bills!#REF!,"AAAAAA/Pbbk=")</f>
        <v>#REF!</v>
      </c>
      <c r="GE140" t="e">
        <f>AND(Bills!#REF!,"AAAAAA/Pbbo=")</f>
        <v>#REF!</v>
      </c>
      <c r="GF140" t="e">
        <f>AND(Bills!Y544,"AAAAAA/Pbbs=")</f>
        <v>#VALUE!</v>
      </c>
      <c r="GG140" t="e">
        <f>AND(Bills!Z544,"AAAAAA/Pbbw=")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AND(Bills!AA544,"AAAAAA/PbcY=")</f>
        <v>#VALUE!</v>
      </c>
      <c r="GR140" t="e">
        <f>AND(Bills!AB544,"AAAAAA/Pbcc=")</f>
        <v>#VALUE!</v>
      </c>
      <c r="GS140" t="e">
        <f>AND(Bills!#REF!,"AAAAAA/Pbcg=")</f>
        <v>#REF!</v>
      </c>
      <c r="GT140" t="e">
        <f>AND(Bills!#REF!,"AAAAAA/Pbck=")</f>
        <v>#REF!</v>
      </c>
      <c r="GU140" t="e">
        <f>AND(Bills!#REF!,"AAAAAA/Pbco=")</f>
        <v>#REF!</v>
      </c>
      <c r="GV140" t="e">
        <f>AND(Bills!AC544,"AAAAAA/Pbcs=")</f>
        <v>#VALUE!</v>
      </c>
      <c r="GW140" t="e">
        <f>AND(Bills!AD544,"AAAAAA/Pbcw=")</f>
        <v>#VALUE!</v>
      </c>
      <c r="GX140" t="e">
        <f>AND(Bills!#REF!,"AAAAAA/Pbc0=")</f>
        <v>#REF!</v>
      </c>
      <c r="GY140">
        <f>IF(Bills!545:545,"AAAAAA/Pbc4=",0)</f>
        <v>0</v>
      </c>
      <c r="GZ140" t="e">
        <f>AND(Bills!B545,"AAAAAA/Pbc8=")</f>
        <v>#VALUE!</v>
      </c>
      <c r="HA140" t="e">
        <f>AND(Bills!#REF!,"AAAAAA/PbdA=")</f>
        <v>#REF!</v>
      </c>
      <c r="HB140" t="e">
        <f>AND(Bills!C545,"AAAAAA/PbdE=")</f>
        <v>#VALUE!</v>
      </c>
      <c r="HC140" t="e">
        <f>AND(Bills!D545,"AAAAAA/PbdI=")</f>
        <v>#VALUE!</v>
      </c>
      <c r="HD140" t="e">
        <f>AND(Bills!E545,"AAAAAA/PbdM=")</f>
        <v>#VALUE!</v>
      </c>
      <c r="HE140" t="e">
        <f>AND(Bills!#REF!,"AAAAAA/PbdQ=")</f>
        <v>#REF!</v>
      </c>
      <c r="HF140" t="e">
        <f>AND(Bills!#REF!,"AAAAAA/PbdU=")</f>
        <v>#REF!</v>
      </c>
      <c r="HG140" t="e">
        <f>AND(Bills!#REF!,"AAAAAA/PbdY=")</f>
        <v>#REF!</v>
      </c>
      <c r="HH140" t="e">
        <f>AND(Bills!F545,"AAAAAA/Pbdc=")</f>
        <v>#VALUE!</v>
      </c>
      <c r="HI140" t="e">
        <f>AND(Bills!#REF!,"AAAAAA/Pbdg=")</f>
        <v>#REF!</v>
      </c>
      <c r="HJ140" t="e">
        <f>AND(Bills!G545,"AAAAAA/Pbdk=")</f>
        <v>#VALUE!</v>
      </c>
      <c r="HK140" t="e">
        <f>AND(Bills!H545,"AAAAAA/Pbdo=")</f>
        <v>#VALUE!</v>
      </c>
      <c r="HL140" t="e">
        <f>AND(Bills!I545,"AAAAAA/Pbds=")</f>
        <v>#VALUE!</v>
      </c>
      <c r="HM140" t="e">
        <f>AND(Bills!J545,"AAAAAA/Pbdw=")</f>
        <v>#VALUE!</v>
      </c>
      <c r="HN140" t="e">
        <f>AND(Bills!K545,"AAAAAA/Pbd0=")</f>
        <v>#VALUE!</v>
      </c>
      <c r="HO140" t="e">
        <f>AND(Bills!L545,"AAAAAA/Pbd4=")</f>
        <v>#VALUE!</v>
      </c>
      <c r="HP140" t="e">
        <f>AND(Bills!#REF!,"AAAAAA/Pbd8=")</f>
        <v>#REF!</v>
      </c>
      <c r="HQ140" t="e">
        <f>AND(Bills!M545,"AAAAAA/PbeA=")</f>
        <v>#VALUE!</v>
      </c>
      <c r="HR140" t="e">
        <f>AND(Bills!N545,"AAAAAA/PbeE=")</f>
        <v>#VALUE!</v>
      </c>
      <c r="HS140" t="e">
        <f>AND(Bills!O545,"AAAAAA/PbeI=")</f>
        <v>#VALUE!</v>
      </c>
      <c r="HT140" t="e">
        <f>AND(Bills!P545,"AAAAAA/PbeM=")</f>
        <v>#VALUE!</v>
      </c>
      <c r="HU140" t="e">
        <f>AND(Bills!Q545,"AAAAAA/PbeQ=")</f>
        <v>#VALUE!</v>
      </c>
      <c r="HV140" t="e">
        <f>AND(Bills!R545,"AAAAAA/PbeU=")</f>
        <v>#VALUE!</v>
      </c>
      <c r="HW140" t="e">
        <f>AND(Bills!S545,"AAAAAA/PbeY=")</f>
        <v>#VALUE!</v>
      </c>
      <c r="HX140" t="e">
        <f>AND(Bills!T545,"AAAAAA/Pbec=")</f>
        <v>#VALUE!</v>
      </c>
      <c r="HY140" t="e">
        <f>AND(Bills!#REF!,"AAAAAA/Pbeg=")</f>
        <v>#REF!</v>
      </c>
      <c r="HZ140" t="e">
        <f>AND(Bills!U545,"AAAAAA/Pbek=")</f>
        <v>#VALUE!</v>
      </c>
      <c r="IA140" t="e">
        <f>AND(Bills!V545,"AAAAAA/Pbeo=")</f>
        <v>#VALUE!</v>
      </c>
      <c r="IB140" t="e">
        <f>AND(Bills!W545,"AAAAAA/Pbes=")</f>
        <v>#VALUE!</v>
      </c>
      <c r="IC140" t="e">
        <f>AND(Bills!#REF!,"AAAAAA/Pbew=")</f>
        <v>#REF!</v>
      </c>
      <c r="ID140" t="e">
        <f>AND(Bills!#REF!,"AAAAAA/Pbe0=")</f>
        <v>#REF!</v>
      </c>
      <c r="IE140" t="e">
        <f>AND(Bills!Y545,"AAAAAA/Pbe4=")</f>
        <v>#VALUE!</v>
      </c>
      <c r="IF140" t="e">
        <f>AND(Bills!Z545,"AAAAAA/Pbe8=")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AND(Bills!AA545,"AAAAAA/Pbfk=")</f>
        <v>#VALUE!</v>
      </c>
      <c r="IQ140" t="e">
        <f>AND(Bills!AB545,"AAAAAA/Pbfo=")</f>
        <v>#VALUE!</v>
      </c>
      <c r="IR140" t="e">
        <f>AND(Bills!#REF!,"AAAAAA/Pbfs=")</f>
        <v>#REF!</v>
      </c>
      <c r="IS140" t="e">
        <f>AND(Bills!#REF!,"AAAAAA/Pbfw=")</f>
        <v>#REF!</v>
      </c>
      <c r="IT140" t="e">
        <f>AND(Bills!#REF!,"AAAAAA/Pbf0=")</f>
        <v>#REF!</v>
      </c>
      <c r="IU140" t="e">
        <f>AND(Bills!AC545,"AAAAAA/Pbf4=")</f>
        <v>#VALUE!</v>
      </c>
      <c r="IV140" t="e">
        <f>AND(Bills!AD545,"AAAAAA/Pbf8=")</f>
        <v>#VALUE!</v>
      </c>
    </row>
    <row r="141" spans="1:256">
      <c r="A141" t="e">
        <f>AND(Bills!#REF!,"AAAAAH77+wA=")</f>
        <v>#REF!</v>
      </c>
      <c r="B141">
        <f>IF(Bills!546:546,"AAAAAH77+wE=",0)</f>
        <v>0</v>
      </c>
      <c r="C141" t="e">
        <f>AND(Bills!B546,"AAAAAH77+wI=")</f>
        <v>#VALUE!</v>
      </c>
      <c r="D141" t="e">
        <f>AND(Bills!#REF!,"AAAAAH77+wM=")</f>
        <v>#REF!</v>
      </c>
      <c r="E141" t="e">
        <f>AND(Bills!C546,"AAAAAH77+wQ=")</f>
        <v>#VALUE!</v>
      </c>
      <c r="F141" t="e">
        <f>AND(Bills!D546,"AAAAAH77+wU=")</f>
        <v>#VALUE!</v>
      </c>
      <c r="G141" t="e">
        <f>AND(Bills!E546,"AAAAAH77+wY=")</f>
        <v>#VALUE!</v>
      </c>
      <c r="H141" t="e">
        <f>AND(Bills!#REF!,"AAAAAH77+wc=")</f>
        <v>#REF!</v>
      </c>
      <c r="I141" t="e">
        <f>AND(Bills!#REF!,"AAAAAH77+wg=")</f>
        <v>#REF!</v>
      </c>
      <c r="J141" t="e">
        <f>AND(Bills!#REF!,"AAAAAH77+wk=")</f>
        <v>#REF!</v>
      </c>
      <c r="K141" t="e">
        <f>AND(Bills!F546,"AAAAAH77+wo=")</f>
        <v>#VALUE!</v>
      </c>
      <c r="L141" t="e">
        <f>AND(Bills!#REF!,"AAAAAH77+ws=")</f>
        <v>#REF!</v>
      </c>
      <c r="M141" t="e">
        <f>AND(Bills!G546,"AAAAAH77+ww=")</f>
        <v>#VALUE!</v>
      </c>
      <c r="N141" t="e">
        <f>AND(Bills!H546,"AAAAAH77+w0=")</f>
        <v>#VALUE!</v>
      </c>
      <c r="O141" t="e">
        <f>AND(Bills!I546,"AAAAAH77+w4=")</f>
        <v>#VALUE!</v>
      </c>
      <c r="P141" t="e">
        <f>AND(Bills!J546,"AAAAAH77+w8=")</f>
        <v>#VALUE!</v>
      </c>
      <c r="Q141" t="e">
        <f>AND(Bills!K546,"AAAAAH77+xA=")</f>
        <v>#VALUE!</v>
      </c>
      <c r="R141" t="e">
        <f>AND(Bills!L546,"AAAAAH77+xE=")</f>
        <v>#VALUE!</v>
      </c>
      <c r="S141" t="e">
        <f>AND(Bills!#REF!,"AAAAAH77+xI=")</f>
        <v>#REF!</v>
      </c>
      <c r="T141" t="e">
        <f>AND(Bills!M546,"AAAAAH77+xM=")</f>
        <v>#VALUE!</v>
      </c>
      <c r="U141" t="e">
        <f>AND(Bills!N546,"AAAAAH77+xQ=")</f>
        <v>#VALUE!</v>
      </c>
      <c r="V141" t="e">
        <f>AND(Bills!O546,"AAAAAH77+xU=")</f>
        <v>#VALUE!</v>
      </c>
      <c r="W141" t="e">
        <f>AND(Bills!P546,"AAAAAH77+xY=")</f>
        <v>#VALUE!</v>
      </c>
      <c r="X141" t="e">
        <f>AND(Bills!Q546,"AAAAAH77+xc=")</f>
        <v>#VALUE!</v>
      </c>
      <c r="Y141" t="e">
        <f>AND(Bills!R546,"AAAAAH77+xg=")</f>
        <v>#VALUE!</v>
      </c>
      <c r="Z141" t="e">
        <f>AND(Bills!S546,"AAAAAH77+xk=")</f>
        <v>#VALUE!</v>
      </c>
      <c r="AA141" t="e">
        <f>AND(Bills!T546,"AAAAAH77+xo=")</f>
        <v>#VALUE!</v>
      </c>
      <c r="AB141" t="e">
        <f>AND(Bills!#REF!,"AAAAAH77+xs=")</f>
        <v>#REF!</v>
      </c>
      <c r="AC141" t="e">
        <f>AND(Bills!U546,"AAAAAH77+xw=")</f>
        <v>#VALUE!</v>
      </c>
      <c r="AD141" t="e">
        <f>AND(Bills!V546,"AAAAAH77+x0=")</f>
        <v>#VALUE!</v>
      </c>
      <c r="AE141" t="e">
        <f>AND(Bills!W546,"AAAAAH77+x4=")</f>
        <v>#VALUE!</v>
      </c>
      <c r="AF141" t="e">
        <f>AND(Bills!#REF!,"AAAAAH77+x8=")</f>
        <v>#REF!</v>
      </c>
      <c r="AG141" t="e">
        <f>AND(Bills!#REF!,"AAAAAH77+yA=")</f>
        <v>#REF!</v>
      </c>
      <c r="AH141" t="e">
        <f>AND(Bills!Y546,"AAAAAH77+yE=")</f>
        <v>#VALUE!</v>
      </c>
      <c r="AI141" t="e">
        <f>AND(Bills!Z546,"AAAAAH77+yI=")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AND(Bills!AA546,"AAAAAH77+yw=")</f>
        <v>#VALUE!</v>
      </c>
      <c r="AT141" t="e">
        <f>AND(Bills!AB546,"AAAAAH77+y0=")</f>
        <v>#VALUE!</v>
      </c>
      <c r="AU141" t="e">
        <f>AND(Bills!#REF!,"AAAAAH77+y4=")</f>
        <v>#REF!</v>
      </c>
      <c r="AV141" t="e">
        <f>AND(Bills!#REF!,"AAAAAH77+y8=")</f>
        <v>#REF!</v>
      </c>
      <c r="AW141" t="e">
        <f>AND(Bills!#REF!,"AAAAAH77+zA=")</f>
        <v>#REF!</v>
      </c>
      <c r="AX141" t="e">
        <f>AND(Bills!AC546,"AAAAAH77+zE=")</f>
        <v>#VALUE!</v>
      </c>
      <c r="AY141" t="e">
        <f>AND(Bills!AD546,"AAAAAH77+zI=")</f>
        <v>#VALUE!</v>
      </c>
      <c r="AZ141" t="e">
        <f>AND(Bills!#REF!,"AAAAAH77+zM=")</f>
        <v>#REF!</v>
      </c>
      <c r="BA141">
        <f>IF(Bills!547:547,"AAAAAH77+zQ=",0)</f>
        <v>0</v>
      </c>
      <c r="BB141" t="e">
        <f>AND(Bills!B547,"AAAAAH77+zU=")</f>
        <v>#VALUE!</v>
      </c>
      <c r="BC141" t="e">
        <f>AND(Bills!#REF!,"AAAAAH77+zY=")</f>
        <v>#REF!</v>
      </c>
      <c r="BD141" t="e">
        <f>AND(Bills!C547,"AAAAAH77+zc=")</f>
        <v>#VALUE!</v>
      </c>
      <c r="BE141" t="e">
        <f>AND(Bills!D547,"AAAAAH77+zg=")</f>
        <v>#VALUE!</v>
      </c>
      <c r="BF141" t="e">
        <f>AND(Bills!E547,"AAAAAH77+zk=")</f>
        <v>#VALUE!</v>
      </c>
      <c r="BG141" t="e">
        <f>AND(Bills!#REF!,"AAAAAH77+zo=")</f>
        <v>#REF!</v>
      </c>
      <c r="BH141" t="e">
        <f>AND(Bills!#REF!,"AAAAAH77+zs=")</f>
        <v>#REF!</v>
      </c>
      <c r="BI141" t="e">
        <f>AND(Bills!#REF!,"AAAAAH77+zw=")</f>
        <v>#REF!</v>
      </c>
      <c r="BJ141" t="e">
        <f>AND(Bills!F547,"AAAAAH77+z0=")</f>
        <v>#VALUE!</v>
      </c>
      <c r="BK141" t="e">
        <f>AND(Bills!#REF!,"AAAAAH77+z4=")</f>
        <v>#REF!</v>
      </c>
      <c r="BL141" t="e">
        <f>AND(Bills!G547,"AAAAAH77+z8=")</f>
        <v>#VALUE!</v>
      </c>
      <c r="BM141" t="e">
        <f>AND(Bills!H547,"AAAAAH77+0A=")</f>
        <v>#VALUE!</v>
      </c>
      <c r="BN141" t="e">
        <f>AND(Bills!I547,"AAAAAH77+0E=")</f>
        <v>#VALUE!</v>
      </c>
      <c r="BO141" t="e">
        <f>AND(Bills!J547,"AAAAAH77+0I=")</f>
        <v>#VALUE!</v>
      </c>
      <c r="BP141" t="e">
        <f>AND(Bills!K547,"AAAAAH77+0M=")</f>
        <v>#VALUE!</v>
      </c>
      <c r="BQ141" t="e">
        <f>AND(Bills!L547,"AAAAAH77+0Q=")</f>
        <v>#VALUE!</v>
      </c>
      <c r="BR141" t="e">
        <f>AND(Bills!#REF!,"AAAAAH77+0U=")</f>
        <v>#REF!</v>
      </c>
      <c r="BS141" t="e">
        <f>AND(Bills!M547,"AAAAAH77+0Y=")</f>
        <v>#VALUE!</v>
      </c>
      <c r="BT141" t="e">
        <f>AND(Bills!N547,"AAAAAH77+0c=")</f>
        <v>#VALUE!</v>
      </c>
      <c r="BU141" t="e">
        <f>AND(Bills!O547,"AAAAAH77+0g=")</f>
        <v>#VALUE!</v>
      </c>
      <c r="BV141" t="e">
        <f>AND(Bills!P547,"AAAAAH77+0k=")</f>
        <v>#VALUE!</v>
      </c>
      <c r="BW141" t="e">
        <f>AND(Bills!Q547,"AAAAAH77+0o=")</f>
        <v>#VALUE!</v>
      </c>
      <c r="BX141" t="e">
        <f>AND(Bills!R547,"AAAAAH77+0s=")</f>
        <v>#VALUE!</v>
      </c>
      <c r="BY141" t="e">
        <f>AND(Bills!S547,"AAAAAH77+0w=")</f>
        <v>#VALUE!</v>
      </c>
      <c r="BZ141" t="e">
        <f>AND(Bills!T547,"AAAAAH77+00=")</f>
        <v>#VALUE!</v>
      </c>
      <c r="CA141" t="e">
        <f>AND(Bills!#REF!,"AAAAAH77+04=")</f>
        <v>#REF!</v>
      </c>
      <c r="CB141" t="e">
        <f>AND(Bills!U547,"AAAAAH77+08=")</f>
        <v>#VALUE!</v>
      </c>
      <c r="CC141" t="e">
        <f>AND(Bills!V547,"AAAAAH77+1A=")</f>
        <v>#VALUE!</v>
      </c>
      <c r="CD141" t="e">
        <f>AND(Bills!W547,"AAAAAH77+1E=")</f>
        <v>#VALUE!</v>
      </c>
      <c r="CE141" t="e">
        <f>AND(Bills!#REF!,"AAAAAH77+1I=")</f>
        <v>#REF!</v>
      </c>
      <c r="CF141" t="e">
        <f>AND(Bills!#REF!,"AAAAAH77+1M=")</f>
        <v>#REF!</v>
      </c>
      <c r="CG141" t="e">
        <f>AND(Bills!Y547,"AAAAAH77+1Q=")</f>
        <v>#VALUE!</v>
      </c>
      <c r="CH141" t="e">
        <f>AND(Bills!Z547,"AAAAAH77+1U=")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AND(Bills!AA547,"AAAAAH77+18=")</f>
        <v>#VALUE!</v>
      </c>
      <c r="CS141" t="e">
        <f>AND(Bills!AB547,"AAAAAH77+2A=")</f>
        <v>#VALUE!</v>
      </c>
      <c r="CT141" t="e">
        <f>AND(Bills!#REF!,"AAAAAH77+2E=")</f>
        <v>#REF!</v>
      </c>
      <c r="CU141" t="e">
        <f>AND(Bills!#REF!,"AAAAAH77+2I=")</f>
        <v>#REF!</v>
      </c>
      <c r="CV141" t="e">
        <f>AND(Bills!#REF!,"AAAAAH77+2M=")</f>
        <v>#REF!</v>
      </c>
      <c r="CW141" t="e">
        <f>AND(Bills!AC547,"AAAAAH77+2Q=")</f>
        <v>#VALUE!</v>
      </c>
      <c r="CX141" t="e">
        <f>AND(Bills!AD547,"AAAAAH77+2U=")</f>
        <v>#VALUE!</v>
      </c>
      <c r="CY141" t="e">
        <f>AND(Bills!#REF!,"AAAAAH77+2Y=")</f>
        <v>#REF!</v>
      </c>
      <c r="CZ141">
        <f>IF(Bills!548:548,"AAAAAH77+2c=",0)</f>
        <v>0</v>
      </c>
      <c r="DA141" t="e">
        <f>AND(Bills!B548,"AAAAAH77+2g=")</f>
        <v>#VALUE!</v>
      </c>
      <c r="DB141" t="e">
        <f>AND(Bills!#REF!,"AAAAAH77+2k=")</f>
        <v>#REF!</v>
      </c>
      <c r="DC141" t="e">
        <f>AND(Bills!C548,"AAAAAH77+2o=")</f>
        <v>#VALUE!</v>
      </c>
      <c r="DD141" t="e">
        <f>AND(Bills!D548,"AAAAAH77+2s=")</f>
        <v>#VALUE!</v>
      </c>
      <c r="DE141" t="e">
        <f>AND(Bills!E548,"AAAAAH77+2w=")</f>
        <v>#VALUE!</v>
      </c>
      <c r="DF141" t="e">
        <f>AND(Bills!#REF!,"AAAAAH77+20=")</f>
        <v>#REF!</v>
      </c>
      <c r="DG141" t="e">
        <f>AND(Bills!#REF!,"AAAAAH77+24=")</f>
        <v>#REF!</v>
      </c>
      <c r="DH141" t="e">
        <f>AND(Bills!#REF!,"AAAAAH77+28=")</f>
        <v>#REF!</v>
      </c>
      <c r="DI141" t="e">
        <f>AND(Bills!F548,"AAAAAH77+3A=")</f>
        <v>#VALUE!</v>
      </c>
      <c r="DJ141" t="e">
        <f>AND(Bills!#REF!,"AAAAAH77+3E=")</f>
        <v>#REF!</v>
      </c>
      <c r="DK141" t="e">
        <f>AND(Bills!G548,"AAAAAH77+3I=")</f>
        <v>#VALUE!</v>
      </c>
      <c r="DL141" t="e">
        <f>AND(Bills!H548,"AAAAAH77+3M=")</f>
        <v>#VALUE!</v>
      </c>
      <c r="DM141" t="e">
        <f>AND(Bills!I548,"AAAAAH77+3Q=")</f>
        <v>#VALUE!</v>
      </c>
      <c r="DN141" t="e">
        <f>AND(Bills!J548,"AAAAAH77+3U=")</f>
        <v>#VALUE!</v>
      </c>
      <c r="DO141" t="e">
        <f>AND(Bills!K548,"AAAAAH77+3Y=")</f>
        <v>#VALUE!</v>
      </c>
      <c r="DP141" t="e">
        <f>AND(Bills!L548,"AAAAAH77+3c=")</f>
        <v>#VALUE!</v>
      </c>
      <c r="DQ141" t="e">
        <f>AND(Bills!#REF!,"AAAAAH77+3g=")</f>
        <v>#REF!</v>
      </c>
      <c r="DR141" t="e">
        <f>AND(Bills!M548,"AAAAAH77+3k=")</f>
        <v>#VALUE!</v>
      </c>
      <c r="DS141" t="e">
        <f>AND(Bills!N548,"AAAAAH77+3o=")</f>
        <v>#VALUE!</v>
      </c>
      <c r="DT141" t="e">
        <f>AND(Bills!O548,"AAAAAH77+3s=")</f>
        <v>#VALUE!</v>
      </c>
      <c r="DU141" t="e">
        <f>AND(Bills!P548,"AAAAAH77+3w=")</f>
        <v>#VALUE!</v>
      </c>
      <c r="DV141" t="e">
        <f>AND(Bills!Q548,"AAAAAH77+30=")</f>
        <v>#VALUE!</v>
      </c>
      <c r="DW141" t="e">
        <f>AND(Bills!R548,"AAAAAH77+34=")</f>
        <v>#VALUE!</v>
      </c>
      <c r="DX141" t="e">
        <f>AND(Bills!S548,"AAAAAH77+38=")</f>
        <v>#VALUE!</v>
      </c>
      <c r="DY141" t="e">
        <f>AND(Bills!T548,"AAAAAH77+4A=")</f>
        <v>#VALUE!</v>
      </c>
      <c r="DZ141" t="e">
        <f>AND(Bills!#REF!,"AAAAAH77+4E=")</f>
        <v>#REF!</v>
      </c>
      <c r="EA141" t="e">
        <f>AND(Bills!U548,"AAAAAH77+4I=")</f>
        <v>#VALUE!</v>
      </c>
      <c r="EB141" t="e">
        <f>AND(Bills!V548,"AAAAAH77+4M=")</f>
        <v>#VALUE!</v>
      </c>
      <c r="EC141" t="e">
        <f>AND(Bills!W548,"AAAAAH77+4Q=")</f>
        <v>#VALUE!</v>
      </c>
      <c r="ED141" t="e">
        <f>AND(Bills!#REF!,"AAAAAH77+4U=")</f>
        <v>#REF!</v>
      </c>
      <c r="EE141" t="e">
        <f>AND(Bills!#REF!,"AAAAAH77+4Y=")</f>
        <v>#REF!</v>
      </c>
      <c r="EF141" t="e">
        <f>AND(Bills!Y548,"AAAAAH77+4c=")</f>
        <v>#VALUE!</v>
      </c>
      <c r="EG141" t="e">
        <f>AND(Bills!Z548,"AAAAAH77+4g=")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AND(Bills!AA548,"AAAAAH77+5I=")</f>
        <v>#VALUE!</v>
      </c>
      <c r="ER141" t="e">
        <f>AND(Bills!AB548,"AAAAAH77+5M=")</f>
        <v>#VALUE!</v>
      </c>
      <c r="ES141" t="e">
        <f>AND(Bills!#REF!,"AAAAAH77+5Q=")</f>
        <v>#REF!</v>
      </c>
      <c r="ET141" t="e">
        <f>AND(Bills!#REF!,"AAAAAH77+5U=")</f>
        <v>#REF!</v>
      </c>
      <c r="EU141" t="e">
        <f>AND(Bills!#REF!,"AAAAAH77+5Y=")</f>
        <v>#REF!</v>
      </c>
      <c r="EV141" t="e">
        <f>AND(Bills!AC548,"AAAAAH77+5c=")</f>
        <v>#VALUE!</v>
      </c>
      <c r="EW141" t="e">
        <f>AND(Bills!AD548,"AAAAAH77+5g=")</f>
        <v>#VALUE!</v>
      </c>
      <c r="EX141" t="e">
        <f>AND(Bills!#REF!,"AAAAAH77+5k=")</f>
        <v>#REF!</v>
      </c>
      <c r="EY141">
        <f>IF(Bills!549:549,"AAAAAH77+5o=",0)</f>
        <v>0</v>
      </c>
      <c r="EZ141" t="e">
        <f>AND(Bills!B549,"AAAAAH77+5s=")</f>
        <v>#VALUE!</v>
      </c>
      <c r="FA141" t="e">
        <f>AND(Bills!#REF!,"AAAAAH77+5w=")</f>
        <v>#REF!</v>
      </c>
      <c r="FB141" t="e">
        <f>AND(Bills!C549,"AAAAAH77+50=")</f>
        <v>#VALUE!</v>
      </c>
      <c r="FC141" t="e">
        <f>AND(Bills!D549,"AAAAAH77+54=")</f>
        <v>#VALUE!</v>
      </c>
      <c r="FD141" t="e">
        <f>AND(Bills!E549,"AAAAAH77+58=")</f>
        <v>#VALUE!</v>
      </c>
      <c r="FE141" t="e">
        <f>AND(Bills!#REF!,"AAAAAH77+6A=")</f>
        <v>#REF!</v>
      </c>
      <c r="FF141" t="e">
        <f>AND(Bills!#REF!,"AAAAAH77+6E=")</f>
        <v>#REF!</v>
      </c>
      <c r="FG141" t="e">
        <f>AND(Bills!#REF!,"AAAAAH77+6I=")</f>
        <v>#REF!</v>
      </c>
      <c r="FH141" t="e">
        <f>AND(Bills!F549,"AAAAAH77+6M=")</f>
        <v>#VALUE!</v>
      </c>
      <c r="FI141" t="e">
        <f>AND(Bills!#REF!,"AAAAAH77+6Q=")</f>
        <v>#REF!</v>
      </c>
      <c r="FJ141" t="e">
        <f>AND(Bills!G549,"AAAAAH77+6U=")</f>
        <v>#VALUE!</v>
      </c>
      <c r="FK141" t="e">
        <f>AND(Bills!H549,"AAAAAH77+6Y=")</f>
        <v>#VALUE!</v>
      </c>
      <c r="FL141" t="e">
        <f>AND(Bills!I549,"AAAAAH77+6c=")</f>
        <v>#VALUE!</v>
      </c>
      <c r="FM141" t="e">
        <f>AND(Bills!J549,"AAAAAH77+6g=")</f>
        <v>#VALUE!</v>
      </c>
      <c r="FN141" t="e">
        <f>AND(Bills!K549,"AAAAAH77+6k=")</f>
        <v>#VALUE!</v>
      </c>
      <c r="FO141" t="e">
        <f>AND(Bills!L549,"AAAAAH77+6o=")</f>
        <v>#VALUE!</v>
      </c>
      <c r="FP141" t="e">
        <f>AND(Bills!#REF!,"AAAAAH77+6s=")</f>
        <v>#REF!</v>
      </c>
      <c r="FQ141" t="e">
        <f>AND(Bills!M549,"AAAAAH77+6w=")</f>
        <v>#VALUE!</v>
      </c>
      <c r="FR141" t="e">
        <f>AND(Bills!N549,"AAAAAH77+60=")</f>
        <v>#VALUE!</v>
      </c>
      <c r="FS141" t="e">
        <f>AND(Bills!O549,"AAAAAH77+64=")</f>
        <v>#VALUE!</v>
      </c>
      <c r="FT141" t="e">
        <f>AND(Bills!P549,"AAAAAH77+68=")</f>
        <v>#VALUE!</v>
      </c>
      <c r="FU141" t="e">
        <f>AND(Bills!Q549,"AAAAAH77+7A=")</f>
        <v>#VALUE!</v>
      </c>
      <c r="FV141" t="e">
        <f>AND(Bills!R549,"AAAAAH77+7E=")</f>
        <v>#VALUE!</v>
      </c>
      <c r="FW141" t="e">
        <f>AND(Bills!S549,"AAAAAH77+7I=")</f>
        <v>#VALUE!</v>
      </c>
      <c r="FX141" t="e">
        <f>AND(Bills!T549,"AAAAAH77+7M=")</f>
        <v>#VALUE!</v>
      </c>
      <c r="FY141" t="e">
        <f>AND(Bills!#REF!,"AAAAAH77+7Q=")</f>
        <v>#REF!</v>
      </c>
      <c r="FZ141" t="e">
        <f>AND(Bills!U549,"AAAAAH77+7U=")</f>
        <v>#VALUE!</v>
      </c>
      <c r="GA141" t="e">
        <f>AND(Bills!V549,"AAAAAH77+7Y=")</f>
        <v>#VALUE!</v>
      </c>
      <c r="GB141" t="e">
        <f>AND(Bills!W549,"AAAAAH77+7c=")</f>
        <v>#VALUE!</v>
      </c>
      <c r="GC141" t="e">
        <f>AND(Bills!#REF!,"AAAAAH77+7g=")</f>
        <v>#REF!</v>
      </c>
      <c r="GD141" t="e">
        <f>AND(Bills!#REF!,"AAAAAH77+7k=")</f>
        <v>#REF!</v>
      </c>
      <c r="GE141" t="e">
        <f>AND(Bills!Y549,"AAAAAH77+7o=")</f>
        <v>#VALUE!</v>
      </c>
      <c r="GF141" t="e">
        <f>AND(Bills!Z549,"AAAAAH77+7s=")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AND(Bills!AA549,"AAAAAH77+8U=")</f>
        <v>#VALUE!</v>
      </c>
      <c r="GQ141" t="e">
        <f>AND(Bills!AB549,"AAAAAH77+8Y=")</f>
        <v>#VALUE!</v>
      </c>
      <c r="GR141" t="e">
        <f>AND(Bills!#REF!,"AAAAAH77+8c=")</f>
        <v>#REF!</v>
      </c>
      <c r="GS141" t="e">
        <f>AND(Bills!#REF!,"AAAAAH77+8g=")</f>
        <v>#REF!</v>
      </c>
      <c r="GT141" t="e">
        <f>AND(Bills!#REF!,"AAAAAH77+8k=")</f>
        <v>#REF!</v>
      </c>
      <c r="GU141" t="e">
        <f>AND(Bills!AC549,"AAAAAH77+8o=")</f>
        <v>#VALUE!</v>
      </c>
      <c r="GV141" t="e">
        <f>AND(Bills!AD549,"AAAAAH77+8s=")</f>
        <v>#VALUE!</v>
      </c>
      <c r="GW141" t="e">
        <f>AND(Bills!#REF!,"AAAAAH77+8w=")</f>
        <v>#REF!</v>
      </c>
      <c r="GX141">
        <f>IF(Bills!550:550,"AAAAAH77+80=",0)</f>
        <v>0</v>
      </c>
      <c r="GY141" t="e">
        <f>AND(Bills!B550,"AAAAAH77+84=")</f>
        <v>#VALUE!</v>
      </c>
      <c r="GZ141" t="e">
        <f>AND(Bills!#REF!,"AAAAAH77+88=")</f>
        <v>#REF!</v>
      </c>
      <c r="HA141" t="e">
        <f>AND(Bills!C550,"AAAAAH77+9A=")</f>
        <v>#VALUE!</v>
      </c>
      <c r="HB141" t="e">
        <f>AND(Bills!D550,"AAAAAH77+9E=")</f>
        <v>#VALUE!</v>
      </c>
      <c r="HC141" t="e">
        <f>AND(Bills!E550,"AAAAAH77+9I=")</f>
        <v>#VALUE!</v>
      </c>
      <c r="HD141" t="e">
        <f>AND(Bills!#REF!,"AAAAAH77+9M=")</f>
        <v>#REF!</v>
      </c>
      <c r="HE141" t="e">
        <f>AND(Bills!#REF!,"AAAAAH77+9Q=")</f>
        <v>#REF!</v>
      </c>
      <c r="HF141" t="e">
        <f>AND(Bills!#REF!,"AAAAAH77+9U=")</f>
        <v>#REF!</v>
      </c>
      <c r="HG141" t="e">
        <f>AND(Bills!F550,"AAAAAH77+9Y=")</f>
        <v>#VALUE!</v>
      </c>
      <c r="HH141" t="e">
        <f>AND(Bills!#REF!,"AAAAAH77+9c=")</f>
        <v>#REF!</v>
      </c>
      <c r="HI141" t="e">
        <f>AND(Bills!G550,"AAAAAH77+9g=")</f>
        <v>#VALUE!</v>
      </c>
      <c r="HJ141" t="e">
        <f>AND(Bills!H550,"AAAAAH77+9k=")</f>
        <v>#VALUE!</v>
      </c>
      <c r="HK141" t="e">
        <f>AND(Bills!I550,"AAAAAH77+9o=")</f>
        <v>#VALUE!</v>
      </c>
      <c r="HL141" t="e">
        <f>AND(Bills!J550,"AAAAAH77+9s=")</f>
        <v>#VALUE!</v>
      </c>
      <c r="HM141" t="e">
        <f>AND(Bills!K550,"AAAAAH77+9w=")</f>
        <v>#VALUE!</v>
      </c>
      <c r="HN141" t="e">
        <f>AND(Bills!L550,"AAAAAH77+90=")</f>
        <v>#VALUE!</v>
      </c>
      <c r="HO141" t="e">
        <f>AND(Bills!#REF!,"AAAAAH77+94=")</f>
        <v>#REF!</v>
      </c>
      <c r="HP141" t="e">
        <f>AND(Bills!M550,"AAAAAH77+98=")</f>
        <v>#VALUE!</v>
      </c>
      <c r="HQ141" t="e">
        <f>AND(Bills!N550,"AAAAAH77++A=")</f>
        <v>#VALUE!</v>
      </c>
      <c r="HR141" t="e">
        <f>AND(Bills!O550,"AAAAAH77++E=")</f>
        <v>#VALUE!</v>
      </c>
      <c r="HS141" t="e">
        <f>AND(Bills!P550,"AAAAAH77++I=")</f>
        <v>#VALUE!</v>
      </c>
      <c r="HT141" t="e">
        <f>AND(Bills!Q550,"AAAAAH77++M=")</f>
        <v>#VALUE!</v>
      </c>
      <c r="HU141" t="e">
        <f>AND(Bills!R550,"AAAAAH77++Q=")</f>
        <v>#VALUE!</v>
      </c>
      <c r="HV141" t="e">
        <f>AND(Bills!S550,"AAAAAH77++U=")</f>
        <v>#VALUE!</v>
      </c>
      <c r="HW141" t="e">
        <f>AND(Bills!T550,"AAAAAH77++Y=")</f>
        <v>#VALUE!</v>
      </c>
      <c r="HX141" t="e">
        <f>AND(Bills!#REF!,"AAAAAH77++c=")</f>
        <v>#REF!</v>
      </c>
      <c r="HY141" t="e">
        <f>AND(Bills!U550,"AAAAAH77++g=")</f>
        <v>#VALUE!</v>
      </c>
      <c r="HZ141" t="e">
        <f>AND(Bills!V550,"AAAAAH77++k=")</f>
        <v>#VALUE!</v>
      </c>
      <c r="IA141" t="e">
        <f>AND(Bills!W550,"AAAAAH77++o=")</f>
        <v>#VALUE!</v>
      </c>
      <c r="IB141" t="e">
        <f>AND(Bills!#REF!,"AAAAAH77++s=")</f>
        <v>#REF!</v>
      </c>
      <c r="IC141" t="e">
        <f>AND(Bills!#REF!,"AAAAAH77++w=")</f>
        <v>#REF!</v>
      </c>
      <c r="ID141" t="e">
        <f>AND(Bills!Y550,"AAAAAH77++0=")</f>
        <v>#VALUE!</v>
      </c>
      <c r="IE141" t="e">
        <f>AND(Bills!Z550,"AAAAAH77++4=")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AND(Bills!AA550,"AAAAAH77+/g=")</f>
        <v>#VALUE!</v>
      </c>
      <c r="IP141" t="e">
        <f>AND(Bills!AB550,"AAAAAH77+/k=")</f>
        <v>#VALUE!</v>
      </c>
      <c r="IQ141" t="e">
        <f>AND(Bills!#REF!,"AAAAAH77+/o=")</f>
        <v>#REF!</v>
      </c>
      <c r="IR141" t="e">
        <f>AND(Bills!#REF!,"AAAAAH77+/s=")</f>
        <v>#REF!</v>
      </c>
      <c r="IS141" t="e">
        <f>AND(Bills!#REF!,"AAAAAH77+/w=")</f>
        <v>#REF!</v>
      </c>
      <c r="IT141" t="e">
        <f>AND(Bills!AC550,"AAAAAH77+/0=")</f>
        <v>#VALUE!</v>
      </c>
      <c r="IU141" t="e">
        <f>AND(Bills!AD550,"AAAAAH77+/4=")</f>
        <v>#VALUE!</v>
      </c>
      <c r="IV141" t="e">
        <f>AND(Bills!#REF!,"AAAAAH77+/8=")</f>
        <v>#REF!</v>
      </c>
    </row>
    <row r="142" spans="1:256">
      <c r="A142">
        <f>IF(Bills!551:551,"AAAAAE3+9gA=",0)</f>
        <v>0</v>
      </c>
      <c r="B142" t="e">
        <f>AND(Bills!B551,"AAAAAE3+9gE=")</f>
        <v>#VALUE!</v>
      </c>
      <c r="C142" t="e">
        <f>AND(Bills!#REF!,"AAAAAE3+9gI=")</f>
        <v>#REF!</v>
      </c>
      <c r="D142" t="e">
        <f>AND(Bills!C551,"AAAAAE3+9gM=")</f>
        <v>#VALUE!</v>
      </c>
      <c r="E142" t="e">
        <f>AND(Bills!D551,"AAAAAE3+9gQ=")</f>
        <v>#VALUE!</v>
      </c>
      <c r="F142" t="e">
        <f>AND(Bills!E551,"AAAAAE3+9gU=")</f>
        <v>#VALUE!</v>
      </c>
      <c r="G142" t="e">
        <f>AND(Bills!#REF!,"AAAAAE3+9gY=")</f>
        <v>#REF!</v>
      </c>
      <c r="H142" t="e">
        <f>AND(Bills!#REF!,"AAAAAE3+9gc=")</f>
        <v>#REF!</v>
      </c>
      <c r="I142" t="e">
        <f>AND(Bills!#REF!,"AAAAAE3+9gg=")</f>
        <v>#REF!</v>
      </c>
      <c r="J142" t="e">
        <f>AND(Bills!F551,"AAAAAE3+9gk=")</f>
        <v>#VALUE!</v>
      </c>
      <c r="K142" t="e">
        <f>AND(Bills!#REF!,"AAAAAE3+9go=")</f>
        <v>#REF!</v>
      </c>
      <c r="L142" t="e">
        <f>AND(Bills!G551,"AAAAAE3+9gs=")</f>
        <v>#VALUE!</v>
      </c>
      <c r="M142" t="e">
        <f>AND(Bills!H551,"AAAAAE3+9gw=")</f>
        <v>#VALUE!</v>
      </c>
      <c r="N142" t="e">
        <f>AND(Bills!I551,"AAAAAE3+9g0=")</f>
        <v>#VALUE!</v>
      </c>
      <c r="O142" t="e">
        <f>AND(Bills!J551,"AAAAAE3+9g4=")</f>
        <v>#VALUE!</v>
      </c>
      <c r="P142" t="e">
        <f>AND(Bills!K551,"AAAAAE3+9g8=")</f>
        <v>#VALUE!</v>
      </c>
      <c r="Q142" t="e">
        <f>AND(Bills!L551,"AAAAAE3+9hA=")</f>
        <v>#VALUE!</v>
      </c>
      <c r="R142" t="e">
        <f>AND(Bills!#REF!,"AAAAAE3+9hE=")</f>
        <v>#REF!</v>
      </c>
      <c r="S142" t="e">
        <f>AND(Bills!M551,"AAAAAE3+9hI=")</f>
        <v>#VALUE!</v>
      </c>
      <c r="T142" t="e">
        <f>AND(Bills!N551,"AAAAAE3+9hM=")</f>
        <v>#VALUE!</v>
      </c>
      <c r="U142" t="e">
        <f>AND(Bills!O551,"AAAAAE3+9hQ=")</f>
        <v>#VALUE!</v>
      </c>
      <c r="V142" t="e">
        <f>AND(Bills!P551,"AAAAAE3+9hU=")</f>
        <v>#VALUE!</v>
      </c>
      <c r="W142" t="e">
        <f>AND(Bills!Q551,"AAAAAE3+9hY=")</f>
        <v>#VALUE!</v>
      </c>
      <c r="X142" t="e">
        <f>AND(Bills!R551,"AAAAAE3+9hc=")</f>
        <v>#VALUE!</v>
      </c>
      <c r="Y142" t="e">
        <f>AND(Bills!S551,"AAAAAE3+9hg=")</f>
        <v>#VALUE!</v>
      </c>
      <c r="Z142" t="e">
        <f>AND(Bills!T551,"AAAAAE3+9hk=")</f>
        <v>#VALUE!</v>
      </c>
      <c r="AA142" t="e">
        <f>AND(Bills!#REF!,"AAAAAE3+9ho=")</f>
        <v>#REF!</v>
      </c>
      <c r="AB142" t="e">
        <f>AND(Bills!U551,"AAAAAE3+9hs=")</f>
        <v>#VALUE!</v>
      </c>
      <c r="AC142" t="e">
        <f>AND(Bills!V551,"AAAAAE3+9hw=")</f>
        <v>#VALUE!</v>
      </c>
      <c r="AD142" t="e">
        <f>AND(Bills!W551,"AAAAAE3+9h0=")</f>
        <v>#VALUE!</v>
      </c>
      <c r="AE142" t="e">
        <f>AND(Bills!#REF!,"AAAAAE3+9h4=")</f>
        <v>#REF!</v>
      </c>
      <c r="AF142" t="e">
        <f>AND(Bills!#REF!,"AAAAAE3+9h8=")</f>
        <v>#REF!</v>
      </c>
      <c r="AG142" t="e">
        <f>AND(Bills!Y551,"AAAAAE3+9iA=")</f>
        <v>#VALUE!</v>
      </c>
      <c r="AH142" t="e">
        <f>AND(Bills!Z551,"AAAAAE3+9iE=")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AND(Bills!AA551,"AAAAAE3+9is=")</f>
        <v>#VALUE!</v>
      </c>
      <c r="AS142" t="e">
        <f>AND(Bills!AB551,"AAAAAE3+9iw=")</f>
        <v>#VALUE!</v>
      </c>
      <c r="AT142" t="e">
        <f>AND(Bills!#REF!,"AAAAAE3+9i0=")</f>
        <v>#REF!</v>
      </c>
      <c r="AU142" t="e">
        <f>AND(Bills!#REF!,"AAAAAE3+9i4=")</f>
        <v>#REF!</v>
      </c>
      <c r="AV142" t="e">
        <f>AND(Bills!#REF!,"AAAAAE3+9i8=")</f>
        <v>#REF!</v>
      </c>
      <c r="AW142" t="e">
        <f>AND(Bills!AC551,"AAAAAE3+9jA=")</f>
        <v>#VALUE!</v>
      </c>
      <c r="AX142" t="e">
        <f>AND(Bills!AD551,"AAAAAE3+9jE=")</f>
        <v>#VALUE!</v>
      </c>
      <c r="AY142" t="e">
        <f>AND(Bills!#REF!,"AAAAAE3+9jI=")</f>
        <v>#REF!</v>
      </c>
      <c r="AZ142">
        <f>IF(Bills!552:552,"AAAAAE3+9jM=",0)</f>
        <v>0</v>
      </c>
      <c r="BA142" t="e">
        <f>AND(Bills!B552,"AAAAAE3+9jQ=")</f>
        <v>#VALUE!</v>
      </c>
      <c r="BB142" t="e">
        <f>AND(Bills!#REF!,"AAAAAE3+9jU=")</f>
        <v>#REF!</v>
      </c>
      <c r="BC142" t="e">
        <f>AND(Bills!C552,"AAAAAE3+9jY=")</f>
        <v>#VALUE!</v>
      </c>
      <c r="BD142" t="e">
        <f>AND(Bills!D552,"AAAAAE3+9jc=")</f>
        <v>#VALUE!</v>
      </c>
      <c r="BE142" t="e">
        <f>AND(Bills!E552,"AAAAAE3+9jg=")</f>
        <v>#VALUE!</v>
      </c>
      <c r="BF142" t="e">
        <f>AND(Bills!#REF!,"AAAAAE3+9jk=")</f>
        <v>#REF!</v>
      </c>
      <c r="BG142" t="e">
        <f>AND(Bills!#REF!,"AAAAAE3+9jo=")</f>
        <v>#REF!</v>
      </c>
      <c r="BH142" t="e">
        <f>AND(Bills!#REF!,"AAAAAE3+9js=")</f>
        <v>#REF!</v>
      </c>
      <c r="BI142" t="e">
        <f>AND(Bills!F552,"AAAAAE3+9jw=")</f>
        <v>#VALUE!</v>
      </c>
      <c r="BJ142" t="e">
        <f>AND(Bills!#REF!,"AAAAAE3+9j0=")</f>
        <v>#REF!</v>
      </c>
      <c r="BK142" t="e">
        <f>AND(Bills!G552,"AAAAAE3+9j4=")</f>
        <v>#VALUE!</v>
      </c>
      <c r="BL142" t="e">
        <f>AND(Bills!H552,"AAAAAE3+9j8=")</f>
        <v>#VALUE!</v>
      </c>
      <c r="BM142" t="e">
        <f>AND(Bills!I552,"AAAAAE3+9kA=")</f>
        <v>#VALUE!</v>
      </c>
      <c r="BN142" t="e">
        <f>AND(Bills!J552,"AAAAAE3+9kE=")</f>
        <v>#VALUE!</v>
      </c>
      <c r="BO142" t="e">
        <f>AND(Bills!K552,"AAAAAE3+9kI=")</f>
        <v>#VALUE!</v>
      </c>
      <c r="BP142" t="e">
        <f>AND(Bills!L552,"AAAAAE3+9kM=")</f>
        <v>#VALUE!</v>
      </c>
      <c r="BQ142" t="e">
        <f>AND(Bills!#REF!,"AAAAAE3+9kQ=")</f>
        <v>#REF!</v>
      </c>
      <c r="BR142" t="e">
        <f>AND(Bills!M552,"AAAAAE3+9kU=")</f>
        <v>#VALUE!</v>
      </c>
      <c r="BS142" t="e">
        <f>AND(Bills!N552,"AAAAAE3+9kY=")</f>
        <v>#VALUE!</v>
      </c>
      <c r="BT142" t="e">
        <f>AND(Bills!O552,"AAAAAE3+9kc=")</f>
        <v>#VALUE!</v>
      </c>
      <c r="BU142" t="e">
        <f>AND(Bills!P552,"AAAAAE3+9kg=")</f>
        <v>#VALUE!</v>
      </c>
      <c r="BV142" t="e">
        <f>AND(Bills!Q552,"AAAAAE3+9kk=")</f>
        <v>#VALUE!</v>
      </c>
      <c r="BW142" t="e">
        <f>AND(Bills!R552,"AAAAAE3+9ko=")</f>
        <v>#VALUE!</v>
      </c>
      <c r="BX142" t="e">
        <f>AND(Bills!S552,"AAAAAE3+9ks=")</f>
        <v>#VALUE!</v>
      </c>
      <c r="BY142" t="e">
        <f>AND(Bills!T552,"AAAAAE3+9kw=")</f>
        <v>#VALUE!</v>
      </c>
      <c r="BZ142" t="e">
        <f>AND(Bills!#REF!,"AAAAAE3+9k0=")</f>
        <v>#REF!</v>
      </c>
      <c r="CA142" t="e">
        <f>AND(Bills!U552,"AAAAAE3+9k4=")</f>
        <v>#VALUE!</v>
      </c>
      <c r="CB142" t="e">
        <f>AND(Bills!V552,"AAAAAE3+9k8=")</f>
        <v>#VALUE!</v>
      </c>
      <c r="CC142" t="e">
        <f>AND(Bills!W552,"AAAAAE3+9lA=")</f>
        <v>#VALUE!</v>
      </c>
      <c r="CD142" t="e">
        <f>AND(Bills!#REF!,"AAAAAE3+9lE=")</f>
        <v>#REF!</v>
      </c>
      <c r="CE142" t="e">
        <f>AND(Bills!#REF!,"AAAAAE3+9lI=")</f>
        <v>#REF!</v>
      </c>
      <c r="CF142" t="e">
        <f>AND(Bills!Y552,"AAAAAE3+9lM=")</f>
        <v>#VALUE!</v>
      </c>
      <c r="CG142" t="e">
        <f>AND(Bills!Z552,"AAAAAE3+9lQ=")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AND(Bills!AA552,"AAAAAE3+9l4=")</f>
        <v>#VALUE!</v>
      </c>
      <c r="CR142" t="e">
        <f>AND(Bills!AB552,"AAAAAE3+9l8=")</f>
        <v>#VALUE!</v>
      </c>
      <c r="CS142" t="e">
        <f>AND(Bills!#REF!,"AAAAAE3+9mA=")</f>
        <v>#REF!</v>
      </c>
      <c r="CT142" t="e">
        <f>AND(Bills!#REF!,"AAAAAE3+9mE=")</f>
        <v>#REF!</v>
      </c>
      <c r="CU142" t="e">
        <f>AND(Bills!#REF!,"AAAAAE3+9mI=")</f>
        <v>#REF!</v>
      </c>
      <c r="CV142" t="e">
        <f>AND(Bills!AC552,"AAAAAE3+9mM=")</f>
        <v>#VALUE!</v>
      </c>
      <c r="CW142" t="e">
        <f>AND(Bills!AD552,"AAAAAE3+9mQ=")</f>
        <v>#VALUE!</v>
      </c>
      <c r="CX142" t="e">
        <f>AND(Bills!#REF!,"AAAAAE3+9mU=")</f>
        <v>#REF!</v>
      </c>
      <c r="CY142">
        <f>IF(Bills!553:553,"AAAAAE3+9mY=",0)</f>
        <v>0</v>
      </c>
      <c r="CZ142" t="e">
        <f>AND(Bills!B553,"AAAAAE3+9mc=")</f>
        <v>#VALUE!</v>
      </c>
      <c r="DA142" t="e">
        <f>AND(Bills!#REF!,"AAAAAE3+9mg=")</f>
        <v>#REF!</v>
      </c>
      <c r="DB142" t="e">
        <f>AND(Bills!C553,"AAAAAE3+9mk=")</f>
        <v>#VALUE!</v>
      </c>
      <c r="DC142" t="e">
        <f>AND(Bills!D553,"AAAAAE3+9mo=")</f>
        <v>#VALUE!</v>
      </c>
      <c r="DD142" t="e">
        <f>AND(Bills!E553,"AAAAAE3+9ms=")</f>
        <v>#VALUE!</v>
      </c>
      <c r="DE142" t="e">
        <f>AND(Bills!#REF!,"AAAAAE3+9mw=")</f>
        <v>#REF!</v>
      </c>
      <c r="DF142" t="e">
        <f>AND(Bills!#REF!,"AAAAAE3+9m0=")</f>
        <v>#REF!</v>
      </c>
      <c r="DG142" t="e">
        <f>AND(Bills!#REF!,"AAAAAE3+9m4=")</f>
        <v>#REF!</v>
      </c>
      <c r="DH142" t="e">
        <f>AND(Bills!F553,"AAAAAE3+9m8=")</f>
        <v>#VALUE!</v>
      </c>
      <c r="DI142" t="e">
        <f>AND(Bills!#REF!,"AAAAAE3+9nA=")</f>
        <v>#REF!</v>
      </c>
      <c r="DJ142" t="e">
        <f>AND(Bills!G553,"AAAAAE3+9nE=")</f>
        <v>#VALUE!</v>
      </c>
      <c r="DK142" t="e">
        <f>AND(Bills!H553,"AAAAAE3+9nI=")</f>
        <v>#VALUE!</v>
      </c>
      <c r="DL142" t="e">
        <f>AND(Bills!I553,"AAAAAE3+9nM=")</f>
        <v>#VALUE!</v>
      </c>
      <c r="DM142" t="e">
        <f>AND(Bills!J553,"AAAAAE3+9nQ=")</f>
        <v>#VALUE!</v>
      </c>
      <c r="DN142" t="e">
        <f>AND(Bills!K553,"AAAAAE3+9nU=")</f>
        <v>#VALUE!</v>
      </c>
      <c r="DO142" t="e">
        <f>AND(Bills!L553,"AAAAAE3+9nY=")</f>
        <v>#VALUE!</v>
      </c>
      <c r="DP142" t="e">
        <f>AND(Bills!#REF!,"AAAAAE3+9nc=")</f>
        <v>#REF!</v>
      </c>
      <c r="DQ142" t="e">
        <f>AND(Bills!M553,"AAAAAE3+9ng=")</f>
        <v>#VALUE!</v>
      </c>
      <c r="DR142" t="e">
        <f>AND(Bills!N553,"AAAAAE3+9nk=")</f>
        <v>#VALUE!</v>
      </c>
      <c r="DS142" t="e">
        <f>AND(Bills!O553,"AAAAAE3+9no=")</f>
        <v>#VALUE!</v>
      </c>
      <c r="DT142" t="e">
        <f>AND(Bills!P553,"AAAAAE3+9ns=")</f>
        <v>#VALUE!</v>
      </c>
      <c r="DU142" t="e">
        <f>AND(Bills!Q553,"AAAAAE3+9nw=")</f>
        <v>#VALUE!</v>
      </c>
      <c r="DV142" t="e">
        <f>AND(Bills!R553,"AAAAAE3+9n0=")</f>
        <v>#VALUE!</v>
      </c>
      <c r="DW142" t="e">
        <f>AND(Bills!S553,"AAAAAE3+9n4=")</f>
        <v>#VALUE!</v>
      </c>
      <c r="DX142" t="e">
        <f>AND(Bills!T553,"AAAAAE3+9n8=")</f>
        <v>#VALUE!</v>
      </c>
      <c r="DY142" t="e">
        <f>AND(Bills!#REF!,"AAAAAE3+9oA=")</f>
        <v>#REF!</v>
      </c>
      <c r="DZ142" t="e">
        <f>AND(Bills!U553,"AAAAAE3+9oE=")</f>
        <v>#VALUE!</v>
      </c>
      <c r="EA142" t="e">
        <f>AND(Bills!V553,"AAAAAE3+9oI=")</f>
        <v>#VALUE!</v>
      </c>
      <c r="EB142" t="e">
        <f>AND(Bills!W553,"AAAAAE3+9oM=")</f>
        <v>#VALUE!</v>
      </c>
      <c r="EC142" t="e">
        <f>AND(Bills!#REF!,"AAAAAE3+9oQ=")</f>
        <v>#REF!</v>
      </c>
      <c r="ED142" t="e">
        <f>AND(Bills!#REF!,"AAAAAE3+9oU=")</f>
        <v>#REF!</v>
      </c>
      <c r="EE142" t="e">
        <f>AND(Bills!Y553,"AAAAAE3+9oY=")</f>
        <v>#VALUE!</v>
      </c>
      <c r="EF142" t="e">
        <f>AND(Bills!Z553,"AAAAAE3+9oc=")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AND(Bills!AA553,"AAAAAE3+9pE=")</f>
        <v>#VALUE!</v>
      </c>
      <c r="EQ142" t="e">
        <f>AND(Bills!AB553,"AAAAAE3+9pI=")</f>
        <v>#VALUE!</v>
      </c>
      <c r="ER142" t="e">
        <f>AND(Bills!#REF!,"AAAAAE3+9pM=")</f>
        <v>#REF!</v>
      </c>
      <c r="ES142" t="e">
        <f>AND(Bills!#REF!,"AAAAAE3+9pQ=")</f>
        <v>#REF!</v>
      </c>
      <c r="ET142" t="e">
        <f>AND(Bills!#REF!,"AAAAAE3+9pU=")</f>
        <v>#REF!</v>
      </c>
      <c r="EU142" t="e">
        <f>AND(Bills!AC553,"AAAAAE3+9pY=")</f>
        <v>#VALUE!</v>
      </c>
      <c r="EV142" t="e">
        <f>AND(Bills!AD553,"AAAAAE3+9pc=")</f>
        <v>#VALUE!</v>
      </c>
      <c r="EW142" t="e">
        <f>AND(Bills!#REF!,"AAAAAE3+9pg=")</f>
        <v>#REF!</v>
      </c>
      <c r="EX142">
        <f>IF(Bills!554:554,"AAAAAE3+9pk=",0)</f>
        <v>0</v>
      </c>
      <c r="EY142" t="e">
        <f>AND(Bills!B554,"AAAAAE3+9po=")</f>
        <v>#VALUE!</v>
      </c>
      <c r="EZ142" t="e">
        <f>AND(Bills!#REF!,"AAAAAE3+9ps=")</f>
        <v>#REF!</v>
      </c>
      <c r="FA142" t="e">
        <f>AND(Bills!C554,"AAAAAE3+9pw=")</f>
        <v>#VALUE!</v>
      </c>
      <c r="FB142" t="e">
        <f>AND(Bills!D554,"AAAAAE3+9p0=")</f>
        <v>#VALUE!</v>
      </c>
      <c r="FC142" t="e">
        <f>AND(Bills!E554,"AAAAAE3+9p4=")</f>
        <v>#VALUE!</v>
      </c>
      <c r="FD142" t="e">
        <f>AND(Bills!#REF!,"AAAAAE3+9p8=")</f>
        <v>#REF!</v>
      </c>
      <c r="FE142" t="e">
        <f>AND(Bills!#REF!,"AAAAAE3+9qA=")</f>
        <v>#REF!</v>
      </c>
      <c r="FF142" t="e">
        <f>AND(Bills!#REF!,"AAAAAE3+9qE=")</f>
        <v>#REF!</v>
      </c>
      <c r="FG142" t="e">
        <f>AND(Bills!F554,"AAAAAE3+9qI=")</f>
        <v>#VALUE!</v>
      </c>
      <c r="FH142" t="e">
        <f>AND(Bills!#REF!,"AAAAAE3+9qM=")</f>
        <v>#REF!</v>
      </c>
      <c r="FI142" t="e">
        <f>AND(Bills!G554,"AAAAAE3+9qQ=")</f>
        <v>#VALUE!</v>
      </c>
      <c r="FJ142" t="e">
        <f>AND(Bills!H554,"AAAAAE3+9qU=")</f>
        <v>#VALUE!</v>
      </c>
      <c r="FK142" t="e">
        <f>AND(Bills!I554,"AAAAAE3+9qY=")</f>
        <v>#VALUE!</v>
      </c>
      <c r="FL142" t="e">
        <f>AND(Bills!J554,"AAAAAE3+9qc=")</f>
        <v>#VALUE!</v>
      </c>
      <c r="FM142" t="e">
        <f>AND(Bills!K554,"AAAAAE3+9qg=")</f>
        <v>#VALUE!</v>
      </c>
      <c r="FN142" t="e">
        <f>AND(Bills!L554,"AAAAAE3+9qk=")</f>
        <v>#VALUE!</v>
      </c>
      <c r="FO142" t="e">
        <f>AND(Bills!#REF!,"AAAAAE3+9qo=")</f>
        <v>#REF!</v>
      </c>
      <c r="FP142" t="e">
        <f>AND(Bills!M554,"AAAAAE3+9qs=")</f>
        <v>#VALUE!</v>
      </c>
      <c r="FQ142" t="e">
        <f>AND(Bills!N554,"AAAAAE3+9qw=")</f>
        <v>#VALUE!</v>
      </c>
      <c r="FR142" t="e">
        <f>AND(Bills!O554,"AAAAAE3+9q0=")</f>
        <v>#VALUE!</v>
      </c>
      <c r="FS142" t="e">
        <f>AND(Bills!P554,"AAAAAE3+9q4=")</f>
        <v>#VALUE!</v>
      </c>
      <c r="FT142" t="e">
        <f>AND(Bills!Q554,"AAAAAE3+9q8=")</f>
        <v>#VALUE!</v>
      </c>
      <c r="FU142" t="e">
        <f>AND(Bills!R554,"AAAAAE3+9rA=")</f>
        <v>#VALUE!</v>
      </c>
      <c r="FV142" t="e">
        <f>AND(Bills!S554,"AAAAAE3+9rE=")</f>
        <v>#VALUE!</v>
      </c>
      <c r="FW142" t="e">
        <f>AND(Bills!T554,"AAAAAE3+9rI=")</f>
        <v>#VALUE!</v>
      </c>
      <c r="FX142" t="e">
        <f>AND(Bills!#REF!,"AAAAAE3+9rM=")</f>
        <v>#REF!</v>
      </c>
      <c r="FY142" t="e">
        <f>AND(Bills!U554,"AAAAAE3+9rQ=")</f>
        <v>#VALUE!</v>
      </c>
      <c r="FZ142" t="e">
        <f>AND(Bills!V554,"AAAAAE3+9rU=")</f>
        <v>#VALUE!</v>
      </c>
      <c r="GA142" t="e">
        <f>AND(Bills!W554,"AAAAAE3+9rY=")</f>
        <v>#VALUE!</v>
      </c>
      <c r="GB142" t="e">
        <f>AND(Bills!#REF!,"AAAAAE3+9rc=")</f>
        <v>#REF!</v>
      </c>
      <c r="GC142" t="e">
        <f>AND(Bills!#REF!,"AAAAAE3+9rg=")</f>
        <v>#REF!</v>
      </c>
      <c r="GD142" t="e">
        <f>AND(Bills!Y554,"AAAAAE3+9rk=")</f>
        <v>#VALUE!</v>
      </c>
      <c r="GE142" t="e">
        <f>AND(Bills!Z554,"AAAAAE3+9ro=")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AND(Bills!AA554,"AAAAAE3+9sQ=")</f>
        <v>#VALUE!</v>
      </c>
      <c r="GP142" t="e">
        <f>AND(Bills!AB554,"AAAAAE3+9sU=")</f>
        <v>#VALUE!</v>
      </c>
      <c r="GQ142" t="e">
        <f>AND(Bills!#REF!,"AAAAAE3+9sY=")</f>
        <v>#REF!</v>
      </c>
      <c r="GR142" t="e">
        <f>AND(Bills!#REF!,"AAAAAE3+9sc=")</f>
        <v>#REF!</v>
      </c>
      <c r="GS142" t="e">
        <f>AND(Bills!#REF!,"AAAAAE3+9sg=")</f>
        <v>#REF!</v>
      </c>
      <c r="GT142" t="e">
        <f>AND(Bills!AC554,"AAAAAE3+9sk=")</f>
        <v>#VALUE!</v>
      </c>
      <c r="GU142" t="e">
        <f>AND(Bills!AD554,"AAAAAE3+9so=")</f>
        <v>#VALUE!</v>
      </c>
      <c r="GV142" t="e">
        <f>AND(Bills!#REF!,"AAAAAE3+9ss=")</f>
        <v>#REF!</v>
      </c>
      <c r="GW142">
        <f>IF(Bills!555:555,"AAAAAE3+9sw=",0)</f>
        <v>0</v>
      </c>
      <c r="GX142" t="e">
        <f>AND(Bills!B555,"AAAAAE3+9s0=")</f>
        <v>#VALUE!</v>
      </c>
      <c r="GY142" t="e">
        <f>AND(Bills!#REF!,"AAAAAE3+9s4=")</f>
        <v>#REF!</v>
      </c>
      <c r="GZ142" t="e">
        <f>AND(Bills!C555,"AAAAAE3+9s8=")</f>
        <v>#VALUE!</v>
      </c>
      <c r="HA142" t="e">
        <f>AND(Bills!D555,"AAAAAE3+9tA=")</f>
        <v>#VALUE!</v>
      </c>
      <c r="HB142" t="e">
        <f>AND(Bills!E555,"AAAAAE3+9tE=")</f>
        <v>#VALUE!</v>
      </c>
      <c r="HC142" t="e">
        <f>AND(Bills!#REF!,"AAAAAE3+9tI=")</f>
        <v>#REF!</v>
      </c>
      <c r="HD142" t="e">
        <f>AND(Bills!#REF!,"AAAAAE3+9tM=")</f>
        <v>#REF!</v>
      </c>
      <c r="HE142" t="e">
        <f>AND(Bills!#REF!,"AAAAAE3+9tQ=")</f>
        <v>#REF!</v>
      </c>
      <c r="HF142" t="e">
        <f>AND(Bills!F555,"AAAAAE3+9tU=")</f>
        <v>#VALUE!</v>
      </c>
      <c r="HG142" t="e">
        <f>AND(Bills!#REF!,"AAAAAE3+9tY=")</f>
        <v>#REF!</v>
      </c>
      <c r="HH142" t="e">
        <f>AND(Bills!G555,"AAAAAE3+9tc=")</f>
        <v>#VALUE!</v>
      </c>
      <c r="HI142" t="e">
        <f>AND(Bills!H555,"AAAAAE3+9tg=")</f>
        <v>#VALUE!</v>
      </c>
      <c r="HJ142" t="e">
        <f>AND(Bills!I555,"AAAAAE3+9tk=")</f>
        <v>#VALUE!</v>
      </c>
      <c r="HK142" t="e">
        <f>AND(Bills!J555,"AAAAAE3+9to=")</f>
        <v>#VALUE!</v>
      </c>
      <c r="HL142" t="e">
        <f>AND(Bills!K555,"AAAAAE3+9ts=")</f>
        <v>#VALUE!</v>
      </c>
      <c r="HM142" t="e">
        <f>AND(Bills!L555,"AAAAAE3+9tw=")</f>
        <v>#VALUE!</v>
      </c>
      <c r="HN142" t="e">
        <f>AND(Bills!#REF!,"AAAAAE3+9t0=")</f>
        <v>#REF!</v>
      </c>
      <c r="HO142" t="e">
        <f>AND(Bills!M555,"AAAAAE3+9t4=")</f>
        <v>#VALUE!</v>
      </c>
      <c r="HP142" t="e">
        <f>AND(Bills!N555,"AAAAAE3+9t8=")</f>
        <v>#VALUE!</v>
      </c>
      <c r="HQ142" t="e">
        <f>AND(Bills!O555,"AAAAAE3+9uA=")</f>
        <v>#VALUE!</v>
      </c>
      <c r="HR142" t="e">
        <f>AND(Bills!P555,"AAAAAE3+9uE=")</f>
        <v>#VALUE!</v>
      </c>
      <c r="HS142" t="e">
        <f>AND(Bills!Q555,"AAAAAE3+9uI=")</f>
        <v>#VALUE!</v>
      </c>
      <c r="HT142" t="e">
        <f>AND(Bills!R555,"AAAAAE3+9uM=")</f>
        <v>#VALUE!</v>
      </c>
      <c r="HU142" t="e">
        <f>AND(Bills!S555,"AAAAAE3+9uQ=")</f>
        <v>#VALUE!</v>
      </c>
      <c r="HV142" t="e">
        <f>AND(Bills!T555,"AAAAAE3+9uU=")</f>
        <v>#VALUE!</v>
      </c>
      <c r="HW142" t="e">
        <f>AND(Bills!#REF!,"AAAAAE3+9uY=")</f>
        <v>#REF!</v>
      </c>
      <c r="HX142" t="e">
        <f>AND(Bills!U555,"AAAAAE3+9uc=")</f>
        <v>#VALUE!</v>
      </c>
      <c r="HY142" t="e">
        <f>AND(Bills!V555,"AAAAAE3+9ug=")</f>
        <v>#VALUE!</v>
      </c>
      <c r="HZ142" t="e">
        <f>AND(Bills!W555,"AAAAAE3+9uk=")</f>
        <v>#VALUE!</v>
      </c>
      <c r="IA142" t="e">
        <f>AND(Bills!#REF!,"AAAAAE3+9uo=")</f>
        <v>#REF!</v>
      </c>
      <c r="IB142" t="e">
        <f>AND(Bills!#REF!,"AAAAAE3+9us=")</f>
        <v>#REF!</v>
      </c>
      <c r="IC142" t="e">
        <f>AND(Bills!Y555,"AAAAAE3+9uw=")</f>
        <v>#VALUE!</v>
      </c>
      <c r="ID142" t="e">
        <f>AND(Bills!Z555,"AAAAAE3+9u0=")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AND(Bills!AA555,"AAAAAE3+9vc=")</f>
        <v>#VALUE!</v>
      </c>
      <c r="IO142" t="e">
        <f>AND(Bills!AB555,"AAAAAE3+9vg=")</f>
        <v>#VALUE!</v>
      </c>
      <c r="IP142" t="e">
        <f>AND(Bills!#REF!,"AAAAAE3+9vk=")</f>
        <v>#REF!</v>
      </c>
      <c r="IQ142" t="e">
        <f>AND(Bills!#REF!,"AAAAAE3+9vo=")</f>
        <v>#REF!</v>
      </c>
      <c r="IR142" t="e">
        <f>AND(Bills!#REF!,"AAAAAE3+9vs=")</f>
        <v>#REF!</v>
      </c>
      <c r="IS142" t="e">
        <f>AND(Bills!AC555,"AAAAAE3+9vw=")</f>
        <v>#VALUE!</v>
      </c>
      <c r="IT142" t="e">
        <f>AND(Bills!AD555,"AAAAAE3+9v0=")</f>
        <v>#VALUE!</v>
      </c>
      <c r="IU142" t="e">
        <f>AND(Bills!#REF!,"AAAAAE3+9v4=")</f>
        <v>#REF!</v>
      </c>
      <c r="IV142">
        <f>IF(Bills!556:556,"AAAAAE3+9v8=",0)</f>
        <v>0</v>
      </c>
    </row>
    <row r="143" spans="1:256">
      <c r="A143" t="e">
        <f>AND(Bills!B556,"AAAAADn7swA=")</f>
        <v>#VALUE!</v>
      </c>
      <c r="B143" t="e">
        <f>AND(Bills!#REF!,"AAAAADn7swE=")</f>
        <v>#REF!</v>
      </c>
      <c r="C143" t="e">
        <f>AND(Bills!C556,"AAAAADn7swI=")</f>
        <v>#VALUE!</v>
      </c>
      <c r="D143" t="e">
        <f>AND(Bills!D556,"AAAAADn7swM=")</f>
        <v>#VALUE!</v>
      </c>
      <c r="E143" t="e">
        <f>AND(Bills!E556,"AAAAADn7swQ=")</f>
        <v>#VALUE!</v>
      </c>
      <c r="F143" t="e">
        <f>AND(Bills!#REF!,"AAAAADn7swU=")</f>
        <v>#REF!</v>
      </c>
      <c r="G143" t="e">
        <f>AND(Bills!#REF!,"AAAAADn7swY=")</f>
        <v>#REF!</v>
      </c>
      <c r="H143" t="e">
        <f>AND(Bills!#REF!,"AAAAADn7swc=")</f>
        <v>#REF!</v>
      </c>
      <c r="I143" t="e">
        <f>AND(Bills!F556,"AAAAADn7swg=")</f>
        <v>#VALUE!</v>
      </c>
      <c r="J143" t="e">
        <f>AND(Bills!#REF!,"AAAAADn7swk=")</f>
        <v>#REF!</v>
      </c>
      <c r="K143" t="e">
        <f>AND(Bills!G556,"AAAAADn7swo=")</f>
        <v>#VALUE!</v>
      </c>
      <c r="L143" t="e">
        <f>AND(Bills!H556,"AAAAADn7sws=")</f>
        <v>#VALUE!</v>
      </c>
      <c r="M143" t="e">
        <f>AND(Bills!I556,"AAAAADn7sww=")</f>
        <v>#VALUE!</v>
      </c>
      <c r="N143" t="e">
        <f>AND(Bills!J556,"AAAAADn7sw0=")</f>
        <v>#VALUE!</v>
      </c>
      <c r="O143" t="e">
        <f>AND(Bills!K556,"AAAAADn7sw4=")</f>
        <v>#VALUE!</v>
      </c>
      <c r="P143" t="e">
        <f>AND(Bills!L556,"AAAAADn7sw8=")</f>
        <v>#VALUE!</v>
      </c>
      <c r="Q143" t="e">
        <f>AND(Bills!#REF!,"AAAAADn7sxA=")</f>
        <v>#REF!</v>
      </c>
      <c r="R143" t="e">
        <f>AND(Bills!M556,"AAAAADn7sxE=")</f>
        <v>#VALUE!</v>
      </c>
      <c r="S143" t="e">
        <f>AND(Bills!N556,"AAAAADn7sxI=")</f>
        <v>#VALUE!</v>
      </c>
      <c r="T143" t="e">
        <f>AND(Bills!O556,"AAAAADn7sxM=")</f>
        <v>#VALUE!</v>
      </c>
      <c r="U143" t="e">
        <f>AND(Bills!P556,"AAAAADn7sxQ=")</f>
        <v>#VALUE!</v>
      </c>
      <c r="V143" t="e">
        <f>AND(Bills!Q556,"AAAAADn7sxU=")</f>
        <v>#VALUE!</v>
      </c>
      <c r="W143" t="e">
        <f>AND(Bills!R556,"AAAAADn7sxY=")</f>
        <v>#VALUE!</v>
      </c>
      <c r="X143" t="e">
        <f>AND(Bills!S556,"AAAAADn7sxc=")</f>
        <v>#VALUE!</v>
      </c>
      <c r="Y143" t="e">
        <f>AND(Bills!T556,"AAAAADn7sxg=")</f>
        <v>#VALUE!</v>
      </c>
      <c r="Z143" t="e">
        <f>AND(Bills!#REF!,"AAAAADn7sxk=")</f>
        <v>#REF!</v>
      </c>
      <c r="AA143" t="e">
        <f>AND(Bills!U556,"AAAAADn7sxo=")</f>
        <v>#VALUE!</v>
      </c>
      <c r="AB143" t="e">
        <f>AND(Bills!V556,"AAAAADn7sxs=")</f>
        <v>#VALUE!</v>
      </c>
      <c r="AC143" t="e">
        <f>AND(Bills!W556,"AAAAADn7sxw=")</f>
        <v>#VALUE!</v>
      </c>
      <c r="AD143" t="e">
        <f>AND(Bills!#REF!,"AAAAADn7sx0=")</f>
        <v>#REF!</v>
      </c>
      <c r="AE143" t="e">
        <f>AND(Bills!#REF!,"AAAAADn7sx4=")</f>
        <v>#REF!</v>
      </c>
      <c r="AF143" t="e">
        <f>AND(Bills!Y556,"AAAAADn7sx8=")</f>
        <v>#VALUE!</v>
      </c>
      <c r="AG143" t="e">
        <f>AND(Bills!Z556,"AAAAADn7syA=")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AND(Bills!AA556,"AAAAADn7syo=")</f>
        <v>#VALUE!</v>
      </c>
      <c r="AR143" t="e">
        <f>AND(Bills!AB556,"AAAAADn7sys=")</f>
        <v>#VALUE!</v>
      </c>
      <c r="AS143" t="e">
        <f>AND(Bills!#REF!,"AAAAADn7syw=")</f>
        <v>#REF!</v>
      </c>
      <c r="AT143" t="e">
        <f>AND(Bills!#REF!,"AAAAADn7sy0=")</f>
        <v>#REF!</v>
      </c>
      <c r="AU143" t="e">
        <f>AND(Bills!#REF!,"AAAAADn7sy4=")</f>
        <v>#REF!</v>
      </c>
      <c r="AV143" t="e">
        <f>AND(Bills!AC556,"AAAAADn7sy8=")</f>
        <v>#VALUE!</v>
      </c>
      <c r="AW143" t="e">
        <f>AND(Bills!AD556,"AAAAADn7szA=")</f>
        <v>#VALUE!</v>
      </c>
      <c r="AX143" t="e">
        <f>AND(Bills!#REF!,"AAAAADn7szE=")</f>
        <v>#REF!</v>
      </c>
      <c r="AY143">
        <f>IF(Bills!557:557,"AAAAADn7szI=",0)</f>
        <v>0</v>
      </c>
      <c r="AZ143" t="e">
        <f>AND(Bills!B557,"AAAAADn7szM=")</f>
        <v>#VALUE!</v>
      </c>
      <c r="BA143" t="e">
        <f>AND(Bills!#REF!,"AAAAADn7szQ=")</f>
        <v>#REF!</v>
      </c>
      <c r="BB143" t="e">
        <f>AND(Bills!C557,"AAAAADn7szU=")</f>
        <v>#VALUE!</v>
      </c>
      <c r="BC143" t="e">
        <f>AND(Bills!D557,"AAAAADn7szY=")</f>
        <v>#VALUE!</v>
      </c>
      <c r="BD143" t="e">
        <f>AND(Bills!E557,"AAAAADn7szc=")</f>
        <v>#VALUE!</v>
      </c>
      <c r="BE143" t="e">
        <f>AND(Bills!#REF!,"AAAAADn7szg=")</f>
        <v>#REF!</v>
      </c>
      <c r="BF143" t="e">
        <f>AND(Bills!#REF!,"AAAAADn7szk=")</f>
        <v>#REF!</v>
      </c>
      <c r="BG143" t="e">
        <f>AND(Bills!#REF!,"AAAAADn7szo=")</f>
        <v>#REF!</v>
      </c>
      <c r="BH143" t="e">
        <f>AND(Bills!F557,"AAAAADn7szs=")</f>
        <v>#VALUE!</v>
      </c>
      <c r="BI143" t="e">
        <f>AND(Bills!#REF!,"AAAAADn7szw=")</f>
        <v>#REF!</v>
      </c>
      <c r="BJ143" t="e">
        <f>AND(Bills!G557,"AAAAADn7sz0=")</f>
        <v>#VALUE!</v>
      </c>
      <c r="BK143" t="e">
        <f>AND(Bills!H557,"AAAAADn7sz4=")</f>
        <v>#VALUE!</v>
      </c>
      <c r="BL143" t="e">
        <f>AND(Bills!I557,"AAAAADn7sz8=")</f>
        <v>#VALUE!</v>
      </c>
      <c r="BM143" t="e">
        <f>AND(Bills!J557,"AAAAADn7s0A=")</f>
        <v>#VALUE!</v>
      </c>
      <c r="BN143" t="e">
        <f>AND(Bills!K557,"AAAAADn7s0E=")</f>
        <v>#VALUE!</v>
      </c>
      <c r="BO143" t="e">
        <f>AND(Bills!L557,"AAAAADn7s0I=")</f>
        <v>#VALUE!</v>
      </c>
      <c r="BP143" t="e">
        <f>AND(Bills!#REF!,"AAAAADn7s0M=")</f>
        <v>#REF!</v>
      </c>
      <c r="BQ143" t="e">
        <f>AND(Bills!M557,"AAAAADn7s0Q=")</f>
        <v>#VALUE!</v>
      </c>
      <c r="BR143" t="e">
        <f>AND(Bills!N557,"AAAAADn7s0U=")</f>
        <v>#VALUE!</v>
      </c>
      <c r="BS143" t="e">
        <f>AND(Bills!O557,"AAAAADn7s0Y=")</f>
        <v>#VALUE!</v>
      </c>
      <c r="BT143" t="e">
        <f>AND(Bills!P557,"AAAAADn7s0c=")</f>
        <v>#VALUE!</v>
      </c>
      <c r="BU143" t="e">
        <f>AND(Bills!Q557,"AAAAADn7s0g=")</f>
        <v>#VALUE!</v>
      </c>
      <c r="BV143" t="e">
        <f>AND(Bills!R557,"AAAAADn7s0k=")</f>
        <v>#VALUE!</v>
      </c>
      <c r="BW143" t="e">
        <f>AND(Bills!S557,"AAAAADn7s0o=")</f>
        <v>#VALUE!</v>
      </c>
      <c r="BX143" t="e">
        <f>AND(Bills!T557,"AAAAADn7s0s=")</f>
        <v>#VALUE!</v>
      </c>
      <c r="BY143" t="e">
        <f>AND(Bills!#REF!,"AAAAADn7s0w=")</f>
        <v>#REF!</v>
      </c>
      <c r="BZ143" t="e">
        <f>AND(Bills!U557,"AAAAADn7s00=")</f>
        <v>#VALUE!</v>
      </c>
      <c r="CA143" t="e">
        <f>AND(Bills!V557,"AAAAADn7s04=")</f>
        <v>#VALUE!</v>
      </c>
      <c r="CB143" t="e">
        <f>AND(Bills!W557,"AAAAADn7s08=")</f>
        <v>#VALUE!</v>
      </c>
      <c r="CC143" t="e">
        <f>AND(Bills!#REF!,"AAAAADn7s1A=")</f>
        <v>#REF!</v>
      </c>
      <c r="CD143" t="e">
        <f>AND(Bills!#REF!,"AAAAADn7s1E=")</f>
        <v>#REF!</v>
      </c>
      <c r="CE143" t="e">
        <f>AND(Bills!Y557,"AAAAADn7s1I=")</f>
        <v>#VALUE!</v>
      </c>
      <c r="CF143" t="e">
        <f>AND(Bills!Z557,"AAAAADn7s1M=")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AND(Bills!AA557,"AAAAADn7s10=")</f>
        <v>#VALUE!</v>
      </c>
      <c r="CQ143" t="e">
        <f>AND(Bills!AB557,"AAAAADn7s14=")</f>
        <v>#VALUE!</v>
      </c>
      <c r="CR143" t="e">
        <f>AND(Bills!#REF!,"AAAAADn7s18=")</f>
        <v>#REF!</v>
      </c>
      <c r="CS143" t="e">
        <f>AND(Bills!#REF!,"AAAAADn7s2A=")</f>
        <v>#REF!</v>
      </c>
      <c r="CT143" t="e">
        <f>AND(Bills!#REF!,"AAAAADn7s2E=")</f>
        <v>#REF!</v>
      </c>
      <c r="CU143" t="e">
        <f>AND(Bills!AC557,"AAAAADn7s2I=")</f>
        <v>#VALUE!</v>
      </c>
      <c r="CV143" t="e">
        <f>AND(Bills!AD557,"AAAAADn7s2M=")</f>
        <v>#VALUE!</v>
      </c>
      <c r="CW143" t="e">
        <f>AND(Bills!#REF!,"AAAAADn7s2Q=")</f>
        <v>#REF!</v>
      </c>
      <c r="CX143">
        <f>IF(Bills!558:558,"AAAAADn7s2U=",0)</f>
        <v>0</v>
      </c>
      <c r="CY143" t="e">
        <f>AND(Bills!B558,"AAAAADn7s2Y=")</f>
        <v>#VALUE!</v>
      </c>
      <c r="CZ143" t="e">
        <f>AND(Bills!#REF!,"AAAAADn7s2c=")</f>
        <v>#REF!</v>
      </c>
      <c r="DA143" t="e">
        <f>AND(Bills!C558,"AAAAADn7s2g=")</f>
        <v>#VALUE!</v>
      </c>
      <c r="DB143" t="e">
        <f>AND(Bills!D558,"AAAAADn7s2k=")</f>
        <v>#VALUE!</v>
      </c>
      <c r="DC143" t="e">
        <f>AND(Bills!E558,"AAAAADn7s2o=")</f>
        <v>#VALUE!</v>
      </c>
      <c r="DD143" t="e">
        <f>AND(Bills!#REF!,"AAAAADn7s2s=")</f>
        <v>#REF!</v>
      </c>
      <c r="DE143" t="e">
        <f>AND(Bills!#REF!,"AAAAADn7s2w=")</f>
        <v>#REF!</v>
      </c>
      <c r="DF143" t="e">
        <f>AND(Bills!#REF!,"AAAAADn7s20=")</f>
        <v>#REF!</v>
      </c>
      <c r="DG143" t="e">
        <f>AND(Bills!F558,"AAAAADn7s24=")</f>
        <v>#VALUE!</v>
      </c>
      <c r="DH143" t="e">
        <f>AND(Bills!#REF!,"AAAAADn7s28=")</f>
        <v>#REF!</v>
      </c>
      <c r="DI143" t="e">
        <f>AND(Bills!G558,"AAAAADn7s3A=")</f>
        <v>#VALUE!</v>
      </c>
      <c r="DJ143" t="e">
        <f>AND(Bills!H558,"AAAAADn7s3E=")</f>
        <v>#VALUE!</v>
      </c>
      <c r="DK143" t="e">
        <f>AND(Bills!I558,"AAAAADn7s3I=")</f>
        <v>#VALUE!</v>
      </c>
      <c r="DL143" t="e">
        <f>AND(Bills!J558,"AAAAADn7s3M=")</f>
        <v>#VALUE!</v>
      </c>
      <c r="DM143" t="e">
        <f>AND(Bills!K558,"AAAAADn7s3Q=")</f>
        <v>#VALUE!</v>
      </c>
      <c r="DN143" t="e">
        <f>AND(Bills!L558,"AAAAADn7s3U=")</f>
        <v>#VALUE!</v>
      </c>
      <c r="DO143" t="e">
        <f>AND(Bills!#REF!,"AAAAADn7s3Y=")</f>
        <v>#REF!</v>
      </c>
      <c r="DP143" t="e">
        <f>AND(Bills!M558,"AAAAADn7s3c=")</f>
        <v>#VALUE!</v>
      </c>
      <c r="DQ143" t="e">
        <f>AND(Bills!N558,"AAAAADn7s3g=")</f>
        <v>#VALUE!</v>
      </c>
      <c r="DR143" t="e">
        <f>AND(Bills!O558,"AAAAADn7s3k=")</f>
        <v>#VALUE!</v>
      </c>
      <c r="DS143" t="e">
        <f>AND(Bills!P558,"AAAAADn7s3o=")</f>
        <v>#VALUE!</v>
      </c>
      <c r="DT143" t="e">
        <f>AND(Bills!Q558,"AAAAADn7s3s=")</f>
        <v>#VALUE!</v>
      </c>
      <c r="DU143" t="e">
        <f>AND(Bills!R558,"AAAAADn7s3w=")</f>
        <v>#VALUE!</v>
      </c>
      <c r="DV143" t="e">
        <f>AND(Bills!S558,"AAAAADn7s30=")</f>
        <v>#VALUE!</v>
      </c>
      <c r="DW143" t="e">
        <f>AND(Bills!T558,"AAAAADn7s34=")</f>
        <v>#VALUE!</v>
      </c>
      <c r="DX143" t="e">
        <f>AND(Bills!#REF!,"AAAAADn7s38=")</f>
        <v>#REF!</v>
      </c>
      <c r="DY143" t="e">
        <f>AND(Bills!U558,"AAAAADn7s4A=")</f>
        <v>#VALUE!</v>
      </c>
      <c r="DZ143" t="e">
        <f>AND(Bills!V558,"AAAAADn7s4E=")</f>
        <v>#VALUE!</v>
      </c>
      <c r="EA143" t="e">
        <f>AND(Bills!W558,"AAAAADn7s4I=")</f>
        <v>#VALUE!</v>
      </c>
      <c r="EB143" t="e">
        <f>AND(Bills!#REF!,"AAAAADn7s4M=")</f>
        <v>#REF!</v>
      </c>
      <c r="EC143" t="e">
        <f>AND(Bills!#REF!,"AAAAADn7s4Q=")</f>
        <v>#REF!</v>
      </c>
      <c r="ED143" t="e">
        <f>AND(Bills!Y558,"AAAAADn7s4U=")</f>
        <v>#VALUE!</v>
      </c>
      <c r="EE143" t="e">
        <f>AND(Bills!Z558,"AAAAADn7s4Y=")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AND(Bills!AA558,"AAAAADn7s5A=")</f>
        <v>#VALUE!</v>
      </c>
      <c r="EP143" t="e">
        <f>AND(Bills!AB558,"AAAAADn7s5E=")</f>
        <v>#VALUE!</v>
      </c>
      <c r="EQ143" t="e">
        <f>AND(Bills!#REF!,"AAAAADn7s5I=")</f>
        <v>#REF!</v>
      </c>
      <c r="ER143" t="e">
        <f>AND(Bills!#REF!,"AAAAADn7s5M=")</f>
        <v>#REF!</v>
      </c>
      <c r="ES143" t="e">
        <f>AND(Bills!#REF!,"AAAAADn7s5Q=")</f>
        <v>#REF!</v>
      </c>
      <c r="ET143" t="e">
        <f>AND(Bills!AC558,"AAAAADn7s5U=")</f>
        <v>#VALUE!</v>
      </c>
      <c r="EU143" t="e">
        <f>AND(Bills!AD558,"AAAAADn7s5Y=")</f>
        <v>#VALUE!</v>
      </c>
      <c r="EV143" t="e">
        <f>AND(Bills!#REF!,"AAAAADn7s5c=")</f>
        <v>#REF!</v>
      </c>
      <c r="EW143">
        <f>IF(Bills!559:559,"AAAAADn7s5g=",0)</f>
        <v>0</v>
      </c>
      <c r="EX143" t="e">
        <f>AND(Bills!B559,"AAAAADn7s5k=")</f>
        <v>#VALUE!</v>
      </c>
      <c r="EY143" t="e">
        <f>AND(Bills!#REF!,"AAAAADn7s5o=")</f>
        <v>#REF!</v>
      </c>
      <c r="EZ143" t="e">
        <f>AND(Bills!C559,"AAAAADn7s5s=")</f>
        <v>#VALUE!</v>
      </c>
      <c r="FA143" t="e">
        <f>AND(Bills!D559,"AAAAADn7s5w=")</f>
        <v>#VALUE!</v>
      </c>
      <c r="FB143" t="e">
        <f>AND(Bills!E559,"AAAAADn7s50=")</f>
        <v>#VALUE!</v>
      </c>
      <c r="FC143" t="e">
        <f>AND(Bills!#REF!,"AAAAADn7s54=")</f>
        <v>#REF!</v>
      </c>
      <c r="FD143" t="e">
        <f>AND(Bills!#REF!,"AAAAADn7s58=")</f>
        <v>#REF!</v>
      </c>
      <c r="FE143" t="e">
        <f>AND(Bills!#REF!,"AAAAADn7s6A=")</f>
        <v>#REF!</v>
      </c>
      <c r="FF143" t="e">
        <f>AND(Bills!F559,"AAAAADn7s6E=")</f>
        <v>#VALUE!</v>
      </c>
      <c r="FG143" t="e">
        <f>AND(Bills!#REF!,"AAAAADn7s6I=")</f>
        <v>#REF!</v>
      </c>
      <c r="FH143" t="e">
        <f>AND(Bills!G559,"AAAAADn7s6M=")</f>
        <v>#VALUE!</v>
      </c>
      <c r="FI143" t="e">
        <f>AND(Bills!H559,"AAAAADn7s6Q=")</f>
        <v>#VALUE!</v>
      </c>
      <c r="FJ143" t="e">
        <f>AND(Bills!I559,"AAAAADn7s6U=")</f>
        <v>#VALUE!</v>
      </c>
      <c r="FK143" t="e">
        <f>AND(Bills!J559,"AAAAADn7s6Y=")</f>
        <v>#VALUE!</v>
      </c>
      <c r="FL143" t="e">
        <f>AND(Bills!K559,"AAAAADn7s6c=")</f>
        <v>#VALUE!</v>
      </c>
      <c r="FM143" t="e">
        <f>AND(Bills!L559,"AAAAADn7s6g=")</f>
        <v>#VALUE!</v>
      </c>
      <c r="FN143" t="e">
        <f>AND(Bills!#REF!,"AAAAADn7s6k=")</f>
        <v>#REF!</v>
      </c>
      <c r="FO143" t="e">
        <f>AND(Bills!M559,"AAAAADn7s6o=")</f>
        <v>#VALUE!</v>
      </c>
      <c r="FP143" t="e">
        <f>AND(Bills!N559,"AAAAADn7s6s=")</f>
        <v>#VALUE!</v>
      </c>
      <c r="FQ143" t="e">
        <f>AND(Bills!O559,"AAAAADn7s6w=")</f>
        <v>#VALUE!</v>
      </c>
      <c r="FR143" t="e">
        <f>AND(Bills!P559,"AAAAADn7s60=")</f>
        <v>#VALUE!</v>
      </c>
      <c r="FS143" t="e">
        <f>AND(Bills!Q559,"AAAAADn7s64=")</f>
        <v>#VALUE!</v>
      </c>
      <c r="FT143" t="e">
        <f>AND(Bills!R559,"AAAAADn7s68=")</f>
        <v>#VALUE!</v>
      </c>
      <c r="FU143" t="e">
        <f>AND(Bills!S559,"AAAAADn7s7A=")</f>
        <v>#VALUE!</v>
      </c>
      <c r="FV143" t="e">
        <f>AND(Bills!T559,"AAAAADn7s7E=")</f>
        <v>#VALUE!</v>
      </c>
      <c r="FW143" t="e">
        <f>AND(Bills!#REF!,"AAAAADn7s7I=")</f>
        <v>#REF!</v>
      </c>
      <c r="FX143" t="e">
        <f>AND(Bills!U559,"AAAAADn7s7M=")</f>
        <v>#VALUE!</v>
      </c>
      <c r="FY143" t="e">
        <f>AND(Bills!V559,"AAAAADn7s7Q=")</f>
        <v>#VALUE!</v>
      </c>
      <c r="FZ143" t="e">
        <f>AND(Bills!W559,"AAAAADn7s7U=")</f>
        <v>#VALUE!</v>
      </c>
      <c r="GA143" t="e">
        <f>AND(Bills!#REF!,"AAAAADn7s7Y=")</f>
        <v>#REF!</v>
      </c>
      <c r="GB143" t="e">
        <f>AND(Bills!#REF!,"AAAAADn7s7c=")</f>
        <v>#REF!</v>
      </c>
      <c r="GC143" t="e">
        <f>AND(Bills!Y559,"AAAAADn7s7g=")</f>
        <v>#VALUE!</v>
      </c>
      <c r="GD143" t="e">
        <f>AND(Bills!Z559,"AAAAADn7s7k=")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AND(Bills!AA559,"AAAAADn7s8M=")</f>
        <v>#VALUE!</v>
      </c>
      <c r="GO143" t="e">
        <f>AND(Bills!AB559,"AAAAADn7s8Q=")</f>
        <v>#VALUE!</v>
      </c>
      <c r="GP143" t="e">
        <f>AND(Bills!#REF!,"AAAAADn7s8U=")</f>
        <v>#REF!</v>
      </c>
      <c r="GQ143" t="e">
        <f>AND(Bills!#REF!,"AAAAADn7s8Y=")</f>
        <v>#REF!</v>
      </c>
      <c r="GR143" t="e">
        <f>AND(Bills!#REF!,"AAAAADn7s8c=")</f>
        <v>#REF!</v>
      </c>
      <c r="GS143" t="e">
        <f>AND(Bills!AC559,"AAAAADn7s8g=")</f>
        <v>#VALUE!</v>
      </c>
      <c r="GT143" t="e">
        <f>AND(Bills!AD559,"AAAAADn7s8k=")</f>
        <v>#VALUE!</v>
      </c>
      <c r="GU143" t="e">
        <f>AND(Bills!#REF!,"AAAAADn7s8o=")</f>
        <v>#REF!</v>
      </c>
      <c r="GV143">
        <f>IF(Bills!560:560,"AAAAADn7s8s=",0)</f>
        <v>0</v>
      </c>
      <c r="GW143" t="e">
        <f>AND(Bills!B560,"AAAAADn7s8w=")</f>
        <v>#VALUE!</v>
      </c>
      <c r="GX143" t="e">
        <f>AND(Bills!#REF!,"AAAAADn7s80=")</f>
        <v>#REF!</v>
      </c>
      <c r="GY143" t="e">
        <f>AND(Bills!C560,"AAAAADn7s84=")</f>
        <v>#VALUE!</v>
      </c>
      <c r="GZ143" t="e">
        <f>AND(Bills!D560,"AAAAADn7s88=")</f>
        <v>#VALUE!</v>
      </c>
      <c r="HA143" t="e">
        <f>AND(Bills!E560,"AAAAADn7s9A=")</f>
        <v>#VALUE!</v>
      </c>
      <c r="HB143" t="e">
        <f>AND(Bills!#REF!,"AAAAADn7s9E=")</f>
        <v>#REF!</v>
      </c>
      <c r="HC143" t="e">
        <f>AND(Bills!#REF!,"AAAAADn7s9I=")</f>
        <v>#REF!</v>
      </c>
      <c r="HD143" t="e">
        <f>AND(Bills!#REF!,"AAAAADn7s9M=")</f>
        <v>#REF!</v>
      </c>
      <c r="HE143" t="e">
        <f>AND(Bills!F560,"AAAAADn7s9Q=")</f>
        <v>#VALUE!</v>
      </c>
      <c r="HF143" t="e">
        <f>AND(Bills!#REF!,"AAAAADn7s9U=")</f>
        <v>#REF!</v>
      </c>
      <c r="HG143" t="e">
        <f>AND(Bills!G560,"AAAAADn7s9Y=")</f>
        <v>#VALUE!</v>
      </c>
      <c r="HH143" t="e">
        <f>AND(Bills!H560,"AAAAADn7s9c=")</f>
        <v>#VALUE!</v>
      </c>
      <c r="HI143" t="e">
        <f>AND(Bills!I560,"AAAAADn7s9g=")</f>
        <v>#VALUE!</v>
      </c>
      <c r="HJ143" t="e">
        <f>AND(Bills!J560,"AAAAADn7s9k=")</f>
        <v>#VALUE!</v>
      </c>
      <c r="HK143" t="e">
        <f>AND(Bills!K560,"AAAAADn7s9o=")</f>
        <v>#VALUE!</v>
      </c>
      <c r="HL143" t="e">
        <f>AND(Bills!L560,"AAAAADn7s9s=")</f>
        <v>#VALUE!</v>
      </c>
      <c r="HM143" t="e">
        <f>AND(Bills!#REF!,"AAAAADn7s9w=")</f>
        <v>#REF!</v>
      </c>
      <c r="HN143" t="e">
        <f>AND(Bills!M560,"AAAAADn7s90=")</f>
        <v>#VALUE!</v>
      </c>
      <c r="HO143" t="e">
        <f>AND(Bills!N560,"AAAAADn7s94=")</f>
        <v>#VALUE!</v>
      </c>
      <c r="HP143" t="e">
        <f>AND(Bills!O560,"AAAAADn7s98=")</f>
        <v>#VALUE!</v>
      </c>
      <c r="HQ143" t="e">
        <f>AND(Bills!P560,"AAAAADn7s+A=")</f>
        <v>#VALUE!</v>
      </c>
      <c r="HR143" t="e">
        <f>AND(Bills!Q560,"AAAAADn7s+E=")</f>
        <v>#VALUE!</v>
      </c>
      <c r="HS143" t="e">
        <f>AND(Bills!R560,"AAAAADn7s+I=")</f>
        <v>#VALUE!</v>
      </c>
      <c r="HT143" t="e">
        <f>AND(Bills!S560,"AAAAADn7s+M=")</f>
        <v>#VALUE!</v>
      </c>
      <c r="HU143" t="e">
        <f>AND(Bills!T560,"AAAAADn7s+Q=")</f>
        <v>#VALUE!</v>
      </c>
      <c r="HV143" t="e">
        <f>AND(Bills!#REF!,"AAAAADn7s+U=")</f>
        <v>#REF!</v>
      </c>
      <c r="HW143" t="e">
        <f>AND(Bills!U560,"AAAAADn7s+Y=")</f>
        <v>#VALUE!</v>
      </c>
      <c r="HX143" t="e">
        <f>AND(Bills!V560,"AAAAADn7s+c=")</f>
        <v>#VALUE!</v>
      </c>
      <c r="HY143" t="e">
        <f>AND(Bills!W560,"AAAAADn7s+g=")</f>
        <v>#VALUE!</v>
      </c>
      <c r="HZ143" t="e">
        <f>AND(Bills!#REF!,"AAAAADn7s+k=")</f>
        <v>#REF!</v>
      </c>
      <c r="IA143" t="e">
        <f>AND(Bills!#REF!,"AAAAADn7s+o=")</f>
        <v>#REF!</v>
      </c>
      <c r="IB143" t="e">
        <f>AND(Bills!Y560,"AAAAADn7s+s=")</f>
        <v>#VALUE!</v>
      </c>
      <c r="IC143" t="e">
        <f>AND(Bills!Z560,"AAAAADn7s+w=")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AND(Bills!AA560,"AAAAADn7s/Y=")</f>
        <v>#VALUE!</v>
      </c>
      <c r="IN143" t="e">
        <f>AND(Bills!AB560,"AAAAADn7s/c=")</f>
        <v>#VALUE!</v>
      </c>
      <c r="IO143" t="e">
        <f>AND(Bills!#REF!,"AAAAADn7s/g=")</f>
        <v>#REF!</v>
      </c>
      <c r="IP143" t="e">
        <f>AND(Bills!#REF!,"AAAAADn7s/k=")</f>
        <v>#REF!</v>
      </c>
      <c r="IQ143" t="e">
        <f>AND(Bills!#REF!,"AAAAADn7s/o=")</f>
        <v>#REF!</v>
      </c>
      <c r="IR143" t="e">
        <f>AND(Bills!AC560,"AAAAADn7s/s=")</f>
        <v>#VALUE!</v>
      </c>
      <c r="IS143" t="e">
        <f>AND(Bills!AD560,"AAAAADn7s/w=")</f>
        <v>#VALUE!</v>
      </c>
      <c r="IT143" t="e">
        <f>AND(Bills!#REF!,"AAAAADn7s/0=")</f>
        <v>#REF!</v>
      </c>
      <c r="IU143">
        <f>IF(Bills!561:561,"AAAAADn7s/4=",0)</f>
        <v>0</v>
      </c>
      <c r="IV143" t="e">
        <f>AND(Bills!B561,"AAAAADn7s/8=")</f>
        <v>#VALUE!</v>
      </c>
    </row>
    <row r="144" spans="1:256">
      <c r="A144" t="e">
        <f>AND(Bills!#REF!,"AAAAAE7PjgA=")</f>
        <v>#REF!</v>
      </c>
      <c r="B144" t="e">
        <f>AND(Bills!C561,"AAAAAE7PjgE=")</f>
        <v>#VALUE!</v>
      </c>
      <c r="C144" t="e">
        <f>AND(Bills!D561,"AAAAAE7PjgI=")</f>
        <v>#VALUE!</v>
      </c>
      <c r="D144" t="e">
        <f>AND(Bills!E561,"AAAAAE7PjgM=")</f>
        <v>#VALUE!</v>
      </c>
      <c r="E144" t="e">
        <f>AND(Bills!#REF!,"AAAAAE7PjgQ=")</f>
        <v>#REF!</v>
      </c>
      <c r="F144" t="e">
        <f>AND(Bills!#REF!,"AAAAAE7PjgU=")</f>
        <v>#REF!</v>
      </c>
      <c r="G144" t="e">
        <f>AND(Bills!#REF!,"AAAAAE7PjgY=")</f>
        <v>#REF!</v>
      </c>
      <c r="H144" t="e">
        <f>AND(Bills!F561,"AAAAAE7Pjgc=")</f>
        <v>#VALUE!</v>
      </c>
      <c r="I144" t="e">
        <f>AND(Bills!#REF!,"AAAAAE7Pjgg=")</f>
        <v>#REF!</v>
      </c>
      <c r="J144" t="e">
        <f>AND(Bills!G561,"AAAAAE7Pjgk=")</f>
        <v>#VALUE!</v>
      </c>
      <c r="K144" t="e">
        <f>AND(Bills!H561,"AAAAAE7Pjgo=")</f>
        <v>#VALUE!</v>
      </c>
      <c r="L144" t="e">
        <f>AND(Bills!I561,"AAAAAE7Pjgs=")</f>
        <v>#VALUE!</v>
      </c>
      <c r="M144" t="e">
        <f>AND(Bills!J561,"AAAAAE7Pjgw=")</f>
        <v>#VALUE!</v>
      </c>
      <c r="N144" t="e">
        <f>AND(Bills!K561,"AAAAAE7Pjg0=")</f>
        <v>#VALUE!</v>
      </c>
      <c r="O144" t="e">
        <f>AND(Bills!L561,"AAAAAE7Pjg4=")</f>
        <v>#VALUE!</v>
      </c>
      <c r="P144" t="e">
        <f>AND(Bills!#REF!,"AAAAAE7Pjg8=")</f>
        <v>#REF!</v>
      </c>
      <c r="Q144" t="e">
        <f>AND(Bills!M561,"AAAAAE7PjhA=")</f>
        <v>#VALUE!</v>
      </c>
      <c r="R144" t="e">
        <f>AND(Bills!N561,"AAAAAE7PjhE=")</f>
        <v>#VALUE!</v>
      </c>
      <c r="S144" t="e">
        <f>AND(Bills!O561,"AAAAAE7PjhI=")</f>
        <v>#VALUE!</v>
      </c>
      <c r="T144" t="e">
        <f>AND(Bills!P561,"AAAAAE7PjhM=")</f>
        <v>#VALUE!</v>
      </c>
      <c r="U144" t="e">
        <f>AND(Bills!Q561,"AAAAAE7PjhQ=")</f>
        <v>#VALUE!</v>
      </c>
      <c r="V144" t="e">
        <f>AND(Bills!R561,"AAAAAE7PjhU=")</f>
        <v>#VALUE!</v>
      </c>
      <c r="W144" t="e">
        <f>AND(Bills!S561,"AAAAAE7PjhY=")</f>
        <v>#VALUE!</v>
      </c>
      <c r="X144" t="e">
        <f>AND(Bills!T561,"AAAAAE7Pjhc=")</f>
        <v>#VALUE!</v>
      </c>
      <c r="Y144" t="e">
        <f>AND(Bills!#REF!,"AAAAAE7Pjhg=")</f>
        <v>#REF!</v>
      </c>
      <c r="Z144" t="e">
        <f>AND(Bills!U561,"AAAAAE7Pjhk=")</f>
        <v>#VALUE!</v>
      </c>
      <c r="AA144" t="e">
        <f>AND(Bills!V561,"AAAAAE7Pjho=")</f>
        <v>#VALUE!</v>
      </c>
      <c r="AB144" t="e">
        <f>AND(Bills!W561,"AAAAAE7Pjhs=")</f>
        <v>#VALUE!</v>
      </c>
      <c r="AC144" t="e">
        <f>AND(Bills!#REF!,"AAAAAE7Pjhw=")</f>
        <v>#REF!</v>
      </c>
      <c r="AD144" t="e">
        <f>AND(Bills!#REF!,"AAAAAE7Pjh0=")</f>
        <v>#REF!</v>
      </c>
      <c r="AE144" t="e">
        <f>AND(Bills!Y561,"AAAAAE7Pjh4=")</f>
        <v>#VALUE!</v>
      </c>
      <c r="AF144" t="e">
        <f>AND(Bills!Z561,"AAAAAE7Pjh8=")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AND(Bills!AA561,"AAAAAE7Pjik=")</f>
        <v>#VALUE!</v>
      </c>
      <c r="AQ144" t="e">
        <f>AND(Bills!AB561,"AAAAAE7Pjio=")</f>
        <v>#VALUE!</v>
      </c>
      <c r="AR144" t="e">
        <f>AND(Bills!#REF!,"AAAAAE7Pjis=")</f>
        <v>#REF!</v>
      </c>
      <c r="AS144" t="e">
        <f>AND(Bills!#REF!,"AAAAAE7Pjiw=")</f>
        <v>#REF!</v>
      </c>
      <c r="AT144" t="e">
        <f>AND(Bills!#REF!,"AAAAAE7Pji0=")</f>
        <v>#REF!</v>
      </c>
      <c r="AU144" t="e">
        <f>AND(Bills!AC561,"AAAAAE7Pji4=")</f>
        <v>#VALUE!</v>
      </c>
      <c r="AV144" t="e">
        <f>AND(Bills!AD561,"AAAAAE7Pji8=")</f>
        <v>#VALUE!</v>
      </c>
      <c r="AW144" t="e">
        <f>AND(Bills!#REF!,"AAAAAE7PjjA=")</f>
        <v>#REF!</v>
      </c>
      <c r="AX144">
        <f>IF(Bills!562:562,"AAAAAE7PjjE=",0)</f>
        <v>0</v>
      </c>
      <c r="AY144" t="e">
        <f>AND(Bills!B562,"AAAAAE7PjjI=")</f>
        <v>#VALUE!</v>
      </c>
      <c r="AZ144" t="e">
        <f>AND(Bills!#REF!,"AAAAAE7PjjM=")</f>
        <v>#REF!</v>
      </c>
      <c r="BA144" t="e">
        <f>AND(Bills!C562,"AAAAAE7PjjQ=")</f>
        <v>#VALUE!</v>
      </c>
      <c r="BB144" t="e">
        <f>AND(Bills!D562,"AAAAAE7PjjU=")</f>
        <v>#VALUE!</v>
      </c>
      <c r="BC144" t="e">
        <f>AND(Bills!E562,"AAAAAE7PjjY=")</f>
        <v>#VALUE!</v>
      </c>
      <c r="BD144" t="e">
        <f>AND(Bills!#REF!,"AAAAAE7Pjjc=")</f>
        <v>#REF!</v>
      </c>
      <c r="BE144" t="e">
        <f>AND(Bills!#REF!,"AAAAAE7Pjjg=")</f>
        <v>#REF!</v>
      </c>
      <c r="BF144" t="e">
        <f>AND(Bills!#REF!,"AAAAAE7Pjjk=")</f>
        <v>#REF!</v>
      </c>
      <c r="BG144" t="e">
        <f>AND(Bills!F562,"AAAAAE7Pjjo=")</f>
        <v>#VALUE!</v>
      </c>
      <c r="BH144" t="e">
        <f>AND(Bills!#REF!,"AAAAAE7Pjjs=")</f>
        <v>#REF!</v>
      </c>
      <c r="BI144" t="e">
        <f>AND(Bills!G562,"AAAAAE7Pjjw=")</f>
        <v>#VALUE!</v>
      </c>
      <c r="BJ144" t="e">
        <f>AND(Bills!H562,"AAAAAE7Pjj0=")</f>
        <v>#VALUE!</v>
      </c>
      <c r="BK144" t="e">
        <f>AND(Bills!I562,"AAAAAE7Pjj4=")</f>
        <v>#VALUE!</v>
      </c>
      <c r="BL144" t="e">
        <f>AND(Bills!J562,"AAAAAE7Pjj8=")</f>
        <v>#VALUE!</v>
      </c>
      <c r="BM144" t="e">
        <f>AND(Bills!K562,"AAAAAE7PjkA=")</f>
        <v>#VALUE!</v>
      </c>
      <c r="BN144" t="e">
        <f>AND(Bills!L562,"AAAAAE7PjkE=")</f>
        <v>#VALUE!</v>
      </c>
      <c r="BO144" t="e">
        <f>AND(Bills!#REF!,"AAAAAE7PjkI=")</f>
        <v>#REF!</v>
      </c>
      <c r="BP144" t="e">
        <f>AND(Bills!M562,"AAAAAE7PjkM=")</f>
        <v>#VALUE!</v>
      </c>
      <c r="BQ144" t="e">
        <f>AND(Bills!N562,"AAAAAE7PjkQ=")</f>
        <v>#VALUE!</v>
      </c>
      <c r="BR144" t="e">
        <f>AND(Bills!O562,"AAAAAE7PjkU=")</f>
        <v>#VALUE!</v>
      </c>
      <c r="BS144" t="e">
        <f>AND(Bills!P562,"AAAAAE7PjkY=")</f>
        <v>#VALUE!</v>
      </c>
      <c r="BT144" t="e">
        <f>AND(Bills!Q562,"AAAAAE7Pjkc=")</f>
        <v>#VALUE!</v>
      </c>
      <c r="BU144" t="e">
        <f>AND(Bills!R562,"AAAAAE7Pjkg=")</f>
        <v>#VALUE!</v>
      </c>
      <c r="BV144" t="e">
        <f>AND(Bills!S562,"AAAAAE7Pjkk=")</f>
        <v>#VALUE!</v>
      </c>
      <c r="BW144" t="e">
        <f>AND(Bills!T562,"AAAAAE7Pjko=")</f>
        <v>#VALUE!</v>
      </c>
      <c r="BX144" t="e">
        <f>AND(Bills!#REF!,"AAAAAE7Pjks=")</f>
        <v>#REF!</v>
      </c>
      <c r="BY144" t="e">
        <f>AND(Bills!U562,"AAAAAE7Pjkw=")</f>
        <v>#VALUE!</v>
      </c>
      <c r="BZ144" t="e">
        <f>AND(Bills!V562,"AAAAAE7Pjk0=")</f>
        <v>#VALUE!</v>
      </c>
      <c r="CA144" t="e">
        <f>AND(Bills!W562,"AAAAAE7Pjk4=")</f>
        <v>#VALUE!</v>
      </c>
      <c r="CB144" t="e">
        <f>AND(Bills!#REF!,"AAAAAE7Pjk8=")</f>
        <v>#REF!</v>
      </c>
      <c r="CC144" t="e">
        <f>AND(Bills!#REF!,"AAAAAE7PjlA=")</f>
        <v>#REF!</v>
      </c>
      <c r="CD144" t="e">
        <f>AND(Bills!Y562,"AAAAAE7PjlE=")</f>
        <v>#VALUE!</v>
      </c>
      <c r="CE144" t="e">
        <f>AND(Bills!Z562,"AAAAAE7PjlI=")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AND(Bills!AA562,"AAAAAE7Pjlw=")</f>
        <v>#VALUE!</v>
      </c>
      <c r="CP144" t="e">
        <f>AND(Bills!AB562,"AAAAAE7Pjl0=")</f>
        <v>#VALUE!</v>
      </c>
      <c r="CQ144" t="e">
        <f>AND(Bills!#REF!,"AAAAAE7Pjl4=")</f>
        <v>#REF!</v>
      </c>
      <c r="CR144" t="e">
        <f>AND(Bills!#REF!,"AAAAAE7Pjl8=")</f>
        <v>#REF!</v>
      </c>
      <c r="CS144" t="e">
        <f>AND(Bills!#REF!,"AAAAAE7PjmA=")</f>
        <v>#REF!</v>
      </c>
      <c r="CT144" t="e">
        <f>AND(Bills!AC562,"AAAAAE7PjmE=")</f>
        <v>#VALUE!</v>
      </c>
      <c r="CU144" t="e">
        <f>AND(Bills!AD562,"AAAAAE7PjmI=")</f>
        <v>#VALUE!</v>
      </c>
      <c r="CV144" t="e">
        <f>AND(Bills!#REF!,"AAAAAE7PjmM=")</f>
        <v>#REF!</v>
      </c>
      <c r="CW144">
        <f>IF(Bills!563:563,"AAAAAE7PjmQ=",0)</f>
        <v>0</v>
      </c>
      <c r="CX144" t="e">
        <f>AND(Bills!B563,"AAAAAE7PjmU=")</f>
        <v>#VALUE!</v>
      </c>
      <c r="CY144" t="e">
        <f>AND(Bills!#REF!,"AAAAAE7PjmY=")</f>
        <v>#REF!</v>
      </c>
      <c r="CZ144" t="e">
        <f>AND(Bills!C563,"AAAAAE7Pjmc=")</f>
        <v>#VALUE!</v>
      </c>
      <c r="DA144" t="e">
        <f>AND(Bills!D563,"AAAAAE7Pjmg=")</f>
        <v>#VALUE!</v>
      </c>
      <c r="DB144" t="e">
        <f>AND(Bills!E563,"AAAAAE7Pjmk=")</f>
        <v>#VALUE!</v>
      </c>
      <c r="DC144" t="e">
        <f>AND(Bills!#REF!,"AAAAAE7Pjmo=")</f>
        <v>#REF!</v>
      </c>
      <c r="DD144" t="e">
        <f>AND(Bills!#REF!,"AAAAAE7Pjms=")</f>
        <v>#REF!</v>
      </c>
      <c r="DE144" t="e">
        <f>AND(Bills!#REF!,"AAAAAE7Pjmw=")</f>
        <v>#REF!</v>
      </c>
      <c r="DF144" t="e">
        <f>AND(Bills!F563,"AAAAAE7Pjm0=")</f>
        <v>#VALUE!</v>
      </c>
      <c r="DG144" t="e">
        <f>AND(Bills!#REF!,"AAAAAE7Pjm4=")</f>
        <v>#REF!</v>
      </c>
      <c r="DH144" t="e">
        <f>AND(Bills!G563,"AAAAAE7Pjm8=")</f>
        <v>#VALUE!</v>
      </c>
      <c r="DI144" t="e">
        <f>AND(Bills!H563,"AAAAAE7PjnA=")</f>
        <v>#VALUE!</v>
      </c>
      <c r="DJ144" t="e">
        <f>AND(Bills!I563,"AAAAAE7PjnE=")</f>
        <v>#VALUE!</v>
      </c>
      <c r="DK144" t="e">
        <f>AND(Bills!J563,"AAAAAE7PjnI=")</f>
        <v>#VALUE!</v>
      </c>
      <c r="DL144" t="e">
        <f>AND(Bills!K563,"AAAAAE7PjnM=")</f>
        <v>#VALUE!</v>
      </c>
      <c r="DM144" t="e">
        <f>AND(Bills!L563,"AAAAAE7PjnQ=")</f>
        <v>#VALUE!</v>
      </c>
      <c r="DN144" t="e">
        <f>AND(Bills!#REF!,"AAAAAE7PjnU=")</f>
        <v>#REF!</v>
      </c>
      <c r="DO144" t="e">
        <f>AND(Bills!M563,"AAAAAE7PjnY=")</f>
        <v>#VALUE!</v>
      </c>
      <c r="DP144" t="e">
        <f>AND(Bills!N563,"AAAAAE7Pjnc=")</f>
        <v>#VALUE!</v>
      </c>
      <c r="DQ144" t="e">
        <f>AND(Bills!O563,"AAAAAE7Pjng=")</f>
        <v>#VALUE!</v>
      </c>
      <c r="DR144" t="e">
        <f>AND(Bills!P563,"AAAAAE7Pjnk=")</f>
        <v>#VALUE!</v>
      </c>
      <c r="DS144" t="e">
        <f>AND(Bills!Q563,"AAAAAE7Pjno=")</f>
        <v>#VALUE!</v>
      </c>
      <c r="DT144" t="e">
        <f>AND(Bills!R563,"AAAAAE7Pjns=")</f>
        <v>#VALUE!</v>
      </c>
      <c r="DU144" t="e">
        <f>AND(Bills!S563,"AAAAAE7Pjnw=")</f>
        <v>#VALUE!</v>
      </c>
      <c r="DV144" t="e">
        <f>AND(Bills!T563,"AAAAAE7Pjn0=")</f>
        <v>#VALUE!</v>
      </c>
      <c r="DW144" t="e">
        <f>AND(Bills!#REF!,"AAAAAE7Pjn4=")</f>
        <v>#REF!</v>
      </c>
      <c r="DX144" t="e">
        <f>AND(Bills!U563,"AAAAAE7Pjn8=")</f>
        <v>#VALUE!</v>
      </c>
      <c r="DY144" t="e">
        <f>AND(Bills!V563,"AAAAAE7PjoA=")</f>
        <v>#VALUE!</v>
      </c>
      <c r="DZ144" t="e">
        <f>AND(Bills!W563,"AAAAAE7PjoE=")</f>
        <v>#VALUE!</v>
      </c>
      <c r="EA144" t="e">
        <f>AND(Bills!#REF!,"AAAAAE7PjoI=")</f>
        <v>#REF!</v>
      </c>
      <c r="EB144" t="e">
        <f>AND(Bills!#REF!,"AAAAAE7PjoM=")</f>
        <v>#REF!</v>
      </c>
      <c r="EC144" t="e">
        <f>AND(Bills!Y563,"AAAAAE7PjoQ=")</f>
        <v>#VALUE!</v>
      </c>
      <c r="ED144" t="e">
        <f>AND(Bills!Z563,"AAAAAE7PjoU=")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AND(Bills!AA563,"AAAAAE7Pjo8=")</f>
        <v>#VALUE!</v>
      </c>
      <c r="EO144" t="e">
        <f>AND(Bills!AB563,"AAAAAE7PjpA=")</f>
        <v>#VALUE!</v>
      </c>
      <c r="EP144" t="e">
        <f>AND(Bills!#REF!,"AAAAAE7PjpE=")</f>
        <v>#REF!</v>
      </c>
      <c r="EQ144" t="e">
        <f>AND(Bills!#REF!,"AAAAAE7PjpI=")</f>
        <v>#REF!</v>
      </c>
      <c r="ER144" t="e">
        <f>AND(Bills!#REF!,"AAAAAE7PjpM=")</f>
        <v>#REF!</v>
      </c>
      <c r="ES144" t="e">
        <f>AND(Bills!AC563,"AAAAAE7PjpQ=")</f>
        <v>#VALUE!</v>
      </c>
      <c r="ET144" t="e">
        <f>AND(Bills!AD563,"AAAAAE7PjpU=")</f>
        <v>#VALUE!</v>
      </c>
      <c r="EU144" t="e">
        <f>AND(Bills!#REF!,"AAAAAE7PjpY=")</f>
        <v>#REF!</v>
      </c>
      <c r="EV144">
        <f>IF(Bills!564:564,"AAAAAE7Pjpc=",0)</f>
        <v>0</v>
      </c>
      <c r="EW144" t="e">
        <f>AND(Bills!B564,"AAAAAE7Pjpg=")</f>
        <v>#VALUE!</v>
      </c>
      <c r="EX144" t="e">
        <f>AND(Bills!#REF!,"AAAAAE7Pjpk=")</f>
        <v>#REF!</v>
      </c>
      <c r="EY144" t="e">
        <f>AND(Bills!C564,"AAAAAE7Pjpo=")</f>
        <v>#VALUE!</v>
      </c>
      <c r="EZ144" t="e">
        <f>AND(Bills!D564,"AAAAAE7Pjps=")</f>
        <v>#VALUE!</v>
      </c>
      <c r="FA144" t="e">
        <f>AND(Bills!E564,"AAAAAE7Pjpw=")</f>
        <v>#VALUE!</v>
      </c>
      <c r="FB144" t="e">
        <f>AND(Bills!#REF!,"AAAAAE7Pjp0=")</f>
        <v>#REF!</v>
      </c>
      <c r="FC144" t="e">
        <f>AND(Bills!#REF!,"AAAAAE7Pjp4=")</f>
        <v>#REF!</v>
      </c>
      <c r="FD144" t="e">
        <f>AND(Bills!#REF!,"AAAAAE7Pjp8=")</f>
        <v>#REF!</v>
      </c>
      <c r="FE144" t="e">
        <f>AND(Bills!F564,"AAAAAE7PjqA=")</f>
        <v>#VALUE!</v>
      </c>
      <c r="FF144" t="e">
        <f>AND(Bills!#REF!,"AAAAAE7PjqE=")</f>
        <v>#REF!</v>
      </c>
      <c r="FG144" t="e">
        <f>AND(Bills!G564,"AAAAAE7PjqI=")</f>
        <v>#VALUE!</v>
      </c>
      <c r="FH144" t="e">
        <f>AND(Bills!H564,"AAAAAE7PjqM=")</f>
        <v>#VALUE!</v>
      </c>
      <c r="FI144" t="e">
        <f>AND(Bills!I564,"AAAAAE7PjqQ=")</f>
        <v>#VALUE!</v>
      </c>
      <c r="FJ144" t="e">
        <f>AND(Bills!J564,"AAAAAE7PjqU=")</f>
        <v>#VALUE!</v>
      </c>
      <c r="FK144" t="e">
        <f>AND(Bills!K564,"AAAAAE7PjqY=")</f>
        <v>#VALUE!</v>
      </c>
      <c r="FL144" t="e">
        <f>AND(Bills!L564,"AAAAAE7Pjqc=")</f>
        <v>#VALUE!</v>
      </c>
      <c r="FM144" t="e">
        <f>AND(Bills!#REF!,"AAAAAE7Pjqg=")</f>
        <v>#REF!</v>
      </c>
      <c r="FN144" t="e">
        <f>AND(Bills!M564,"AAAAAE7Pjqk=")</f>
        <v>#VALUE!</v>
      </c>
      <c r="FO144" t="e">
        <f>AND(Bills!N564,"AAAAAE7Pjqo=")</f>
        <v>#VALUE!</v>
      </c>
      <c r="FP144" t="e">
        <f>AND(Bills!O564,"AAAAAE7Pjqs=")</f>
        <v>#VALUE!</v>
      </c>
      <c r="FQ144" t="e">
        <f>AND(Bills!P564,"AAAAAE7Pjqw=")</f>
        <v>#VALUE!</v>
      </c>
      <c r="FR144" t="e">
        <f>AND(Bills!Q564,"AAAAAE7Pjq0=")</f>
        <v>#VALUE!</v>
      </c>
      <c r="FS144" t="e">
        <f>AND(Bills!R564,"AAAAAE7Pjq4=")</f>
        <v>#VALUE!</v>
      </c>
      <c r="FT144" t="e">
        <f>AND(Bills!S564,"AAAAAE7Pjq8=")</f>
        <v>#VALUE!</v>
      </c>
      <c r="FU144" t="e">
        <f>AND(Bills!T564,"AAAAAE7PjrA=")</f>
        <v>#VALUE!</v>
      </c>
      <c r="FV144" t="e">
        <f>AND(Bills!#REF!,"AAAAAE7PjrE=")</f>
        <v>#REF!</v>
      </c>
      <c r="FW144" t="e">
        <f>AND(Bills!U564,"AAAAAE7PjrI=")</f>
        <v>#VALUE!</v>
      </c>
      <c r="FX144" t="e">
        <f>AND(Bills!V564,"AAAAAE7PjrM=")</f>
        <v>#VALUE!</v>
      </c>
      <c r="FY144" t="e">
        <f>AND(Bills!W564,"AAAAAE7PjrQ=")</f>
        <v>#VALUE!</v>
      </c>
      <c r="FZ144" t="e">
        <f>AND(Bills!#REF!,"AAAAAE7PjrU=")</f>
        <v>#REF!</v>
      </c>
      <c r="GA144" t="e">
        <f>AND(Bills!#REF!,"AAAAAE7PjrY=")</f>
        <v>#REF!</v>
      </c>
      <c r="GB144" t="e">
        <f>AND(Bills!Y564,"AAAAAE7Pjrc=")</f>
        <v>#VALUE!</v>
      </c>
      <c r="GC144" t="e">
        <f>AND(Bills!Z564,"AAAAAE7Pjrg=")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AND(Bills!AA564,"AAAAAE7PjsI=")</f>
        <v>#VALUE!</v>
      </c>
      <c r="GN144" t="e">
        <f>AND(Bills!AB564,"AAAAAE7PjsM=")</f>
        <v>#VALUE!</v>
      </c>
      <c r="GO144" t="e">
        <f>AND(Bills!#REF!,"AAAAAE7PjsQ=")</f>
        <v>#REF!</v>
      </c>
      <c r="GP144" t="e">
        <f>AND(Bills!#REF!,"AAAAAE7PjsU=")</f>
        <v>#REF!</v>
      </c>
      <c r="GQ144" t="e">
        <f>AND(Bills!#REF!,"AAAAAE7PjsY=")</f>
        <v>#REF!</v>
      </c>
      <c r="GR144" t="e">
        <f>AND(Bills!AC564,"AAAAAE7Pjsc=")</f>
        <v>#VALUE!</v>
      </c>
      <c r="GS144" t="e">
        <f>AND(Bills!AD564,"AAAAAE7Pjsg=")</f>
        <v>#VALUE!</v>
      </c>
      <c r="GT144" t="e">
        <f>AND(Bills!#REF!,"AAAAAE7Pjsk=")</f>
        <v>#REF!</v>
      </c>
      <c r="GU144">
        <f>IF(Bills!565:565,"AAAAAE7Pjso=",0)</f>
        <v>0</v>
      </c>
      <c r="GV144" t="e">
        <f>AND(Bills!B565,"AAAAAE7Pjss=")</f>
        <v>#VALUE!</v>
      </c>
      <c r="GW144" t="e">
        <f>AND(Bills!#REF!,"AAAAAE7Pjsw=")</f>
        <v>#REF!</v>
      </c>
      <c r="GX144" t="e">
        <f>AND(Bills!C565,"AAAAAE7Pjs0=")</f>
        <v>#VALUE!</v>
      </c>
      <c r="GY144" t="e">
        <f>AND(Bills!D565,"AAAAAE7Pjs4=")</f>
        <v>#VALUE!</v>
      </c>
      <c r="GZ144" t="e">
        <f>AND(Bills!E565,"AAAAAE7Pjs8=")</f>
        <v>#VALUE!</v>
      </c>
      <c r="HA144" t="e">
        <f>AND(Bills!#REF!,"AAAAAE7PjtA=")</f>
        <v>#REF!</v>
      </c>
      <c r="HB144" t="e">
        <f>AND(Bills!#REF!,"AAAAAE7PjtE=")</f>
        <v>#REF!</v>
      </c>
      <c r="HC144" t="e">
        <f>AND(Bills!#REF!,"AAAAAE7PjtI=")</f>
        <v>#REF!</v>
      </c>
      <c r="HD144" t="e">
        <f>AND(Bills!F565,"AAAAAE7PjtM=")</f>
        <v>#VALUE!</v>
      </c>
      <c r="HE144" t="e">
        <f>AND(Bills!#REF!,"AAAAAE7PjtQ=")</f>
        <v>#REF!</v>
      </c>
      <c r="HF144" t="e">
        <f>AND(Bills!G565,"AAAAAE7PjtU=")</f>
        <v>#VALUE!</v>
      </c>
      <c r="HG144" t="e">
        <f>AND(Bills!H565,"AAAAAE7PjtY=")</f>
        <v>#VALUE!</v>
      </c>
      <c r="HH144" t="e">
        <f>AND(Bills!I565,"AAAAAE7Pjtc=")</f>
        <v>#VALUE!</v>
      </c>
      <c r="HI144" t="e">
        <f>AND(Bills!J565,"AAAAAE7Pjtg=")</f>
        <v>#VALUE!</v>
      </c>
      <c r="HJ144" t="e">
        <f>AND(Bills!K565,"AAAAAE7Pjtk=")</f>
        <v>#VALUE!</v>
      </c>
      <c r="HK144" t="e">
        <f>AND(Bills!L565,"AAAAAE7Pjto=")</f>
        <v>#VALUE!</v>
      </c>
      <c r="HL144" t="e">
        <f>AND(Bills!#REF!,"AAAAAE7Pjts=")</f>
        <v>#REF!</v>
      </c>
      <c r="HM144" t="e">
        <f>AND(Bills!M565,"AAAAAE7Pjtw=")</f>
        <v>#VALUE!</v>
      </c>
      <c r="HN144" t="e">
        <f>AND(Bills!N565,"AAAAAE7Pjt0=")</f>
        <v>#VALUE!</v>
      </c>
      <c r="HO144" t="e">
        <f>AND(Bills!O565,"AAAAAE7Pjt4=")</f>
        <v>#VALUE!</v>
      </c>
      <c r="HP144" t="e">
        <f>AND(Bills!P565,"AAAAAE7Pjt8=")</f>
        <v>#VALUE!</v>
      </c>
      <c r="HQ144" t="e">
        <f>AND(Bills!Q565,"AAAAAE7PjuA=")</f>
        <v>#VALUE!</v>
      </c>
      <c r="HR144" t="e">
        <f>AND(Bills!R565,"AAAAAE7PjuE=")</f>
        <v>#VALUE!</v>
      </c>
      <c r="HS144" t="e">
        <f>AND(Bills!S565,"AAAAAE7PjuI=")</f>
        <v>#VALUE!</v>
      </c>
      <c r="HT144" t="e">
        <f>AND(Bills!T565,"AAAAAE7PjuM=")</f>
        <v>#VALUE!</v>
      </c>
      <c r="HU144" t="e">
        <f>AND(Bills!#REF!,"AAAAAE7PjuQ=")</f>
        <v>#REF!</v>
      </c>
      <c r="HV144" t="e">
        <f>AND(Bills!U565,"AAAAAE7PjuU=")</f>
        <v>#VALUE!</v>
      </c>
      <c r="HW144" t="e">
        <f>AND(Bills!V565,"AAAAAE7PjuY=")</f>
        <v>#VALUE!</v>
      </c>
      <c r="HX144" t="e">
        <f>AND(Bills!W565,"AAAAAE7Pjuc=")</f>
        <v>#VALUE!</v>
      </c>
      <c r="HY144" t="e">
        <f>AND(Bills!#REF!,"AAAAAE7Pjug=")</f>
        <v>#REF!</v>
      </c>
      <c r="HZ144" t="e">
        <f>AND(Bills!#REF!,"AAAAAE7Pjuk=")</f>
        <v>#REF!</v>
      </c>
      <c r="IA144" t="e">
        <f>AND(Bills!Y565,"AAAAAE7Pjuo=")</f>
        <v>#VALUE!</v>
      </c>
      <c r="IB144" t="e">
        <f>AND(Bills!Z565,"AAAAAE7Pjus=")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AND(Bills!AA565,"AAAAAE7PjvU=")</f>
        <v>#VALUE!</v>
      </c>
      <c r="IM144" t="e">
        <f>AND(Bills!AB565,"AAAAAE7PjvY=")</f>
        <v>#VALUE!</v>
      </c>
      <c r="IN144" t="e">
        <f>AND(Bills!#REF!,"AAAAAE7Pjvc=")</f>
        <v>#REF!</v>
      </c>
      <c r="IO144" t="e">
        <f>AND(Bills!#REF!,"AAAAAE7Pjvg=")</f>
        <v>#REF!</v>
      </c>
      <c r="IP144" t="e">
        <f>AND(Bills!#REF!,"AAAAAE7Pjvk=")</f>
        <v>#REF!</v>
      </c>
      <c r="IQ144" t="e">
        <f>AND(Bills!AC565,"AAAAAE7Pjvo=")</f>
        <v>#VALUE!</v>
      </c>
      <c r="IR144" t="e">
        <f>AND(Bills!AD565,"AAAAAE7Pjvs=")</f>
        <v>#VALUE!</v>
      </c>
      <c r="IS144" t="e">
        <f>AND(Bills!#REF!,"AAAAAE7Pjvw=")</f>
        <v>#REF!</v>
      </c>
      <c r="IT144">
        <f>IF(Bills!566:566,"AAAAAE7Pjv0=",0)</f>
        <v>0</v>
      </c>
      <c r="IU144" t="e">
        <f>AND(Bills!B566,"AAAAAE7Pjv4=")</f>
        <v>#VALUE!</v>
      </c>
      <c r="IV144" t="e">
        <f>AND(Bills!#REF!,"AAAAAE7Pjv8=")</f>
        <v>#REF!</v>
      </c>
    </row>
    <row r="145" spans="1:256">
      <c r="A145" t="e">
        <f>AND(Bills!C566,"AAAAAH/efQA=")</f>
        <v>#VALUE!</v>
      </c>
      <c r="B145" t="e">
        <f>AND(Bills!D566,"AAAAAH/efQE=")</f>
        <v>#VALUE!</v>
      </c>
      <c r="C145" t="e">
        <f>AND(Bills!E566,"AAAAAH/efQI=")</f>
        <v>#VALUE!</v>
      </c>
      <c r="D145" t="e">
        <f>AND(Bills!#REF!,"AAAAAH/efQM=")</f>
        <v>#REF!</v>
      </c>
      <c r="E145" t="e">
        <f>AND(Bills!#REF!,"AAAAAH/efQQ=")</f>
        <v>#REF!</v>
      </c>
      <c r="F145" t="e">
        <f>AND(Bills!#REF!,"AAAAAH/efQU=")</f>
        <v>#REF!</v>
      </c>
      <c r="G145" t="e">
        <f>AND(Bills!F566,"AAAAAH/efQY=")</f>
        <v>#VALUE!</v>
      </c>
      <c r="H145" t="e">
        <f>AND(Bills!#REF!,"AAAAAH/efQc=")</f>
        <v>#REF!</v>
      </c>
      <c r="I145" t="e">
        <f>AND(Bills!G566,"AAAAAH/efQg=")</f>
        <v>#VALUE!</v>
      </c>
      <c r="J145" t="e">
        <f>AND(Bills!H566,"AAAAAH/efQk=")</f>
        <v>#VALUE!</v>
      </c>
      <c r="K145" t="e">
        <f>AND(Bills!I566,"AAAAAH/efQo=")</f>
        <v>#VALUE!</v>
      </c>
      <c r="L145" t="e">
        <f>AND(Bills!J566,"AAAAAH/efQs=")</f>
        <v>#VALUE!</v>
      </c>
      <c r="M145" t="e">
        <f>AND(Bills!K566,"AAAAAH/efQw=")</f>
        <v>#VALUE!</v>
      </c>
      <c r="N145" t="e">
        <f>AND(Bills!L566,"AAAAAH/efQ0=")</f>
        <v>#VALUE!</v>
      </c>
      <c r="O145" t="e">
        <f>AND(Bills!#REF!,"AAAAAH/efQ4=")</f>
        <v>#REF!</v>
      </c>
      <c r="P145" t="e">
        <f>AND(Bills!M566,"AAAAAH/efQ8=")</f>
        <v>#VALUE!</v>
      </c>
      <c r="Q145" t="e">
        <f>AND(Bills!N566,"AAAAAH/efRA=")</f>
        <v>#VALUE!</v>
      </c>
      <c r="R145" t="e">
        <f>AND(Bills!O566,"AAAAAH/efRE=")</f>
        <v>#VALUE!</v>
      </c>
      <c r="S145" t="e">
        <f>AND(Bills!P566,"AAAAAH/efRI=")</f>
        <v>#VALUE!</v>
      </c>
      <c r="T145" t="e">
        <f>AND(Bills!Q566,"AAAAAH/efRM=")</f>
        <v>#VALUE!</v>
      </c>
      <c r="U145" t="e">
        <f>AND(Bills!R566,"AAAAAH/efRQ=")</f>
        <v>#VALUE!</v>
      </c>
      <c r="V145" t="e">
        <f>AND(Bills!S566,"AAAAAH/efRU=")</f>
        <v>#VALUE!</v>
      </c>
      <c r="W145" t="e">
        <f>AND(Bills!T566,"AAAAAH/efRY=")</f>
        <v>#VALUE!</v>
      </c>
      <c r="X145" t="e">
        <f>AND(Bills!#REF!,"AAAAAH/efRc=")</f>
        <v>#REF!</v>
      </c>
      <c r="Y145" t="e">
        <f>AND(Bills!U566,"AAAAAH/efRg=")</f>
        <v>#VALUE!</v>
      </c>
      <c r="Z145" t="e">
        <f>AND(Bills!V566,"AAAAAH/efRk=")</f>
        <v>#VALUE!</v>
      </c>
      <c r="AA145" t="e">
        <f>AND(Bills!W566,"AAAAAH/efRo=")</f>
        <v>#VALUE!</v>
      </c>
      <c r="AB145" t="e">
        <f>AND(Bills!#REF!,"AAAAAH/efRs=")</f>
        <v>#REF!</v>
      </c>
      <c r="AC145" t="e">
        <f>AND(Bills!#REF!,"AAAAAH/efRw=")</f>
        <v>#REF!</v>
      </c>
      <c r="AD145" t="e">
        <f>AND(Bills!Y566,"AAAAAH/efR0=")</f>
        <v>#VALUE!</v>
      </c>
      <c r="AE145" t="e">
        <f>AND(Bills!Z566,"AAAAAH/efR4=")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AND(Bills!AA566,"AAAAAH/efSg=")</f>
        <v>#VALUE!</v>
      </c>
      <c r="AP145" t="e">
        <f>AND(Bills!AB566,"AAAAAH/efSk=")</f>
        <v>#VALUE!</v>
      </c>
      <c r="AQ145" t="e">
        <f>AND(Bills!#REF!,"AAAAAH/efSo=")</f>
        <v>#REF!</v>
      </c>
      <c r="AR145" t="e">
        <f>AND(Bills!#REF!,"AAAAAH/efSs=")</f>
        <v>#REF!</v>
      </c>
      <c r="AS145" t="e">
        <f>AND(Bills!#REF!,"AAAAAH/efSw=")</f>
        <v>#REF!</v>
      </c>
      <c r="AT145" t="e">
        <f>AND(Bills!AC566,"AAAAAH/efS0=")</f>
        <v>#VALUE!</v>
      </c>
      <c r="AU145" t="e">
        <f>AND(Bills!AD566,"AAAAAH/efS4=")</f>
        <v>#VALUE!</v>
      </c>
      <c r="AV145" t="e">
        <f>AND(Bills!#REF!,"AAAAAH/efS8=")</f>
        <v>#REF!</v>
      </c>
      <c r="AW145">
        <f>IF(Bills!567:567,"AAAAAH/efTA=",0)</f>
        <v>0</v>
      </c>
      <c r="AX145" t="e">
        <f>AND(Bills!B567,"AAAAAH/efTE=")</f>
        <v>#VALUE!</v>
      </c>
      <c r="AY145" t="e">
        <f>AND(Bills!#REF!,"AAAAAH/efTI=")</f>
        <v>#REF!</v>
      </c>
      <c r="AZ145" t="e">
        <f>AND(Bills!C567,"AAAAAH/efTM=")</f>
        <v>#VALUE!</v>
      </c>
      <c r="BA145" t="e">
        <f>AND(Bills!D567,"AAAAAH/efTQ=")</f>
        <v>#VALUE!</v>
      </c>
      <c r="BB145" t="e">
        <f>AND(Bills!E567,"AAAAAH/efTU=")</f>
        <v>#VALUE!</v>
      </c>
      <c r="BC145" t="e">
        <f>AND(Bills!#REF!,"AAAAAH/efTY=")</f>
        <v>#REF!</v>
      </c>
      <c r="BD145" t="e">
        <f>AND(Bills!#REF!,"AAAAAH/efTc=")</f>
        <v>#REF!</v>
      </c>
      <c r="BE145" t="e">
        <f>AND(Bills!#REF!,"AAAAAH/efTg=")</f>
        <v>#REF!</v>
      </c>
      <c r="BF145" t="e">
        <f>AND(Bills!F567,"AAAAAH/efTk=")</f>
        <v>#VALUE!</v>
      </c>
      <c r="BG145" t="e">
        <f>AND(Bills!#REF!,"AAAAAH/efTo=")</f>
        <v>#REF!</v>
      </c>
      <c r="BH145" t="e">
        <f>AND(Bills!G567,"AAAAAH/efTs=")</f>
        <v>#VALUE!</v>
      </c>
      <c r="BI145" t="e">
        <f>AND(Bills!H567,"AAAAAH/efTw=")</f>
        <v>#VALUE!</v>
      </c>
      <c r="BJ145" t="e">
        <f>AND(Bills!I567,"AAAAAH/efT0=")</f>
        <v>#VALUE!</v>
      </c>
      <c r="BK145" t="e">
        <f>AND(Bills!J567,"AAAAAH/efT4=")</f>
        <v>#VALUE!</v>
      </c>
      <c r="BL145" t="e">
        <f>AND(Bills!K567,"AAAAAH/efT8=")</f>
        <v>#VALUE!</v>
      </c>
      <c r="BM145" t="e">
        <f>AND(Bills!L567,"AAAAAH/efUA=")</f>
        <v>#VALUE!</v>
      </c>
      <c r="BN145" t="e">
        <f>AND(Bills!#REF!,"AAAAAH/efUE=")</f>
        <v>#REF!</v>
      </c>
      <c r="BO145" t="e">
        <f>AND(Bills!M567,"AAAAAH/efUI=")</f>
        <v>#VALUE!</v>
      </c>
      <c r="BP145" t="e">
        <f>AND(Bills!N567,"AAAAAH/efUM=")</f>
        <v>#VALUE!</v>
      </c>
      <c r="BQ145" t="e">
        <f>AND(Bills!O567,"AAAAAH/efUQ=")</f>
        <v>#VALUE!</v>
      </c>
      <c r="BR145" t="e">
        <f>AND(Bills!P567,"AAAAAH/efUU=")</f>
        <v>#VALUE!</v>
      </c>
      <c r="BS145" t="e">
        <f>AND(Bills!Q567,"AAAAAH/efUY=")</f>
        <v>#VALUE!</v>
      </c>
      <c r="BT145" t="e">
        <f>AND(Bills!R567,"AAAAAH/efUc=")</f>
        <v>#VALUE!</v>
      </c>
      <c r="BU145" t="e">
        <f>AND(Bills!S567,"AAAAAH/efUg=")</f>
        <v>#VALUE!</v>
      </c>
      <c r="BV145" t="e">
        <f>AND(Bills!T567,"AAAAAH/efUk=")</f>
        <v>#VALUE!</v>
      </c>
      <c r="BW145" t="e">
        <f>AND(Bills!#REF!,"AAAAAH/efUo=")</f>
        <v>#REF!</v>
      </c>
      <c r="BX145" t="e">
        <f>AND(Bills!U567,"AAAAAH/efUs=")</f>
        <v>#VALUE!</v>
      </c>
      <c r="BY145" t="e">
        <f>AND(Bills!V567,"AAAAAH/efUw=")</f>
        <v>#VALUE!</v>
      </c>
      <c r="BZ145" t="e">
        <f>AND(Bills!W567,"AAAAAH/efU0=")</f>
        <v>#VALUE!</v>
      </c>
      <c r="CA145" t="e">
        <f>AND(Bills!#REF!,"AAAAAH/efU4=")</f>
        <v>#REF!</v>
      </c>
      <c r="CB145" t="e">
        <f>AND(Bills!#REF!,"AAAAAH/efU8=")</f>
        <v>#REF!</v>
      </c>
      <c r="CC145" t="e">
        <f>AND(Bills!Y567,"AAAAAH/efVA=")</f>
        <v>#VALUE!</v>
      </c>
      <c r="CD145" t="e">
        <f>AND(Bills!Z567,"AAAAAH/efVE=")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AND(Bills!AA567,"AAAAAH/efVs=")</f>
        <v>#VALUE!</v>
      </c>
      <c r="CO145" t="e">
        <f>AND(Bills!AB567,"AAAAAH/efVw=")</f>
        <v>#VALUE!</v>
      </c>
      <c r="CP145" t="e">
        <f>AND(Bills!#REF!,"AAAAAH/efV0=")</f>
        <v>#REF!</v>
      </c>
      <c r="CQ145" t="e">
        <f>AND(Bills!#REF!,"AAAAAH/efV4=")</f>
        <v>#REF!</v>
      </c>
      <c r="CR145" t="e">
        <f>AND(Bills!#REF!,"AAAAAH/efV8=")</f>
        <v>#REF!</v>
      </c>
      <c r="CS145" t="e">
        <f>AND(Bills!AC567,"AAAAAH/efWA=")</f>
        <v>#VALUE!</v>
      </c>
      <c r="CT145" t="e">
        <f>AND(Bills!AD567,"AAAAAH/efWE=")</f>
        <v>#VALUE!</v>
      </c>
      <c r="CU145" t="e">
        <f>AND(Bills!#REF!,"AAAAAH/efWI=")</f>
        <v>#REF!</v>
      </c>
      <c r="CV145">
        <f>IF(Bills!568:568,"AAAAAH/efWM=",0)</f>
        <v>0</v>
      </c>
      <c r="CW145" t="e">
        <f>AND(Bills!B568,"AAAAAH/efWQ=")</f>
        <v>#VALUE!</v>
      </c>
      <c r="CX145" t="e">
        <f>AND(Bills!#REF!,"AAAAAH/efWU=")</f>
        <v>#REF!</v>
      </c>
      <c r="CY145" t="e">
        <f>AND(Bills!C568,"AAAAAH/efWY=")</f>
        <v>#VALUE!</v>
      </c>
      <c r="CZ145" t="e">
        <f>AND(Bills!D568,"AAAAAH/efWc=")</f>
        <v>#VALUE!</v>
      </c>
      <c r="DA145" t="e">
        <f>AND(Bills!E568,"AAAAAH/efWg=")</f>
        <v>#VALUE!</v>
      </c>
      <c r="DB145" t="e">
        <f>AND(Bills!#REF!,"AAAAAH/efWk=")</f>
        <v>#REF!</v>
      </c>
      <c r="DC145" t="e">
        <f>AND(Bills!#REF!,"AAAAAH/efWo=")</f>
        <v>#REF!</v>
      </c>
      <c r="DD145" t="e">
        <f>AND(Bills!#REF!,"AAAAAH/efWs=")</f>
        <v>#REF!</v>
      </c>
      <c r="DE145" t="e">
        <f>AND(Bills!F568,"AAAAAH/efWw=")</f>
        <v>#VALUE!</v>
      </c>
      <c r="DF145" t="e">
        <f>AND(Bills!#REF!,"AAAAAH/efW0=")</f>
        <v>#REF!</v>
      </c>
      <c r="DG145" t="e">
        <f>AND(Bills!G568,"AAAAAH/efW4=")</f>
        <v>#VALUE!</v>
      </c>
      <c r="DH145" t="e">
        <f>AND(Bills!H568,"AAAAAH/efW8=")</f>
        <v>#VALUE!</v>
      </c>
      <c r="DI145" t="e">
        <f>AND(Bills!I568,"AAAAAH/efXA=")</f>
        <v>#VALUE!</v>
      </c>
      <c r="DJ145" t="e">
        <f>AND(Bills!J568,"AAAAAH/efXE=")</f>
        <v>#VALUE!</v>
      </c>
      <c r="DK145" t="e">
        <f>AND(Bills!K568,"AAAAAH/efXI=")</f>
        <v>#VALUE!</v>
      </c>
      <c r="DL145" t="e">
        <f>AND(Bills!L568,"AAAAAH/efXM=")</f>
        <v>#VALUE!</v>
      </c>
      <c r="DM145" t="e">
        <f>AND(Bills!#REF!,"AAAAAH/efXQ=")</f>
        <v>#REF!</v>
      </c>
      <c r="DN145" t="e">
        <f>AND(Bills!M568,"AAAAAH/efXU=")</f>
        <v>#VALUE!</v>
      </c>
      <c r="DO145" t="e">
        <f>AND(Bills!N568,"AAAAAH/efXY=")</f>
        <v>#VALUE!</v>
      </c>
      <c r="DP145" t="e">
        <f>AND(Bills!O568,"AAAAAH/efXc=")</f>
        <v>#VALUE!</v>
      </c>
      <c r="DQ145" t="e">
        <f>AND(Bills!P568,"AAAAAH/efXg=")</f>
        <v>#VALUE!</v>
      </c>
      <c r="DR145" t="e">
        <f>AND(Bills!Q568,"AAAAAH/efXk=")</f>
        <v>#VALUE!</v>
      </c>
      <c r="DS145" t="e">
        <f>AND(Bills!R568,"AAAAAH/efXo=")</f>
        <v>#VALUE!</v>
      </c>
      <c r="DT145" t="e">
        <f>AND(Bills!S568,"AAAAAH/efXs=")</f>
        <v>#VALUE!</v>
      </c>
      <c r="DU145" t="e">
        <f>AND(Bills!T568,"AAAAAH/efXw=")</f>
        <v>#VALUE!</v>
      </c>
      <c r="DV145" t="e">
        <f>AND(Bills!#REF!,"AAAAAH/efX0=")</f>
        <v>#REF!</v>
      </c>
      <c r="DW145" t="e">
        <f>AND(Bills!U568,"AAAAAH/efX4=")</f>
        <v>#VALUE!</v>
      </c>
      <c r="DX145" t="e">
        <f>AND(Bills!V568,"AAAAAH/efX8=")</f>
        <v>#VALUE!</v>
      </c>
      <c r="DY145" t="e">
        <f>AND(Bills!W568,"AAAAAH/efYA=")</f>
        <v>#VALUE!</v>
      </c>
      <c r="DZ145" t="e">
        <f>AND(Bills!#REF!,"AAAAAH/efYE=")</f>
        <v>#REF!</v>
      </c>
      <c r="EA145" t="e">
        <f>AND(Bills!#REF!,"AAAAAH/efYI=")</f>
        <v>#REF!</v>
      </c>
      <c r="EB145" t="e">
        <f>AND(Bills!Y568,"AAAAAH/efYM=")</f>
        <v>#VALUE!</v>
      </c>
      <c r="EC145" t="e">
        <f>AND(Bills!Z568,"AAAAAH/efYQ=")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AND(Bills!AA568,"AAAAAH/efY4=")</f>
        <v>#VALUE!</v>
      </c>
      <c r="EN145" t="e">
        <f>AND(Bills!AB568,"AAAAAH/efY8=")</f>
        <v>#VALUE!</v>
      </c>
      <c r="EO145" t="e">
        <f>AND(Bills!#REF!,"AAAAAH/efZA=")</f>
        <v>#REF!</v>
      </c>
      <c r="EP145" t="e">
        <f>AND(Bills!#REF!,"AAAAAH/efZE=")</f>
        <v>#REF!</v>
      </c>
      <c r="EQ145" t="e">
        <f>AND(Bills!#REF!,"AAAAAH/efZI=")</f>
        <v>#REF!</v>
      </c>
      <c r="ER145" t="e">
        <f>AND(Bills!AC568,"AAAAAH/efZM=")</f>
        <v>#VALUE!</v>
      </c>
      <c r="ES145" t="e">
        <f>AND(Bills!AD568,"AAAAAH/efZQ=")</f>
        <v>#VALUE!</v>
      </c>
      <c r="ET145" t="e">
        <f>AND(Bills!#REF!,"AAAAAH/efZU=")</f>
        <v>#REF!</v>
      </c>
      <c r="EU145">
        <f>IF(Bills!569:569,"AAAAAH/efZY=",0)</f>
        <v>0</v>
      </c>
      <c r="EV145" t="e">
        <f>AND(Bills!B569,"AAAAAH/efZc=")</f>
        <v>#VALUE!</v>
      </c>
      <c r="EW145" t="e">
        <f>AND(Bills!#REF!,"AAAAAH/efZg=")</f>
        <v>#REF!</v>
      </c>
      <c r="EX145" t="e">
        <f>AND(Bills!C569,"AAAAAH/efZk=")</f>
        <v>#VALUE!</v>
      </c>
      <c r="EY145" t="e">
        <f>AND(Bills!D569,"AAAAAH/efZo=")</f>
        <v>#VALUE!</v>
      </c>
      <c r="EZ145" t="e">
        <f>AND(Bills!E569,"AAAAAH/efZs=")</f>
        <v>#VALUE!</v>
      </c>
      <c r="FA145" t="e">
        <f>AND(Bills!#REF!,"AAAAAH/efZw=")</f>
        <v>#REF!</v>
      </c>
      <c r="FB145" t="e">
        <f>AND(Bills!#REF!,"AAAAAH/efZ0=")</f>
        <v>#REF!</v>
      </c>
      <c r="FC145" t="e">
        <f>AND(Bills!#REF!,"AAAAAH/efZ4=")</f>
        <v>#REF!</v>
      </c>
      <c r="FD145" t="e">
        <f>AND(Bills!F569,"AAAAAH/efZ8=")</f>
        <v>#VALUE!</v>
      </c>
      <c r="FE145" t="e">
        <f>AND(Bills!#REF!,"AAAAAH/efaA=")</f>
        <v>#REF!</v>
      </c>
      <c r="FF145" t="e">
        <f>AND(Bills!G569,"AAAAAH/efaE=")</f>
        <v>#VALUE!</v>
      </c>
      <c r="FG145" t="e">
        <f>AND(Bills!H569,"AAAAAH/efaI=")</f>
        <v>#VALUE!</v>
      </c>
      <c r="FH145" t="e">
        <f>AND(Bills!I569,"AAAAAH/efaM=")</f>
        <v>#VALUE!</v>
      </c>
      <c r="FI145" t="e">
        <f>AND(Bills!J569,"AAAAAH/efaQ=")</f>
        <v>#VALUE!</v>
      </c>
      <c r="FJ145" t="e">
        <f>AND(Bills!K569,"AAAAAH/efaU=")</f>
        <v>#VALUE!</v>
      </c>
      <c r="FK145" t="e">
        <f>AND(Bills!L569,"AAAAAH/efaY=")</f>
        <v>#VALUE!</v>
      </c>
      <c r="FL145" t="e">
        <f>AND(Bills!#REF!,"AAAAAH/efac=")</f>
        <v>#REF!</v>
      </c>
      <c r="FM145" t="e">
        <f>AND(Bills!M569,"AAAAAH/efag=")</f>
        <v>#VALUE!</v>
      </c>
      <c r="FN145" t="e">
        <f>AND(Bills!N569,"AAAAAH/efak=")</f>
        <v>#VALUE!</v>
      </c>
      <c r="FO145" t="e">
        <f>AND(Bills!O569,"AAAAAH/efao=")</f>
        <v>#VALUE!</v>
      </c>
      <c r="FP145" t="e">
        <f>AND(Bills!P569,"AAAAAH/efas=")</f>
        <v>#VALUE!</v>
      </c>
      <c r="FQ145" t="e">
        <f>AND(Bills!Q569,"AAAAAH/efaw=")</f>
        <v>#VALUE!</v>
      </c>
      <c r="FR145" t="e">
        <f>AND(Bills!R569,"AAAAAH/efa0=")</f>
        <v>#VALUE!</v>
      </c>
      <c r="FS145" t="e">
        <f>AND(Bills!S569,"AAAAAH/efa4=")</f>
        <v>#VALUE!</v>
      </c>
      <c r="FT145" t="e">
        <f>AND(Bills!T569,"AAAAAH/efa8=")</f>
        <v>#VALUE!</v>
      </c>
      <c r="FU145" t="e">
        <f>AND(Bills!#REF!,"AAAAAH/efbA=")</f>
        <v>#REF!</v>
      </c>
      <c r="FV145" t="e">
        <f>AND(Bills!U569,"AAAAAH/efbE=")</f>
        <v>#VALUE!</v>
      </c>
      <c r="FW145" t="e">
        <f>AND(Bills!V569,"AAAAAH/efbI=")</f>
        <v>#VALUE!</v>
      </c>
      <c r="FX145" t="e">
        <f>AND(Bills!W569,"AAAAAH/efbM=")</f>
        <v>#VALUE!</v>
      </c>
      <c r="FY145" t="e">
        <f>AND(Bills!#REF!,"AAAAAH/efbQ=")</f>
        <v>#REF!</v>
      </c>
      <c r="FZ145" t="e">
        <f>AND(Bills!#REF!,"AAAAAH/efbU=")</f>
        <v>#REF!</v>
      </c>
      <c r="GA145" t="e">
        <f>AND(Bills!Y569,"AAAAAH/efbY=")</f>
        <v>#VALUE!</v>
      </c>
      <c r="GB145" t="e">
        <f>AND(Bills!Z569,"AAAAAH/efbc=")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AND(Bills!AA569,"AAAAAH/efcE=")</f>
        <v>#VALUE!</v>
      </c>
      <c r="GM145" t="e">
        <f>AND(Bills!AB569,"AAAAAH/efcI=")</f>
        <v>#VALUE!</v>
      </c>
      <c r="GN145" t="e">
        <f>AND(Bills!#REF!,"AAAAAH/efcM=")</f>
        <v>#REF!</v>
      </c>
      <c r="GO145" t="e">
        <f>AND(Bills!#REF!,"AAAAAH/efcQ=")</f>
        <v>#REF!</v>
      </c>
      <c r="GP145" t="e">
        <f>AND(Bills!#REF!,"AAAAAH/efcU=")</f>
        <v>#REF!</v>
      </c>
      <c r="GQ145" t="e">
        <f>AND(Bills!AC569,"AAAAAH/efcY=")</f>
        <v>#VALUE!</v>
      </c>
      <c r="GR145" t="e">
        <f>AND(Bills!AD569,"AAAAAH/efcc=")</f>
        <v>#VALUE!</v>
      </c>
      <c r="GS145" t="e">
        <f>AND(Bills!#REF!,"AAAAAH/efcg=")</f>
        <v>#REF!</v>
      </c>
      <c r="GT145">
        <f>IF(Bills!570:570,"AAAAAH/efck=",0)</f>
        <v>0</v>
      </c>
      <c r="GU145" t="e">
        <f>AND(Bills!B570,"AAAAAH/efco=")</f>
        <v>#VALUE!</v>
      </c>
      <c r="GV145" t="e">
        <f>AND(Bills!#REF!,"AAAAAH/efcs=")</f>
        <v>#REF!</v>
      </c>
      <c r="GW145" t="e">
        <f>AND(Bills!C570,"AAAAAH/efcw=")</f>
        <v>#VALUE!</v>
      </c>
      <c r="GX145" t="e">
        <f>AND(Bills!D570,"AAAAAH/efc0=")</f>
        <v>#VALUE!</v>
      </c>
      <c r="GY145" t="e">
        <f>AND(Bills!E570,"AAAAAH/efc4=")</f>
        <v>#VALUE!</v>
      </c>
      <c r="GZ145" t="e">
        <f>AND(Bills!#REF!,"AAAAAH/efc8=")</f>
        <v>#REF!</v>
      </c>
      <c r="HA145" t="e">
        <f>AND(Bills!#REF!,"AAAAAH/efdA=")</f>
        <v>#REF!</v>
      </c>
      <c r="HB145" t="e">
        <f>AND(Bills!#REF!,"AAAAAH/efdE=")</f>
        <v>#REF!</v>
      </c>
      <c r="HC145" t="e">
        <f>AND(Bills!F570,"AAAAAH/efdI=")</f>
        <v>#VALUE!</v>
      </c>
      <c r="HD145" t="e">
        <f>AND(Bills!#REF!,"AAAAAH/efdM=")</f>
        <v>#REF!</v>
      </c>
      <c r="HE145" t="e">
        <f>AND(Bills!G570,"AAAAAH/efdQ=")</f>
        <v>#VALUE!</v>
      </c>
      <c r="HF145" t="e">
        <f>AND(Bills!H570,"AAAAAH/efdU=")</f>
        <v>#VALUE!</v>
      </c>
      <c r="HG145" t="e">
        <f>AND(Bills!I570,"AAAAAH/efdY=")</f>
        <v>#VALUE!</v>
      </c>
      <c r="HH145" t="e">
        <f>AND(Bills!J570,"AAAAAH/efdc=")</f>
        <v>#VALUE!</v>
      </c>
      <c r="HI145" t="e">
        <f>AND(Bills!K570,"AAAAAH/efdg=")</f>
        <v>#VALUE!</v>
      </c>
      <c r="HJ145" t="e">
        <f>AND(Bills!L570,"AAAAAH/efdk=")</f>
        <v>#VALUE!</v>
      </c>
      <c r="HK145" t="e">
        <f>AND(Bills!#REF!,"AAAAAH/efdo=")</f>
        <v>#REF!</v>
      </c>
      <c r="HL145" t="e">
        <f>AND(Bills!M570,"AAAAAH/efds=")</f>
        <v>#VALUE!</v>
      </c>
      <c r="HM145" t="e">
        <f>AND(Bills!N570,"AAAAAH/efdw=")</f>
        <v>#VALUE!</v>
      </c>
      <c r="HN145" t="e">
        <f>AND(Bills!O570,"AAAAAH/efd0=")</f>
        <v>#VALUE!</v>
      </c>
      <c r="HO145" t="e">
        <f>AND(Bills!P570,"AAAAAH/efd4=")</f>
        <v>#VALUE!</v>
      </c>
      <c r="HP145" t="e">
        <f>AND(Bills!Q570,"AAAAAH/efd8=")</f>
        <v>#VALUE!</v>
      </c>
      <c r="HQ145" t="e">
        <f>AND(Bills!R570,"AAAAAH/efeA=")</f>
        <v>#VALUE!</v>
      </c>
      <c r="HR145" t="e">
        <f>AND(Bills!S570,"AAAAAH/efeE=")</f>
        <v>#VALUE!</v>
      </c>
      <c r="HS145" t="e">
        <f>AND(Bills!T570,"AAAAAH/efeI=")</f>
        <v>#VALUE!</v>
      </c>
      <c r="HT145" t="e">
        <f>AND(Bills!#REF!,"AAAAAH/efeM=")</f>
        <v>#REF!</v>
      </c>
      <c r="HU145" t="e">
        <f>AND(Bills!U570,"AAAAAH/efeQ=")</f>
        <v>#VALUE!</v>
      </c>
      <c r="HV145" t="e">
        <f>AND(Bills!V570,"AAAAAH/efeU=")</f>
        <v>#VALUE!</v>
      </c>
      <c r="HW145" t="e">
        <f>AND(Bills!W570,"AAAAAH/efeY=")</f>
        <v>#VALUE!</v>
      </c>
      <c r="HX145" t="e">
        <f>AND(Bills!#REF!,"AAAAAH/efec=")</f>
        <v>#REF!</v>
      </c>
      <c r="HY145" t="e">
        <f>AND(Bills!#REF!,"AAAAAH/efeg=")</f>
        <v>#REF!</v>
      </c>
      <c r="HZ145" t="e">
        <f>AND(Bills!Y570,"AAAAAH/efek=")</f>
        <v>#VALUE!</v>
      </c>
      <c r="IA145" t="e">
        <f>AND(Bills!Z570,"AAAAAH/efeo=")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AND(Bills!AA570,"AAAAAH/effQ=")</f>
        <v>#VALUE!</v>
      </c>
      <c r="IL145" t="e">
        <f>AND(Bills!AB570,"AAAAAH/effU=")</f>
        <v>#VALUE!</v>
      </c>
      <c r="IM145" t="e">
        <f>AND(Bills!#REF!,"AAAAAH/effY=")</f>
        <v>#REF!</v>
      </c>
      <c r="IN145" t="e">
        <f>AND(Bills!#REF!,"AAAAAH/effc=")</f>
        <v>#REF!</v>
      </c>
      <c r="IO145" t="e">
        <f>AND(Bills!#REF!,"AAAAAH/effg=")</f>
        <v>#REF!</v>
      </c>
      <c r="IP145" t="e">
        <f>AND(Bills!AC570,"AAAAAH/effk=")</f>
        <v>#VALUE!</v>
      </c>
      <c r="IQ145" t="e">
        <f>AND(Bills!AD570,"AAAAAH/effo=")</f>
        <v>#VALUE!</v>
      </c>
      <c r="IR145" t="e">
        <f>AND(Bills!#REF!,"AAAAAH/effs=")</f>
        <v>#REF!</v>
      </c>
      <c r="IS145">
        <f>IF(Bills!571:571,"AAAAAH/effw=",0)</f>
        <v>0</v>
      </c>
      <c r="IT145" t="e">
        <f>AND(Bills!B571,"AAAAAH/eff0=")</f>
        <v>#VALUE!</v>
      </c>
      <c r="IU145" t="e">
        <f>AND(Bills!#REF!,"AAAAAH/eff4=")</f>
        <v>#REF!</v>
      </c>
      <c r="IV145" t="e">
        <f>AND(Bills!C571,"AAAAAH/eff8=")</f>
        <v>#VALUE!</v>
      </c>
    </row>
    <row r="146" spans="1:256">
      <c r="A146" t="e">
        <f>AND(Bills!D571,"AAAAADmnNQA=")</f>
        <v>#VALUE!</v>
      </c>
      <c r="B146" t="e">
        <f>AND(Bills!E571,"AAAAADmnNQE=")</f>
        <v>#VALUE!</v>
      </c>
      <c r="C146" t="e">
        <f>AND(Bills!#REF!,"AAAAADmnNQI=")</f>
        <v>#REF!</v>
      </c>
      <c r="D146" t="e">
        <f>AND(Bills!#REF!,"AAAAADmnNQM=")</f>
        <v>#REF!</v>
      </c>
      <c r="E146" t="e">
        <f>AND(Bills!#REF!,"AAAAADmnNQQ=")</f>
        <v>#REF!</v>
      </c>
      <c r="F146" t="e">
        <f>AND(Bills!F571,"AAAAADmnNQU=")</f>
        <v>#VALUE!</v>
      </c>
      <c r="G146" t="e">
        <f>AND(Bills!#REF!,"AAAAADmnNQY=")</f>
        <v>#REF!</v>
      </c>
      <c r="H146" t="e">
        <f>AND(Bills!G571,"AAAAADmnNQc=")</f>
        <v>#VALUE!</v>
      </c>
      <c r="I146" t="e">
        <f>AND(Bills!H571,"AAAAADmnNQg=")</f>
        <v>#VALUE!</v>
      </c>
      <c r="J146" t="e">
        <f>AND(Bills!I571,"AAAAADmnNQk=")</f>
        <v>#VALUE!</v>
      </c>
      <c r="K146" t="e">
        <f>AND(Bills!J571,"AAAAADmnNQo=")</f>
        <v>#VALUE!</v>
      </c>
      <c r="L146" t="e">
        <f>AND(Bills!K571,"AAAAADmnNQs=")</f>
        <v>#VALUE!</v>
      </c>
      <c r="M146" t="e">
        <f>AND(Bills!L571,"AAAAADmnNQw=")</f>
        <v>#VALUE!</v>
      </c>
      <c r="N146" t="e">
        <f>AND(Bills!#REF!,"AAAAADmnNQ0=")</f>
        <v>#REF!</v>
      </c>
      <c r="O146" t="e">
        <f>AND(Bills!M571,"AAAAADmnNQ4=")</f>
        <v>#VALUE!</v>
      </c>
      <c r="P146" t="e">
        <f>AND(Bills!N571,"AAAAADmnNQ8=")</f>
        <v>#VALUE!</v>
      </c>
      <c r="Q146" t="e">
        <f>AND(Bills!O571,"AAAAADmnNRA=")</f>
        <v>#VALUE!</v>
      </c>
      <c r="R146" t="e">
        <f>AND(Bills!P571,"AAAAADmnNRE=")</f>
        <v>#VALUE!</v>
      </c>
      <c r="S146" t="e">
        <f>AND(Bills!Q571,"AAAAADmnNRI=")</f>
        <v>#VALUE!</v>
      </c>
      <c r="T146" t="e">
        <f>AND(Bills!R571,"AAAAADmnNRM=")</f>
        <v>#VALUE!</v>
      </c>
      <c r="U146" t="e">
        <f>AND(Bills!S571,"AAAAADmnNRQ=")</f>
        <v>#VALUE!</v>
      </c>
      <c r="V146" t="e">
        <f>AND(Bills!T571,"AAAAADmnNRU=")</f>
        <v>#VALUE!</v>
      </c>
      <c r="W146" t="e">
        <f>AND(Bills!#REF!,"AAAAADmnNRY=")</f>
        <v>#REF!</v>
      </c>
      <c r="X146" t="e">
        <f>AND(Bills!U571,"AAAAADmnNRc=")</f>
        <v>#VALUE!</v>
      </c>
      <c r="Y146" t="e">
        <f>AND(Bills!V571,"AAAAADmnNRg=")</f>
        <v>#VALUE!</v>
      </c>
      <c r="Z146" t="e">
        <f>AND(Bills!W571,"AAAAADmnNRk=")</f>
        <v>#VALUE!</v>
      </c>
      <c r="AA146" t="e">
        <f>AND(Bills!#REF!,"AAAAADmnNRo=")</f>
        <v>#REF!</v>
      </c>
      <c r="AB146" t="e">
        <f>AND(Bills!#REF!,"AAAAADmnNRs=")</f>
        <v>#REF!</v>
      </c>
      <c r="AC146" t="e">
        <f>AND(Bills!Y571,"AAAAADmnNRw=")</f>
        <v>#VALUE!</v>
      </c>
      <c r="AD146" t="e">
        <f>AND(Bills!Z571,"AAAAADmnNR0=")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AND(Bills!AA571,"AAAAADmnNSc=")</f>
        <v>#VALUE!</v>
      </c>
      <c r="AO146" t="e">
        <f>AND(Bills!AB571,"AAAAADmnNSg=")</f>
        <v>#VALUE!</v>
      </c>
      <c r="AP146" t="e">
        <f>AND(Bills!#REF!,"AAAAADmnNSk=")</f>
        <v>#REF!</v>
      </c>
      <c r="AQ146" t="e">
        <f>AND(Bills!#REF!,"AAAAADmnNSo=")</f>
        <v>#REF!</v>
      </c>
      <c r="AR146" t="e">
        <f>AND(Bills!#REF!,"AAAAADmnNSs=")</f>
        <v>#REF!</v>
      </c>
      <c r="AS146" t="e">
        <f>AND(Bills!AC571,"AAAAADmnNSw=")</f>
        <v>#VALUE!</v>
      </c>
      <c r="AT146" t="e">
        <f>AND(Bills!AD571,"AAAAADmnNS0=")</f>
        <v>#VALUE!</v>
      </c>
      <c r="AU146" t="e">
        <f>AND(Bills!#REF!,"AAAAADmnNS4=")</f>
        <v>#REF!</v>
      </c>
      <c r="AV146">
        <f>IF(Bills!572:572,"AAAAADmnNS8=",0)</f>
        <v>0</v>
      </c>
      <c r="AW146" t="e">
        <f>AND(Bills!B572,"AAAAADmnNTA=")</f>
        <v>#VALUE!</v>
      </c>
      <c r="AX146" t="e">
        <f>AND(Bills!#REF!,"AAAAADmnNTE=")</f>
        <v>#REF!</v>
      </c>
      <c r="AY146" t="e">
        <f>AND(Bills!C572,"AAAAADmnNTI=")</f>
        <v>#VALUE!</v>
      </c>
      <c r="AZ146" t="e">
        <f>AND(Bills!D572,"AAAAADmnNTM=")</f>
        <v>#VALUE!</v>
      </c>
      <c r="BA146" t="e">
        <f>AND(Bills!E572,"AAAAADmnNTQ=")</f>
        <v>#VALUE!</v>
      </c>
      <c r="BB146" t="e">
        <f>AND(Bills!#REF!,"AAAAADmnNTU=")</f>
        <v>#REF!</v>
      </c>
      <c r="BC146" t="e">
        <f>AND(Bills!#REF!,"AAAAADmnNTY=")</f>
        <v>#REF!</v>
      </c>
      <c r="BD146" t="e">
        <f>AND(Bills!#REF!,"AAAAADmnNTc=")</f>
        <v>#REF!</v>
      </c>
      <c r="BE146" t="e">
        <f>AND(Bills!F572,"AAAAADmnNTg=")</f>
        <v>#VALUE!</v>
      </c>
      <c r="BF146" t="e">
        <f>AND(Bills!#REF!,"AAAAADmnNTk=")</f>
        <v>#REF!</v>
      </c>
      <c r="BG146" t="e">
        <f>AND(Bills!G572,"AAAAADmnNTo=")</f>
        <v>#VALUE!</v>
      </c>
      <c r="BH146" t="e">
        <f>AND(Bills!H572,"AAAAADmnNTs=")</f>
        <v>#VALUE!</v>
      </c>
      <c r="BI146" t="e">
        <f>AND(Bills!I572,"AAAAADmnNTw=")</f>
        <v>#VALUE!</v>
      </c>
      <c r="BJ146" t="e">
        <f>AND(Bills!J572,"AAAAADmnNT0=")</f>
        <v>#VALUE!</v>
      </c>
      <c r="BK146" t="e">
        <f>AND(Bills!K572,"AAAAADmnNT4=")</f>
        <v>#VALUE!</v>
      </c>
      <c r="BL146" t="e">
        <f>AND(Bills!L572,"AAAAADmnNT8=")</f>
        <v>#VALUE!</v>
      </c>
      <c r="BM146" t="e">
        <f>AND(Bills!#REF!,"AAAAADmnNUA=")</f>
        <v>#REF!</v>
      </c>
      <c r="BN146" t="e">
        <f>AND(Bills!M572,"AAAAADmnNUE=")</f>
        <v>#VALUE!</v>
      </c>
      <c r="BO146" t="e">
        <f>AND(Bills!N572,"AAAAADmnNUI=")</f>
        <v>#VALUE!</v>
      </c>
      <c r="BP146" t="e">
        <f>AND(Bills!O572,"AAAAADmnNUM=")</f>
        <v>#VALUE!</v>
      </c>
      <c r="BQ146" t="e">
        <f>AND(Bills!P572,"AAAAADmnNUQ=")</f>
        <v>#VALUE!</v>
      </c>
      <c r="BR146" t="e">
        <f>AND(Bills!Q572,"AAAAADmnNUU=")</f>
        <v>#VALUE!</v>
      </c>
      <c r="BS146" t="e">
        <f>AND(Bills!R572,"AAAAADmnNUY=")</f>
        <v>#VALUE!</v>
      </c>
      <c r="BT146" t="e">
        <f>AND(Bills!S572,"AAAAADmnNUc=")</f>
        <v>#VALUE!</v>
      </c>
      <c r="BU146" t="e">
        <f>AND(Bills!T572,"AAAAADmnNUg=")</f>
        <v>#VALUE!</v>
      </c>
      <c r="BV146" t="e">
        <f>AND(Bills!#REF!,"AAAAADmnNUk=")</f>
        <v>#REF!</v>
      </c>
      <c r="BW146" t="e">
        <f>AND(Bills!U572,"AAAAADmnNUo=")</f>
        <v>#VALUE!</v>
      </c>
      <c r="BX146" t="e">
        <f>AND(Bills!V572,"AAAAADmnNUs=")</f>
        <v>#VALUE!</v>
      </c>
      <c r="BY146" t="e">
        <f>AND(Bills!W572,"AAAAADmnNUw=")</f>
        <v>#VALUE!</v>
      </c>
      <c r="BZ146" t="e">
        <f>AND(Bills!#REF!,"AAAAADmnNU0=")</f>
        <v>#REF!</v>
      </c>
      <c r="CA146" t="e">
        <f>AND(Bills!#REF!,"AAAAADmnNU4=")</f>
        <v>#REF!</v>
      </c>
      <c r="CB146" t="e">
        <f>AND(Bills!Y572,"AAAAADmnNU8=")</f>
        <v>#VALUE!</v>
      </c>
      <c r="CC146" t="e">
        <f>AND(Bills!Z572,"AAAAADmnNVA=")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AND(Bills!AA572,"AAAAADmnNVo=")</f>
        <v>#VALUE!</v>
      </c>
      <c r="CN146" t="e">
        <f>AND(Bills!AB572,"AAAAADmnNVs=")</f>
        <v>#VALUE!</v>
      </c>
      <c r="CO146" t="e">
        <f>AND(Bills!#REF!,"AAAAADmnNVw=")</f>
        <v>#REF!</v>
      </c>
      <c r="CP146" t="e">
        <f>AND(Bills!#REF!,"AAAAADmnNV0=")</f>
        <v>#REF!</v>
      </c>
      <c r="CQ146" t="e">
        <f>AND(Bills!#REF!,"AAAAADmnNV4=")</f>
        <v>#REF!</v>
      </c>
      <c r="CR146" t="e">
        <f>AND(Bills!AC572,"AAAAADmnNV8=")</f>
        <v>#VALUE!</v>
      </c>
      <c r="CS146" t="e">
        <f>AND(Bills!AD572,"AAAAADmnNWA=")</f>
        <v>#VALUE!</v>
      </c>
      <c r="CT146" t="e">
        <f>AND(Bills!#REF!,"AAAAADmnNWE=")</f>
        <v>#REF!</v>
      </c>
      <c r="CU146">
        <f>IF(Bills!573:573,"AAAAADmnNWI=",0)</f>
        <v>0</v>
      </c>
      <c r="CV146" t="e">
        <f>AND(Bills!B573,"AAAAADmnNWM=")</f>
        <v>#VALUE!</v>
      </c>
      <c r="CW146" t="e">
        <f>AND(Bills!#REF!,"AAAAADmnNWQ=")</f>
        <v>#REF!</v>
      </c>
      <c r="CX146" t="e">
        <f>AND(Bills!C573,"AAAAADmnNWU=")</f>
        <v>#VALUE!</v>
      </c>
      <c r="CY146" t="e">
        <f>AND(Bills!D573,"AAAAADmnNWY=")</f>
        <v>#VALUE!</v>
      </c>
      <c r="CZ146" t="e">
        <f>AND(Bills!E573,"AAAAADmnNWc=")</f>
        <v>#VALUE!</v>
      </c>
      <c r="DA146" t="e">
        <f>AND(Bills!#REF!,"AAAAADmnNWg=")</f>
        <v>#REF!</v>
      </c>
      <c r="DB146" t="e">
        <f>AND(Bills!#REF!,"AAAAADmnNWk=")</f>
        <v>#REF!</v>
      </c>
      <c r="DC146" t="e">
        <f>AND(Bills!#REF!,"AAAAADmnNWo=")</f>
        <v>#REF!</v>
      </c>
      <c r="DD146" t="e">
        <f>AND(Bills!F573,"AAAAADmnNWs=")</f>
        <v>#VALUE!</v>
      </c>
      <c r="DE146" t="e">
        <f>AND(Bills!#REF!,"AAAAADmnNWw=")</f>
        <v>#REF!</v>
      </c>
      <c r="DF146" t="e">
        <f>AND(Bills!G573,"AAAAADmnNW0=")</f>
        <v>#VALUE!</v>
      </c>
      <c r="DG146" t="e">
        <f>AND(Bills!H573,"AAAAADmnNW4=")</f>
        <v>#VALUE!</v>
      </c>
      <c r="DH146" t="e">
        <f>AND(Bills!I573,"AAAAADmnNW8=")</f>
        <v>#VALUE!</v>
      </c>
      <c r="DI146" t="e">
        <f>AND(Bills!J573,"AAAAADmnNXA=")</f>
        <v>#VALUE!</v>
      </c>
      <c r="DJ146" t="e">
        <f>AND(Bills!K573,"AAAAADmnNXE=")</f>
        <v>#VALUE!</v>
      </c>
      <c r="DK146" t="e">
        <f>AND(Bills!L573,"AAAAADmnNXI=")</f>
        <v>#VALUE!</v>
      </c>
      <c r="DL146" t="e">
        <f>AND(Bills!#REF!,"AAAAADmnNXM=")</f>
        <v>#REF!</v>
      </c>
      <c r="DM146" t="e">
        <f>AND(Bills!M573,"AAAAADmnNXQ=")</f>
        <v>#VALUE!</v>
      </c>
      <c r="DN146" t="e">
        <f>AND(Bills!N573,"AAAAADmnNXU=")</f>
        <v>#VALUE!</v>
      </c>
      <c r="DO146" t="e">
        <f>AND(Bills!O573,"AAAAADmnNXY=")</f>
        <v>#VALUE!</v>
      </c>
      <c r="DP146" t="e">
        <f>AND(Bills!P573,"AAAAADmnNXc=")</f>
        <v>#VALUE!</v>
      </c>
      <c r="DQ146" t="e">
        <f>AND(Bills!Q573,"AAAAADmnNXg=")</f>
        <v>#VALUE!</v>
      </c>
      <c r="DR146" t="e">
        <f>AND(Bills!R573,"AAAAADmnNXk=")</f>
        <v>#VALUE!</v>
      </c>
      <c r="DS146" t="e">
        <f>AND(Bills!S573,"AAAAADmnNXo=")</f>
        <v>#VALUE!</v>
      </c>
      <c r="DT146" t="e">
        <f>AND(Bills!T573,"AAAAADmnNXs=")</f>
        <v>#VALUE!</v>
      </c>
      <c r="DU146" t="e">
        <f>AND(Bills!#REF!,"AAAAADmnNXw=")</f>
        <v>#REF!</v>
      </c>
      <c r="DV146" t="e">
        <f>AND(Bills!U573,"AAAAADmnNX0=")</f>
        <v>#VALUE!</v>
      </c>
      <c r="DW146" t="e">
        <f>AND(Bills!V573,"AAAAADmnNX4=")</f>
        <v>#VALUE!</v>
      </c>
      <c r="DX146" t="e">
        <f>AND(Bills!W573,"AAAAADmnNX8=")</f>
        <v>#VALUE!</v>
      </c>
      <c r="DY146" t="e">
        <f>AND(Bills!#REF!,"AAAAADmnNYA=")</f>
        <v>#REF!</v>
      </c>
      <c r="DZ146" t="e">
        <f>AND(Bills!#REF!,"AAAAADmnNYE=")</f>
        <v>#REF!</v>
      </c>
      <c r="EA146" t="e">
        <f>AND(Bills!Y573,"AAAAADmnNYI=")</f>
        <v>#VALUE!</v>
      </c>
      <c r="EB146" t="e">
        <f>AND(Bills!Z573,"AAAAADmnNYM=")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AND(Bills!AA573,"AAAAADmnNY0=")</f>
        <v>#VALUE!</v>
      </c>
      <c r="EM146" t="e">
        <f>AND(Bills!AB573,"AAAAADmnNY4=")</f>
        <v>#VALUE!</v>
      </c>
      <c r="EN146" t="e">
        <f>AND(Bills!#REF!,"AAAAADmnNY8=")</f>
        <v>#REF!</v>
      </c>
      <c r="EO146" t="e">
        <f>AND(Bills!#REF!,"AAAAADmnNZA=")</f>
        <v>#REF!</v>
      </c>
      <c r="EP146" t="e">
        <f>AND(Bills!#REF!,"AAAAADmnNZE=")</f>
        <v>#REF!</v>
      </c>
      <c r="EQ146" t="e">
        <f>AND(Bills!AC573,"AAAAADmnNZI=")</f>
        <v>#VALUE!</v>
      </c>
      <c r="ER146" t="e">
        <f>AND(Bills!AD573,"AAAAADmnNZM=")</f>
        <v>#VALUE!</v>
      </c>
      <c r="ES146" t="e">
        <f>AND(Bills!#REF!,"AAAAADmnNZQ=")</f>
        <v>#REF!</v>
      </c>
      <c r="ET146">
        <f>IF(Bills!574:574,"AAAAADmnNZU=",0)</f>
        <v>0</v>
      </c>
      <c r="EU146" t="e">
        <f>AND(Bills!B574,"AAAAADmnNZY=")</f>
        <v>#VALUE!</v>
      </c>
      <c r="EV146" t="e">
        <f>AND(Bills!#REF!,"AAAAADmnNZc=")</f>
        <v>#REF!</v>
      </c>
      <c r="EW146" t="e">
        <f>AND(Bills!C574,"AAAAADmnNZg=")</f>
        <v>#VALUE!</v>
      </c>
      <c r="EX146" t="e">
        <f>AND(Bills!D574,"AAAAADmnNZk=")</f>
        <v>#VALUE!</v>
      </c>
      <c r="EY146" t="e">
        <f>AND(Bills!E574,"AAAAADmnNZo=")</f>
        <v>#VALUE!</v>
      </c>
      <c r="EZ146" t="e">
        <f>AND(Bills!#REF!,"AAAAADmnNZs=")</f>
        <v>#REF!</v>
      </c>
      <c r="FA146" t="e">
        <f>AND(Bills!#REF!,"AAAAADmnNZw=")</f>
        <v>#REF!</v>
      </c>
      <c r="FB146" t="e">
        <f>AND(Bills!#REF!,"AAAAADmnNZ0=")</f>
        <v>#REF!</v>
      </c>
      <c r="FC146" t="e">
        <f>AND(Bills!F574,"AAAAADmnNZ4=")</f>
        <v>#VALUE!</v>
      </c>
      <c r="FD146" t="e">
        <f>AND(Bills!#REF!,"AAAAADmnNZ8=")</f>
        <v>#REF!</v>
      </c>
      <c r="FE146" t="e">
        <f>AND(Bills!G574,"AAAAADmnNaA=")</f>
        <v>#VALUE!</v>
      </c>
      <c r="FF146" t="e">
        <f>AND(Bills!H574,"AAAAADmnNaE=")</f>
        <v>#VALUE!</v>
      </c>
      <c r="FG146" t="e">
        <f>AND(Bills!I574,"AAAAADmnNaI=")</f>
        <v>#VALUE!</v>
      </c>
      <c r="FH146" t="e">
        <f>AND(Bills!J574,"AAAAADmnNaM=")</f>
        <v>#VALUE!</v>
      </c>
      <c r="FI146" t="e">
        <f>AND(Bills!K574,"AAAAADmnNaQ=")</f>
        <v>#VALUE!</v>
      </c>
      <c r="FJ146" t="e">
        <f>AND(Bills!L574,"AAAAADmnNaU=")</f>
        <v>#VALUE!</v>
      </c>
      <c r="FK146" t="e">
        <f>AND(Bills!#REF!,"AAAAADmnNaY=")</f>
        <v>#REF!</v>
      </c>
      <c r="FL146" t="e">
        <f>AND(Bills!M574,"AAAAADmnNac=")</f>
        <v>#VALUE!</v>
      </c>
      <c r="FM146" t="e">
        <f>AND(Bills!N574,"AAAAADmnNag=")</f>
        <v>#VALUE!</v>
      </c>
      <c r="FN146" t="e">
        <f>AND(Bills!O574,"AAAAADmnNak=")</f>
        <v>#VALUE!</v>
      </c>
      <c r="FO146" t="e">
        <f>AND(Bills!P574,"AAAAADmnNao=")</f>
        <v>#VALUE!</v>
      </c>
      <c r="FP146" t="e">
        <f>AND(Bills!Q574,"AAAAADmnNas=")</f>
        <v>#VALUE!</v>
      </c>
      <c r="FQ146" t="e">
        <f>AND(Bills!R574,"AAAAADmnNaw=")</f>
        <v>#VALUE!</v>
      </c>
      <c r="FR146" t="e">
        <f>AND(Bills!S574,"AAAAADmnNa0=")</f>
        <v>#VALUE!</v>
      </c>
      <c r="FS146" t="e">
        <f>AND(Bills!T574,"AAAAADmnNa4=")</f>
        <v>#VALUE!</v>
      </c>
      <c r="FT146" t="e">
        <f>AND(Bills!#REF!,"AAAAADmnNa8=")</f>
        <v>#REF!</v>
      </c>
      <c r="FU146" t="e">
        <f>AND(Bills!U574,"AAAAADmnNbA=")</f>
        <v>#VALUE!</v>
      </c>
      <c r="FV146" t="e">
        <f>AND(Bills!V574,"AAAAADmnNbE=")</f>
        <v>#VALUE!</v>
      </c>
      <c r="FW146" t="e">
        <f>AND(Bills!W574,"AAAAADmnNbI=")</f>
        <v>#VALUE!</v>
      </c>
      <c r="FX146" t="e">
        <f>AND(Bills!#REF!,"AAAAADmnNbM=")</f>
        <v>#REF!</v>
      </c>
      <c r="FY146" t="e">
        <f>AND(Bills!#REF!,"AAAAADmnNbQ=")</f>
        <v>#REF!</v>
      </c>
      <c r="FZ146" t="e">
        <f>AND(Bills!Y574,"AAAAADmnNbU=")</f>
        <v>#VALUE!</v>
      </c>
      <c r="GA146" t="e">
        <f>AND(Bills!Z574,"AAAAADmnNbY=")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AND(Bills!AA574,"AAAAADmnNcA=")</f>
        <v>#VALUE!</v>
      </c>
      <c r="GL146" t="e">
        <f>AND(Bills!AB574,"AAAAADmnNcE=")</f>
        <v>#VALUE!</v>
      </c>
      <c r="GM146" t="e">
        <f>AND(Bills!#REF!,"AAAAADmnNcI=")</f>
        <v>#REF!</v>
      </c>
      <c r="GN146" t="e">
        <f>AND(Bills!#REF!,"AAAAADmnNcM=")</f>
        <v>#REF!</v>
      </c>
      <c r="GO146" t="e">
        <f>AND(Bills!#REF!,"AAAAADmnNcQ=")</f>
        <v>#REF!</v>
      </c>
      <c r="GP146" t="e">
        <f>AND(Bills!AC574,"AAAAADmnNcU=")</f>
        <v>#VALUE!</v>
      </c>
      <c r="GQ146" t="e">
        <f>AND(Bills!AD574,"AAAAADmnNcY=")</f>
        <v>#VALUE!</v>
      </c>
      <c r="GR146" t="e">
        <f>AND(Bills!#REF!,"AAAAADmnNcc=")</f>
        <v>#REF!</v>
      </c>
      <c r="GS146">
        <f>IF(Bills!575:575,"AAAAADmnNcg=",0)</f>
        <v>0</v>
      </c>
      <c r="GT146" t="e">
        <f>AND(Bills!B575,"AAAAADmnNck=")</f>
        <v>#VALUE!</v>
      </c>
      <c r="GU146" t="e">
        <f>AND(Bills!#REF!,"AAAAADmnNco=")</f>
        <v>#REF!</v>
      </c>
      <c r="GV146" t="e">
        <f>AND(Bills!C575,"AAAAADmnNcs=")</f>
        <v>#VALUE!</v>
      </c>
      <c r="GW146" t="e">
        <f>AND(Bills!D575,"AAAAADmnNcw=")</f>
        <v>#VALUE!</v>
      </c>
      <c r="GX146" t="e">
        <f>AND(Bills!E575,"AAAAADmnNc0=")</f>
        <v>#VALUE!</v>
      </c>
      <c r="GY146" t="e">
        <f>AND(Bills!#REF!,"AAAAADmnNc4=")</f>
        <v>#REF!</v>
      </c>
      <c r="GZ146" t="e">
        <f>AND(Bills!#REF!,"AAAAADmnNc8=")</f>
        <v>#REF!</v>
      </c>
      <c r="HA146" t="e">
        <f>AND(Bills!#REF!,"AAAAADmnNdA=")</f>
        <v>#REF!</v>
      </c>
      <c r="HB146" t="e">
        <f>AND(Bills!F575,"AAAAADmnNdE=")</f>
        <v>#VALUE!</v>
      </c>
      <c r="HC146" t="e">
        <f>AND(Bills!#REF!,"AAAAADmnNdI=")</f>
        <v>#REF!</v>
      </c>
      <c r="HD146" t="e">
        <f>AND(Bills!G575,"AAAAADmnNdM=")</f>
        <v>#VALUE!</v>
      </c>
      <c r="HE146" t="e">
        <f>AND(Bills!H575,"AAAAADmnNdQ=")</f>
        <v>#VALUE!</v>
      </c>
      <c r="HF146" t="e">
        <f>AND(Bills!I575,"AAAAADmnNdU=")</f>
        <v>#VALUE!</v>
      </c>
      <c r="HG146" t="e">
        <f>AND(Bills!J575,"AAAAADmnNdY=")</f>
        <v>#VALUE!</v>
      </c>
      <c r="HH146" t="e">
        <f>AND(Bills!K575,"AAAAADmnNdc=")</f>
        <v>#VALUE!</v>
      </c>
      <c r="HI146" t="e">
        <f>AND(Bills!L575,"AAAAADmnNdg=")</f>
        <v>#VALUE!</v>
      </c>
      <c r="HJ146" t="e">
        <f>AND(Bills!#REF!,"AAAAADmnNdk=")</f>
        <v>#REF!</v>
      </c>
      <c r="HK146" t="e">
        <f>AND(Bills!M575,"AAAAADmnNdo=")</f>
        <v>#VALUE!</v>
      </c>
      <c r="HL146" t="e">
        <f>AND(Bills!N575,"AAAAADmnNds=")</f>
        <v>#VALUE!</v>
      </c>
      <c r="HM146" t="e">
        <f>AND(Bills!O575,"AAAAADmnNdw=")</f>
        <v>#VALUE!</v>
      </c>
      <c r="HN146" t="e">
        <f>AND(Bills!P575,"AAAAADmnNd0=")</f>
        <v>#VALUE!</v>
      </c>
      <c r="HO146" t="e">
        <f>AND(Bills!Q575,"AAAAADmnNd4=")</f>
        <v>#VALUE!</v>
      </c>
      <c r="HP146" t="e">
        <f>AND(Bills!R575,"AAAAADmnNd8=")</f>
        <v>#VALUE!</v>
      </c>
      <c r="HQ146" t="e">
        <f>AND(Bills!S575,"AAAAADmnNeA=")</f>
        <v>#VALUE!</v>
      </c>
      <c r="HR146" t="e">
        <f>AND(Bills!T575,"AAAAADmnNeE=")</f>
        <v>#VALUE!</v>
      </c>
      <c r="HS146" t="e">
        <f>AND(Bills!#REF!,"AAAAADmnNeI=")</f>
        <v>#REF!</v>
      </c>
      <c r="HT146" t="e">
        <f>AND(Bills!U575,"AAAAADmnNeM=")</f>
        <v>#VALUE!</v>
      </c>
      <c r="HU146" t="e">
        <f>AND(Bills!V575,"AAAAADmnNeQ=")</f>
        <v>#VALUE!</v>
      </c>
      <c r="HV146" t="e">
        <f>AND(Bills!W575,"AAAAADmnNeU=")</f>
        <v>#VALUE!</v>
      </c>
      <c r="HW146" t="e">
        <f>AND(Bills!#REF!,"AAAAADmnNeY=")</f>
        <v>#REF!</v>
      </c>
      <c r="HX146" t="e">
        <f>AND(Bills!#REF!,"AAAAADmnNec=")</f>
        <v>#REF!</v>
      </c>
      <c r="HY146" t="e">
        <f>AND(Bills!Y575,"AAAAADmnNeg=")</f>
        <v>#VALUE!</v>
      </c>
      <c r="HZ146" t="e">
        <f>AND(Bills!Z575,"AAAAADmnNek=")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AND(Bills!AA575,"AAAAADmnNfM=")</f>
        <v>#VALUE!</v>
      </c>
      <c r="IK146" t="e">
        <f>AND(Bills!AB575,"AAAAADmnNfQ=")</f>
        <v>#VALUE!</v>
      </c>
      <c r="IL146" t="e">
        <f>AND(Bills!#REF!,"AAAAADmnNfU=")</f>
        <v>#REF!</v>
      </c>
      <c r="IM146" t="e">
        <f>AND(Bills!#REF!,"AAAAADmnNfY=")</f>
        <v>#REF!</v>
      </c>
      <c r="IN146" t="e">
        <f>AND(Bills!#REF!,"AAAAADmnNfc=")</f>
        <v>#REF!</v>
      </c>
      <c r="IO146" t="e">
        <f>AND(Bills!AC575,"AAAAADmnNfg=")</f>
        <v>#VALUE!</v>
      </c>
      <c r="IP146" t="e">
        <f>AND(Bills!AD575,"AAAAADmnNfk=")</f>
        <v>#VALUE!</v>
      </c>
      <c r="IQ146" t="e">
        <f>AND(Bills!#REF!,"AAAAADmnNfo=")</f>
        <v>#REF!</v>
      </c>
      <c r="IR146">
        <f>IF(Bills!576:576,"AAAAADmnNfs=",0)</f>
        <v>0</v>
      </c>
      <c r="IS146" t="e">
        <f>AND(Bills!B576,"AAAAADmnNfw=")</f>
        <v>#VALUE!</v>
      </c>
      <c r="IT146" t="e">
        <f>AND(Bills!#REF!,"AAAAADmnNf0=")</f>
        <v>#REF!</v>
      </c>
      <c r="IU146" t="e">
        <f>AND(Bills!C576,"AAAAADmnNf4=")</f>
        <v>#VALUE!</v>
      </c>
      <c r="IV146" t="e">
        <f>AND(Bills!D576,"AAAAADmnNf8=")</f>
        <v>#VALUE!</v>
      </c>
    </row>
    <row r="147" spans="1:256">
      <c r="A147" t="e">
        <f>AND(Bills!E576,"AAAAAGzM+QA=")</f>
        <v>#VALUE!</v>
      </c>
      <c r="B147" t="e">
        <f>AND(Bills!#REF!,"AAAAAGzM+QE=")</f>
        <v>#REF!</v>
      </c>
      <c r="C147" t="e">
        <f>AND(Bills!#REF!,"AAAAAGzM+QI=")</f>
        <v>#REF!</v>
      </c>
      <c r="D147" t="e">
        <f>AND(Bills!#REF!,"AAAAAGzM+QM=")</f>
        <v>#REF!</v>
      </c>
      <c r="E147" t="e">
        <f>AND(Bills!F576,"AAAAAGzM+QQ=")</f>
        <v>#VALUE!</v>
      </c>
      <c r="F147" t="e">
        <f>AND(Bills!#REF!,"AAAAAGzM+QU=")</f>
        <v>#REF!</v>
      </c>
      <c r="G147" t="e">
        <f>AND(Bills!G576,"AAAAAGzM+QY=")</f>
        <v>#VALUE!</v>
      </c>
      <c r="H147" t="e">
        <f>AND(Bills!H576,"AAAAAGzM+Qc=")</f>
        <v>#VALUE!</v>
      </c>
      <c r="I147" t="e">
        <f>AND(Bills!I576,"AAAAAGzM+Qg=")</f>
        <v>#VALUE!</v>
      </c>
      <c r="J147" t="e">
        <f>AND(Bills!J576,"AAAAAGzM+Qk=")</f>
        <v>#VALUE!</v>
      </c>
      <c r="K147" t="e">
        <f>AND(Bills!K576,"AAAAAGzM+Qo=")</f>
        <v>#VALUE!</v>
      </c>
      <c r="L147" t="e">
        <f>AND(Bills!L576,"AAAAAGzM+Qs=")</f>
        <v>#VALUE!</v>
      </c>
      <c r="M147" t="e">
        <f>AND(Bills!#REF!,"AAAAAGzM+Qw=")</f>
        <v>#REF!</v>
      </c>
      <c r="N147" t="e">
        <f>AND(Bills!M576,"AAAAAGzM+Q0=")</f>
        <v>#VALUE!</v>
      </c>
      <c r="O147" t="e">
        <f>AND(Bills!N576,"AAAAAGzM+Q4=")</f>
        <v>#VALUE!</v>
      </c>
      <c r="P147" t="e">
        <f>AND(Bills!O576,"AAAAAGzM+Q8=")</f>
        <v>#VALUE!</v>
      </c>
      <c r="Q147" t="e">
        <f>AND(Bills!P576,"AAAAAGzM+RA=")</f>
        <v>#VALUE!</v>
      </c>
      <c r="R147" t="e">
        <f>AND(Bills!Q576,"AAAAAGzM+RE=")</f>
        <v>#VALUE!</v>
      </c>
      <c r="S147" t="e">
        <f>AND(Bills!R576,"AAAAAGzM+RI=")</f>
        <v>#VALUE!</v>
      </c>
      <c r="T147" t="e">
        <f>AND(Bills!S576,"AAAAAGzM+RM=")</f>
        <v>#VALUE!</v>
      </c>
      <c r="U147" t="e">
        <f>AND(Bills!T576,"AAAAAGzM+RQ=")</f>
        <v>#VALUE!</v>
      </c>
      <c r="V147" t="e">
        <f>AND(Bills!#REF!,"AAAAAGzM+RU=")</f>
        <v>#REF!</v>
      </c>
      <c r="W147" t="e">
        <f>AND(Bills!U576,"AAAAAGzM+RY=")</f>
        <v>#VALUE!</v>
      </c>
      <c r="X147" t="e">
        <f>AND(Bills!V576,"AAAAAGzM+Rc=")</f>
        <v>#VALUE!</v>
      </c>
      <c r="Y147" t="e">
        <f>AND(Bills!W576,"AAAAAGzM+Rg=")</f>
        <v>#VALUE!</v>
      </c>
      <c r="Z147" t="e">
        <f>AND(Bills!#REF!,"AAAAAGzM+Rk=")</f>
        <v>#REF!</v>
      </c>
      <c r="AA147" t="e">
        <f>AND(Bills!#REF!,"AAAAAGzM+Ro=")</f>
        <v>#REF!</v>
      </c>
      <c r="AB147" t="e">
        <f>AND(Bills!Y576,"AAAAAGzM+Rs=")</f>
        <v>#VALUE!</v>
      </c>
      <c r="AC147" t="e">
        <f>AND(Bills!Z576,"AAAAAGzM+Rw=")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AND(Bills!AA576,"AAAAAGzM+SY=")</f>
        <v>#VALUE!</v>
      </c>
      <c r="AN147" t="e">
        <f>AND(Bills!AB576,"AAAAAGzM+Sc=")</f>
        <v>#VALUE!</v>
      </c>
      <c r="AO147" t="e">
        <f>AND(Bills!#REF!,"AAAAAGzM+Sg=")</f>
        <v>#REF!</v>
      </c>
      <c r="AP147" t="e">
        <f>AND(Bills!#REF!,"AAAAAGzM+Sk=")</f>
        <v>#REF!</v>
      </c>
      <c r="AQ147" t="e">
        <f>AND(Bills!#REF!,"AAAAAGzM+So=")</f>
        <v>#REF!</v>
      </c>
      <c r="AR147" t="e">
        <f>AND(Bills!AC576,"AAAAAGzM+Ss=")</f>
        <v>#VALUE!</v>
      </c>
      <c r="AS147" t="e">
        <f>AND(Bills!AD576,"AAAAAGzM+Sw=")</f>
        <v>#VALUE!</v>
      </c>
      <c r="AT147" t="e">
        <f>AND(Bills!#REF!,"AAAAAGzM+S0=")</f>
        <v>#REF!</v>
      </c>
      <c r="AU147">
        <f>IF(Bills!577:577,"AAAAAGzM+S4=",0)</f>
        <v>0</v>
      </c>
      <c r="AV147" t="e">
        <f>AND(Bills!B577,"AAAAAGzM+S8=")</f>
        <v>#VALUE!</v>
      </c>
      <c r="AW147" t="e">
        <f>AND(Bills!#REF!,"AAAAAGzM+TA=")</f>
        <v>#REF!</v>
      </c>
      <c r="AX147" t="e">
        <f>AND(Bills!C577,"AAAAAGzM+TE=")</f>
        <v>#VALUE!</v>
      </c>
      <c r="AY147" t="e">
        <f>AND(Bills!D577,"AAAAAGzM+TI=")</f>
        <v>#VALUE!</v>
      </c>
      <c r="AZ147" t="e">
        <f>AND(Bills!E577,"AAAAAGzM+TM=")</f>
        <v>#VALUE!</v>
      </c>
      <c r="BA147" t="e">
        <f>AND(Bills!#REF!,"AAAAAGzM+TQ=")</f>
        <v>#REF!</v>
      </c>
      <c r="BB147" t="e">
        <f>AND(Bills!#REF!,"AAAAAGzM+TU=")</f>
        <v>#REF!</v>
      </c>
      <c r="BC147" t="e">
        <f>AND(Bills!#REF!,"AAAAAGzM+TY=")</f>
        <v>#REF!</v>
      </c>
      <c r="BD147" t="e">
        <f>AND(Bills!F577,"AAAAAGzM+Tc=")</f>
        <v>#VALUE!</v>
      </c>
      <c r="BE147" t="e">
        <f>AND(Bills!#REF!,"AAAAAGzM+Tg=")</f>
        <v>#REF!</v>
      </c>
      <c r="BF147" t="e">
        <f>AND(Bills!G577,"AAAAAGzM+Tk=")</f>
        <v>#VALUE!</v>
      </c>
      <c r="BG147" t="e">
        <f>AND(Bills!H577,"AAAAAGzM+To=")</f>
        <v>#VALUE!</v>
      </c>
      <c r="BH147" t="e">
        <f>AND(Bills!I577,"AAAAAGzM+Ts=")</f>
        <v>#VALUE!</v>
      </c>
      <c r="BI147" t="e">
        <f>AND(Bills!J577,"AAAAAGzM+Tw=")</f>
        <v>#VALUE!</v>
      </c>
      <c r="BJ147" t="e">
        <f>AND(Bills!K577,"AAAAAGzM+T0=")</f>
        <v>#VALUE!</v>
      </c>
      <c r="BK147" t="e">
        <f>AND(Bills!L577,"AAAAAGzM+T4=")</f>
        <v>#VALUE!</v>
      </c>
      <c r="BL147" t="e">
        <f>AND(Bills!#REF!,"AAAAAGzM+T8=")</f>
        <v>#REF!</v>
      </c>
      <c r="BM147" t="e">
        <f>AND(Bills!M577,"AAAAAGzM+UA=")</f>
        <v>#VALUE!</v>
      </c>
      <c r="BN147" t="e">
        <f>AND(Bills!N577,"AAAAAGzM+UE=")</f>
        <v>#VALUE!</v>
      </c>
      <c r="BO147" t="e">
        <f>AND(Bills!O577,"AAAAAGzM+UI=")</f>
        <v>#VALUE!</v>
      </c>
      <c r="BP147" t="e">
        <f>AND(Bills!P577,"AAAAAGzM+UM=")</f>
        <v>#VALUE!</v>
      </c>
      <c r="BQ147" t="e">
        <f>AND(Bills!Q577,"AAAAAGzM+UQ=")</f>
        <v>#VALUE!</v>
      </c>
      <c r="BR147" t="e">
        <f>AND(Bills!R577,"AAAAAGzM+UU=")</f>
        <v>#VALUE!</v>
      </c>
      <c r="BS147" t="e">
        <f>AND(Bills!S577,"AAAAAGzM+UY=")</f>
        <v>#VALUE!</v>
      </c>
      <c r="BT147" t="e">
        <f>AND(Bills!T577,"AAAAAGzM+Uc=")</f>
        <v>#VALUE!</v>
      </c>
      <c r="BU147" t="e">
        <f>AND(Bills!#REF!,"AAAAAGzM+Ug=")</f>
        <v>#REF!</v>
      </c>
      <c r="BV147" t="e">
        <f>AND(Bills!U577,"AAAAAGzM+Uk=")</f>
        <v>#VALUE!</v>
      </c>
      <c r="BW147" t="e">
        <f>AND(Bills!V577,"AAAAAGzM+Uo=")</f>
        <v>#VALUE!</v>
      </c>
      <c r="BX147" t="e">
        <f>AND(Bills!W577,"AAAAAGzM+Us=")</f>
        <v>#VALUE!</v>
      </c>
      <c r="BY147" t="e">
        <f>AND(Bills!#REF!,"AAAAAGzM+Uw=")</f>
        <v>#REF!</v>
      </c>
      <c r="BZ147" t="e">
        <f>AND(Bills!#REF!,"AAAAAGzM+U0=")</f>
        <v>#REF!</v>
      </c>
      <c r="CA147" t="e">
        <f>AND(Bills!Y577,"AAAAAGzM+U4=")</f>
        <v>#VALUE!</v>
      </c>
      <c r="CB147" t="e">
        <f>AND(Bills!Z577,"AAAAAGzM+U8=")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AND(Bills!AA577,"AAAAAGzM+Vk=")</f>
        <v>#VALUE!</v>
      </c>
      <c r="CM147" t="e">
        <f>AND(Bills!AB577,"AAAAAGzM+Vo=")</f>
        <v>#VALUE!</v>
      </c>
      <c r="CN147" t="e">
        <f>AND(Bills!#REF!,"AAAAAGzM+Vs=")</f>
        <v>#REF!</v>
      </c>
      <c r="CO147" t="e">
        <f>AND(Bills!#REF!,"AAAAAGzM+Vw=")</f>
        <v>#REF!</v>
      </c>
      <c r="CP147" t="e">
        <f>AND(Bills!#REF!,"AAAAAGzM+V0=")</f>
        <v>#REF!</v>
      </c>
      <c r="CQ147" t="e">
        <f>AND(Bills!AC577,"AAAAAGzM+V4=")</f>
        <v>#VALUE!</v>
      </c>
      <c r="CR147" t="e">
        <f>AND(Bills!AD577,"AAAAAGzM+V8=")</f>
        <v>#VALUE!</v>
      </c>
      <c r="CS147" t="e">
        <f>AND(Bills!#REF!,"AAAAAGzM+WA=")</f>
        <v>#REF!</v>
      </c>
      <c r="CT147">
        <f>IF(Bills!578:578,"AAAAAGzM+WE=",0)</f>
        <v>0</v>
      </c>
      <c r="CU147" t="e">
        <f>AND(Bills!B578,"AAAAAGzM+WI=")</f>
        <v>#VALUE!</v>
      </c>
      <c r="CV147" t="e">
        <f>AND(Bills!#REF!,"AAAAAGzM+WM=")</f>
        <v>#REF!</v>
      </c>
      <c r="CW147" t="e">
        <f>AND(Bills!C578,"AAAAAGzM+WQ=")</f>
        <v>#VALUE!</v>
      </c>
      <c r="CX147" t="e">
        <f>AND(Bills!D578,"AAAAAGzM+WU=")</f>
        <v>#VALUE!</v>
      </c>
      <c r="CY147" t="e">
        <f>AND(Bills!E578,"AAAAAGzM+WY=")</f>
        <v>#VALUE!</v>
      </c>
      <c r="CZ147" t="e">
        <f>AND(Bills!#REF!,"AAAAAGzM+Wc=")</f>
        <v>#REF!</v>
      </c>
      <c r="DA147" t="e">
        <f>AND(Bills!#REF!,"AAAAAGzM+Wg=")</f>
        <v>#REF!</v>
      </c>
      <c r="DB147" t="e">
        <f>AND(Bills!#REF!,"AAAAAGzM+Wk=")</f>
        <v>#REF!</v>
      </c>
      <c r="DC147" t="e">
        <f>AND(Bills!F578,"AAAAAGzM+Wo=")</f>
        <v>#VALUE!</v>
      </c>
      <c r="DD147" t="e">
        <f>AND(Bills!#REF!,"AAAAAGzM+Ws=")</f>
        <v>#REF!</v>
      </c>
      <c r="DE147" t="e">
        <f>AND(Bills!G578,"AAAAAGzM+Ww=")</f>
        <v>#VALUE!</v>
      </c>
      <c r="DF147" t="e">
        <f>AND(Bills!H578,"AAAAAGzM+W0=")</f>
        <v>#VALUE!</v>
      </c>
      <c r="DG147" t="e">
        <f>AND(Bills!I578,"AAAAAGzM+W4=")</f>
        <v>#VALUE!</v>
      </c>
      <c r="DH147" t="e">
        <f>AND(Bills!J578,"AAAAAGzM+W8=")</f>
        <v>#VALUE!</v>
      </c>
      <c r="DI147" t="e">
        <f>AND(Bills!K578,"AAAAAGzM+XA=")</f>
        <v>#VALUE!</v>
      </c>
      <c r="DJ147" t="e">
        <f>AND(Bills!L578,"AAAAAGzM+XE=")</f>
        <v>#VALUE!</v>
      </c>
      <c r="DK147" t="e">
        <f>AND(Bills!#REF!,"AAAAAGzM+XI=")</f>
        <v>#REF!</v>
      </c>
      <c r="DL147" t="e">
        <f>AND(Bills!M578,"AAAAAGzM+XM=")</f>
        <v>#VALUE!</v>
      </c>
      <c r="DM147" t="e">
        <f>AND(Bills!N578,"AAAAAGzM+XQ=")</f>
        <v>#VALUE!</v>
      </c>
      <c r="DN147" t="e">
        <f>AND(Bills!O578,"AAAAAGzM+XU=")</f>
        <v>#VALUE!</v>
      </c>
      <c r="DO147" t="e">
        <f>AND(Bills!P578,"AAAAAGzM+XY=")</f>
        <v>#VALUE!</v>
      </c>
      <c r="DP147" t="e">
        <f>AND(Bills!Q578,"AAAAAGzM+Xc=")</f>
        <v>#VALUE!</v>
      </c>
      <c r="DQ147" t="e">
        <f>AND(Bills!R578,"AAAAAGzM+Xg=")</f>
        <v>#VALUE!</v>
      </c>
      <c r="DR147" t="e">
        <f>AND(Bills!S578,"AAAAAGzM+Xk=")</f>
        <v>#VALUE!</v>
      </c>
      <c r="DS147" t="e">
        <f>AND(Bills!T578,"AAAAAGzM+Xo=")</f>
        <v>#VALUE!</v>
      </c>
      <c r="DT147" t="e">
        <f>AND(Bills!#REF!,"AAAAAGzM+Xs=")</f>
        <v>#REF!</v>
      </c>
      <c r="DU147" t="e">
        <f>AND(Bills!U578,"AAAAAGzM+Xw=")</f>
        <v>#VALUE!</v>
      </c>
      <c r="DV147" t="e">
        <f>AND(Bills!V578,"AAAAAGzM+X0=")</f>
        <v>#VALUE!</v>
      </c>
      <c r="DW147" t="e">
        <f>AND(Bills!W578,"AAAAAGzM+X4=")</f>
        <v>#VALUE!</v>
      </c>
      <c r="DX147" t="e">
        <f>AND(Bills!#REF!,"AAAAAGzM+X8=")</f>
        <v>#REF!</v>
      </c>
      <c r="DY147" t="e">
        <f>AND(Bills!#REF!,"AAAAAGzM+YA=")</f>
        <v>#REF!</v>
      </c>
      <c r="DZ147" t="e">
        <f>AND(Bills!Y578,"AAAAAGzM+YE=")</f>
        <v>#VALUE!</v>
      </c>
      <c r="EA147" t="e">
        <f>AND(Bills!Z578,"AAAAAGzM+YI=")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AND(Bills!AA578,"AAAAAGzM+Yw=")</f>
        <v>#VALUE!</v>
      </c>
      <c r="EL147" t="e">
        <f>AND(Bills!AB578,"AAAAAGzM+Y0=")</f>
        <v>#VALUE!</v>
      </c>
      <c r="EM147" t="e">
        <f>AND(Bills!#REF!,"AAAAAGzM+Y4=")</f>
        <v>#REF!</v>
      </c>
      <c r="EN147" t="e">
        <f>AND(Bills!#REF!,"AAAAAGzM+Y8=")</f>
        <v>#REF!</v>
      </c>
      <c r="EO147" t="e">
        <f>AND(Bills!#REF!,"AAAAAGzM+ZA=")</f>
        <v>#REF!</v>
      </c>
      <c r="EP147" t="e">
        <f>AND(Bills!AC578,"AAAAAGzM+ZE=")</f>
        <v>#VALUE!</v>
      </c>
      <c r="EQ147" t="e">
        <f>AND(Bills!AD578,"AAAAAGzM+ZI=")</f>
        <v>#VALUE!</v>
      </c>
      <c r="ER147" t="e">
        <f>AND(Bills!#REF!,"AAAAAGzM+ZM=")</f>
        <v>#REF!</v>
      </c>
      <c r="ES147">
        <f>IF(Bills!579:579,"AAAAAGzM+ZQ=",0)</f>
        <v>0</v>
      </c>
      <c r="ET147" t="e">
        <f>AND(Bills!B579,"AAAAAGzM+ZU=")</f>
        <v>#VALUE!</v>
      </c>
      <c r="EU147" t="e">
        <f>AND(Bills!#REF!,"AAAAAGzM+ZY=")</f>
        <v>#REF!</v>
      </c>
      <c r="EV147" t="e">
        <f>AND(Bills!C579,"AAAAAGzM+Zc=")</f>
        <v>#VALUE!</v>
      </c>
      <c r="EW147" t="e">
        <f>AND(Bills!D579,"AAAAAGzM+Zg=")</f>
        <v>#VALUE!</v>
      </c>
      <c r="EX147" t="e">
        <f>AND(Bills!E579,"AAAAAGzM+Zk=")</f>
        <v>#VALUE!</v>
      </c>
      <c r="EY147" t="e">
        <f>AND(Bills!#REF!,"AAAAAGzM+Zo=")</f>
        <v>#REF!</v>
      </c>
      <c r="EZ147" t="e">
        <f>AND(Bills!#REF!,"AAAAAGzM+Zs=")</f>
        <v>#REF!</v>
      </c>
      <c r="FA147" t="e">
        <f>AND(Bills!#REF!,"AAAAAGzM+Zw=")</f>
        <v>#REF!</v>
      </c>
      <c r="FB147" t="e">
        <f>AND(Bills!F579,"AAAAAGzM+Z0=")</f>
        <v>#VALUE!</v>
      </c>
      <c r="FC147" t="e">
        <f>AND(Bills!#REF!,"AAAAAGzM+Z4=")</f>
        <v>#REF!</v>
      </c>
      <c r="FD147" t="e">
        <f>AND(Bills!G579,"AAAAAGzM+Z8=")</f>
        <v>#VALUE!</v>
      </c>
      <c r="FE147" t="e">
        <f>AND(Bills!H579,"AAAAAGzM+aA=")</f>
        <v>#VALUE!</v>
      </c>
      <c r="FF147" t="e">
        <f>AND(Bills!I579,"AAAAAGzM+aE=")</f>
        <v>#VALUE!</v>
      </c>
      <c r="FG147" t="e">
        <f>AND(Bills!J579,"AAAAAGzM+aI=")</f>
        <v>#VALUE!</v>
      </c>
      <c r="FH147" t="e">
        <f>AND(Bills!K579,"AAAAAGzM+aM=")</f>
        <v>#VALUE!</v>
      </c>
      <c r="FI147" t="e">
        <f>AND(Bills!L579,"AAAAAGzM+aQ=")</f>
        <v>#VALUE!</v>
      </c>
      <c r="FJ147" t="e">
        <f>AND(Bills!#REF!,"AAAAAGzM+aU=")</f>
        <v>#REF!</v>
      </c>
      <c r="FK147" t="e">
        <f>AND(Bills!M579,"AAAAAGzM+aY=")</f>
        <v>#VALUE!</v>
      </c>
      <c r="FL147" t="e">
        <f>AND(Bills!N579,"AAAAAGzM+ac=")</f>
        <v>#VALUE!</v>
      </c>
      <c r="FM147" t="e">
        <f>AND(Bills!O579,"AAAAAGzM+ag=")</f>
        <v>#VALUE!</v>
      </c>
      <c r="FN147" t="e">
        <f>AND(Bills!P579,"AAAAAGzM+ak=")</f>
        <v>#VALUE!</v>
      </c>
      <c r="FO147" t="e">
        <f>AND(Bills!Q579,"AAAAAGzM+ao=")</f>
        <v>#VALUE!</v>
      </c>
      <c r="FP147" t="e">
        <f>AND(Bills!R579,"AAAAAGzM+as=")</f>
        <v>#VALUE!</v>
      </c>
      <c r="FQ147" t="e">
        <f>AND(Bills!S579,"AAAAAGzM+aw=")</f>
        <v>#VALUE!</v>
      </c>
      <c r="FR147" t="e">
        <f>AND(Bills!T579,"AAAAAGzM+a0=")</f>
        <v>#VALUE!</v>
      </c>
      <c r="FS147" t="e">
        <f>AND(Bills!#REF!,"AAAAAGzM+a4=")</f>
        <v>#REF!</v>
      </c>
      <c r="FT147" t="e">
        <f>AND(Bills!U579,"AAAAAGzM+a8=")</f>
        <v>#VALUE!</v>
      </c>
      <c r="FU147" t="e">
        <f>AND(Bills!V579,"AAAAAGzM+bA=")</f>
        <v>#VALUE!</v>
      </c>
      <c r="FV147" t="e">
        <f>AND(Bills!W579,"AAAAAGzM+bE=")</f>
        <v>#VALUE!</v>
      </c>
      <c r="FW147" t="e">
        <f>AND(Bills!#REF!,"AAAAAGzM+bI=")</f>
        <v>#REF!</v>
      </c>
      <c r="FX147" t="e">
        <f>AND(Bills!#REF!,"AAAAAGzM+bM=")</f>
        <v>#REF!</v>
      </c>
      <c r="FY147" t="e">
        <f>AND(Bills!Y579,"AAAAAGzM+bQ=")</f>
        <v>#VALUE!</v>
      </c>
      <c r="FZ147" t="e">
        <f>AND(Bills!Z579,"AAAAAGzM+bU=")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AND(Bills!AA579,"AAAAAGzM+b8=")</f>
        <v>#VALUE!</v>
      </c>
      <c r="GK147" t="e">
        <f>AND(Bills!AB579,"AAAAAGzM+cA=")</f>
        <v>#VALUE!</v>
      </c>
      <c r="GL147" t="e">
        <f>AND(Bills!#REF!,"AAAAAGzM+cE=")</f>
        <v>#REF!</v>
      </c>
      <c r="GM147" t="e">
        <f>AND(Bills!#REF!,"AAAAAGzM+cI=")</f>
        <v>#REF!</v>
      </c>
      <c r="GN147" t="e">
        <f>AND(Bills!#REF!,"AAAAAGzM+cM=")</f>
        <v>#REF!</v>
      </c>
      <c r="GO147" t="e">
        <f>AND(Bills!AC579,"AAAAAGzM+cQ=")</f>
        <v>#VALUE!</v>
      </c>
      <c r="GP147" t="e">
        <f>AND(Bills!AD579,"AAAAAGzM+cU=")</f>
        <v>#VALUE!</v>
      </c>
      <c r="GQ147" t="e">
        <f>AND(Bills!#REF!,"AAAAAGzM+cY=")</f>
        <v>#REF!</v>
      </c>
      <c r="GR147">
        <f>IF(Bills!580:580,"AAAAAGzM+cc=",0)</f>
        <v>0</v>
      </c>
      <c r="GS147" t="e">
        <f>AND(Bills!B580,"AAAAAGzM+cg=")</f>
        <v>#VALUE!</v>
      </c>
      <c r="GT147" t="e">
        <f>AND(Bills!#REF!,"AAAAAGzM+ck=")</f>
        <v>#REF!</v>
      </c>
      <c r="GU147" t="e">
        <f>AND(Bills!C580,"AAAAAGzM+co=")</f>
        <v>#VALUE!</v>
      </c>
      <c r="GV147" t="e">
        <f>AND(Bills!D580,"AAAAAGzM+cs=")</f>
        <v>#VALUE!</v>
      </c>
      <c r="GW147" t="e">
        <f>AND(Bills!E580,"AAAAAGzM+cw=")</f>
        <v>#VALUE!</v>
      </c>
      <c r="GX147" t="e">
        <f>AND(Bills!#REF!,"AAAAAGzM+c0=")</f>
        <v>#REF!</v>
      </c>
      <c r="GY147" t="e">
        <f>AND(Bills!#REF!,"AAAAAGzM+c4=")</f>
        <v>#REF!</v>
      </c>
      <c r="GZ147" t="e">
        <f>AND(Bills!#REF!,"AAAAAGzM+c8=")</f>
        <v>#REF!</v>
      </c>
      <c r="HA147" t="e">
        <f>AND(Bills!F580,"AAAAAGzM+dA=")</f>
        <v>#VALUE!</v>
      </c>
      <c r="HB147" t="e">
        <f>AND(Bills!#REF!,"AAAAAGzM+dE=")</f>
        <v>#REF!</v>
      </c>
      <c r="HC147" t="e">
        <f>AND(Bills!G580,"AAAAAGzM+dI=")</f>
        <v>#VALUE!</v>
      </c>
      <c r="HD147" t="e">
        <f>AND(Bills!H580,"AAAAAGzM+dM=")</f>
        <v>#VALUE!</v>
      </c>
      <c r="HE147" t="e">
        <f>AND(Bills!I580,"AAAAAGzM+dQ=")</f>
        <v>#VALUE!</v>
      </c>
      <c r="HF147" t="e">
        <f>AND(Bills!J580,"AAAAAGzM+dU=")</f>
        <v>#VALUE!</v>
      </c>
      <c r="HG147" t="e">
        <f>AND(Bills!K580,"AAAAAGzM+dY=")</f>
        <v>#VALUE!</v>
      </c>
      <c r="HH147" t="e">
        <f>AND(Bills!L580,"AAAAAGzM+dc=")</f>
        <v>#VALUE!</v>
      </c>
      <c r="HI147" t="e">
        <f>AND(Bills!#REF!,"AAAAAGzM+dg=")</f>
        <v>#REF!</v>
      </c>
      <c r="HJ147" t="e">
        <f>AND(Bills!M580,"AAAAAGzM+dk=")</f>
        <v>#VALUE!</v>
      </c>
      <c r="HK147" t="e">
        <f>AND(Bills!N580,"AAAAAGzM+do=")</f>
        <v>#VALUE!</v>
      </c>
      <c r="HL147" t="e">
        <f>AND(Bills!O580,"AAAAAGzM+ds=")</f>
        <v>#VALUE!</v>
      </c>
      <c r="HM147" t="e">
        <f>AND(Bills!P580,"AAAAAGzM+dw=")</f>
        <v>#VALUE!</v>
      </c>
      <c r="HN147" t="e">
        <f>AND(Bills!Q580,"AAAAAGzM+d0=")</f>
        <v>#VALUE!</v>
      </c>
      <c r="HO147" t="e">
        <f>AND(Bills!R580,"AAAAAGzM+d4=")</f>
        <v>#VALUE!</v>
      </c>
      <c r="HP147" t="e">
        <f>AND(Bills!S580,"AAAAAGzM+d8=")</f>
        <v>#VALUE!</v>
      </c>
      <c r="HQ147" t="e">
        <f>AND(Bills!T580,"AAAAAGzM+eA=")</f>
        <v>#VALUE!</v>
      </c>
      <c r="HR147" t="e">
        <f>AND(Bills!#REF!,"AAAAAGzM+eE=")</f>
        <v>#REF!</v>
      </c>
      <c r="HS147" t="e">
        <f>AND(Bills!U580,"AAAAAGzM+eI=")</f>
        <v>#VALUE!</v>
      </c>
      <c r="HT147" t="e">
        <f>AND(Bills!V580,"AAAAAGzM+eM=")</f>
        <v>#VALUE!</v>
      </c>
      <c r="HU147" t="e">
        <f>AND(Bills!W580,"AAAAAGzM+eQ=")</f>
        <v>#VALUE!</v>
      </c>
      <c r="HV147" t="e">
        <f>AND(Bills!#REF!,"AAAAAGzM+eU=")</f>
        <v>#REF!</v>
      </c>
      <c r="HW147" t="e">
        <f>AND(Bills!#REF!,"AAAAAGzM+eY=")</f>
        <v>#REF!</v>
      </c>
      <c r="HX147" t="e">
        <f>AND(Bills!Y580,"AAAAAGzM+ec=")</f>
        <v>#VALUE!</v>
      </c>
      <c r="HY147" t="e">
        <f>AND(Bills!Z580,"AAAAAGzM+eg=")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AND(Bills!AA580,"AAAAAGzM+fI=")</f>
        <v>#VALUE!</v>
      </c>
      <c r="IJ147" t="e">
        <f>AND(Bills!AB580,"AAAAAGzM+fM=")</f>
        <v>#VALUE!</v>
      </c>
      <c r="IK147" t="e">
        <f>AND(Bills!#REF!,"AAAAAGzM+fQ=")</f>
        <v>#REF!</v>
      </c>
      <c r="IL147" t="e">
        <f>AND(Bills!#REF!,"AAAAAGzM+fU=")</f>
        <v>#REF!</v>
      </c>
      <c r="IM147" t="e">
        <f>AND(Bills!#REF!,"AAAAAGzM+fY=")</f>
        <v>#REF!</v>
      </c>
      <c r="IN147" t="e">
        <f>AND(Bills!AC580,"AAAAAGzM+fc=")</f>
        <v>#VALUE!</v>
      </c>
      <c r="IO147" t="e">
        <f>AND(Bills!AD580,"AAAAAGzM+fg=")</f>
        <v>#VALUE!</v>
      </c>
      <c r="IP147" t="e">
        <f>AND(Bills!#REF!,"AAAAAGzM+fk=")</f>
        <v>#REF!</v>
      </c>
      <c r="IQ147">
        <f>IF(Bills!581:581,"AAAAAGzM+fo=",0)</f>
        <v>0</v>
      </c>
      <c r="IR147" t="e">
        <f>AND(Bills!B581,"AAAAAGzM+fs=")</f>
        <v>#VALUE!</v>
      </c>
      <c r="IS147" t="e">
        <f>AND(Bills!#REF!,"AAAAAGzM+fw=")</f>
        <v>#REF!</v>
      </c>
      <c r="IT147" t="e">
        <f>AND(Bills!C581,"AAAAAGzM+f0=")</f>
        <v>#VALUE!</v>
      </c>
      <c r="IU147" t="e">
        <f>AND(Bills!D581,"AAAAAGzM+f4=")</f>
        <v>#VALUE!</v>
      </c>
      <c r="IV147" t="e">
        <f>AND(Bills!E581,"AAAAAGzM+f8=")</f>
        <v>#VALUE!</v>
      </c>
    </row>
    <row r="148" spans="1:256">
      <c r="A148" t="e">
        <f>AND(Bills!#REF!,"AAAAAHvfvwA=")</f>
        <v>#REF!</v>
      </c>
      <c r="B148" t="e">
        <f>AND(Bills!#REF!,"AAAAAHvfvwE=")</f>
        <v>#REF!</v>
      </c>
      <c r="C148" t="e">
        <f>AND(Bills!#REF!,"AAAAAHvfvwI=")</f>
        <v>#REF!</v>
      </c>
      <c r="D148" t="e">
        <f>AND(Bills!F581,"AAAAAHvfvwM=")</f>
        <v>#VALUE!</v>
      </c>
      <c r="E148" t="e">
        <f>AND(Bills!#REF!,"AAAAAHvfvwQ=")</f>
        <v>#REF!</v>
      </c>
      <c r="F148" t="e">
        <f>AND(Bills!G581,"AAAAAHvfvwU=")</f>
        <v>#VALUE!</v>
      </c>
      <c r="G148" t="e">
        <f>AND(Bills!H581,"AAAAAHvfvwY=")</f>
        <v>#VALUE!</v>
      </c>
      <c r="H148" t="e">
        <f>AND(Bills!I581,"AAAAAHvfvwc=")</f>
        <v>#VALUE!</v>
      </c>
      <c r="I148" t="e">
        <f>AND(Bills!J581,"AAAAAHvfvwg=")</f>
        <v>#VALUE!</v>
      </c>
      <c r="J148" t="e">
        <f>AND(Bills!K581,"AAAAAHvfvwk=")</f>
        <v>#VALUE!</v>
      </c>
      <c r="K148" t="e">
        <f>AND(Bills!L581,"AAAAAHvfvwo=")</f>
        <v>#VALUE!</v>
      </c>
      <c r="L148" t="e">
        <f>AND(Bills!#REF!,"AAAAAHvfvws=")</f>
        <v>#REF!</v>
      </c>
      <c r="M148" t="e">
        <f>AND(Bills!M581,"AAAAAHvfvww=")</f>
        <v>#VALUE!</v>
      </c>
      <c r="N148" t="e">
        <f>AND(Bills!N581,"AAAAAHvfvw0=")</f>
        <v>#VALUE!</v>
      </c>
      <c r="O148" t="e">
        <f>AND(Bills!O581,"AAAAAHvfvw4=")</f>
        <v>#VALUE!</v>
      </c>
      <c r="P148" t="e">
        <f>AND(Bills!P581,"AAAAAHvfvw8=")</f>
        <v>#VALUE!</v>
      </c>
      <c r="Q148" t="e">
        <f>AND(Bills!Q581,"AAAAAHvfvxA=")</f>
        <v>#VALUE!</v>
      </c>
      <c r="R148" t="e">
        <f>AND(Bills!R581,"AAAAAHvfvxE=")</f>
        <v>#VALUE!</v>
      </c>
      <c r="S148" t="e">
        <f>AND(Bills!S581,"AAAAAHvfvxI=")</f>
        <v>#VALUE!</v>
      </c>
      <c r="T148" t="e">
        <f>AND(Bills!T581,"AAAAAHvfvxM=")</f>
        <v>#VALUE!</v>
      </c>
      <c r="U148" t="e">
        <f>AND(Bills!#REF!,"AAAAAHvfvxQ=")</f>
        <v>#REF!</v>
      </c>
      <c r="V148" t="e">
        <f>AND(Bills!U581,"AAAAAHvfvxU=")</f>
        <v>#VALUE!</v>
      </c>
      <c r="W148" t="e">
        <f>AND(Bills!V581,"AAAAAHvfvxY=")</f>
        <v>#VALUE!</v>
      </c>
      <c r="X148" t="e">
        <f>AND(Bills!W581,"AAAAAHvfvxc=")</f>
        <v>#VALUE!</v>
      </c>
      <c r="Y148" t="e">
        <f>AND(Bills!#REF!,"AAAAAHvfvxg=")</f>
        <v>#REF!</v>
      </c>
      <c r="Z148" t="e">
        <f>AND(Bills!#REF!,"AAAAAHvfvxk=")</f>
        <v>#REF!</v>
      </c>
      <c r="AA148" t="e">
        <f>AND(Bills!Y581,"AAAAAHvfvxo=")</f>
        <v>#VALUE!</v>
      </c>
      <c r="AB148" t="e">
        <f>AND(Bills!Z581,"AAAAAHvfvxs=")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AND(Bills!AA581,"AAAAAHvfvyU=")</f>
        <v>#VALUE!</v>
      </c>
      <c r="AM148" t="e">
        <f>AND(Bills!AB581,"AAAAAHvfvyY=")</f>
        <v>#VALUE!</v>
      </c>
      <c r="AN148" t="e">
        <f>AND(Bills!#REF!,"AAAAAHvfvyc=")</f>
        <v>#REF!</v>
      </c>
      <c r="AO148" t="e">
        <f>AND(Bills!#REF!,"AAAAAHvfvyg=")</f>
        <v>#REF!</v>
      </c>
      <c r="AP148" t="e">
        <f>AND(Bills!#REF!,"AAAAAHvfvyk=")</f>
        <v>#REF!</v>
      </c>
      <c r="AQ148" t="e">
        <f>AND(Bills!AC581,"AAAAAHvfvyo=")</f>
        <v>#VALUE!</v>
      </c>
      <c r="AR148" t="e">
        <f>AND(Bills!AD581,"AAAAAHvfvys=")</f>
        <v>#VALUE!</v>
      </c>
      <c r="AS148" t="e">
        <f>AND(Bills!#REF!,"AAAAAHvfvyw=")</f>
        <v>#REF!</v>
      </c>
      <c r="AT148">
        <f>IF(Bills!582:582,"AAAAAHvfvy0=",0)</f>
        <v>0</v>
      </c>
      <c r="AU148" t="e">
        <f>AND(Bills!B582,"AAAAAHvfvy4=")</f>
        <v>#VALUE!</v>
      </c>
      <c r="AV148" t="e">
        <f>AND(Bills!#REF!,"AAAAAHvfvy8=")</f>
        <v>#REF!</v>
      </c>
      <c r="AW148" t="e">
        <f>AND(Bills!C582,"AAAAAHvfvzA=")</f>
        <v>#VALUE!</v>
      </c>
      <c r="AX148" t="e">
        <f>AND(Bills!D582,"AAAAAHvfvzE=")</f>
        <v>#VALUE!</v>
      </c>
      <c r="AY148" t="e">
        <f>AND(Bills!E582,"AAAAAHvfvzI=")</f>
        <v>#VALUE!</v>
      </c>
      <c r="AZ148" t="e">
        <f>AND(Bills!#REF!,"AAAAAHvfvzM=")</f>
        <v>#REF!</v>
      </c>
      <c r="BA148" t="e">
        <f>AND(Bills!#REF!,"AAAAAHvfvzQ=")</f>
        <v>#REF!</v>
      </c>
      <c r="BB148" t="e">
        <f>AND(Bills!#REF!,"AAAAAHvfvzU=")</f>
        <v>#REF!</v>
      </c>
      <c r="BC148" t="e">
        <f>AND(Bills!F582,"AAAAAHvfvzY=")</f>
        <v>#VALUE!</v>
      </c>
      <c r="BD148" t="e">
        <f>AND(Bills!#REF!,"AAAAAHvfvzc=")</f>
        <v>#REF!</v>
      </c>
      <c r="BE148" t="e">
        <f>AND(Bills!G582,"AAAAAHvfvzg=")</f>
        <v>#VALUE!</v>
      </c>
      <c r="BF148" t="e">
        <f>AND(Bills!H582,"AAAAAHvfvzk=")</f>
        <v>#VALUE!</v>
      </c>
      <c r="BG148" t="e">
        <f>AND(Bills!I582,"AAAAAHvfvzo=")</f>
        <v>#VALUE!</v>
      </c>
      <c r="BH148" t="e">
        <f>AND(Bills!J582,"AAAAAHvfvzs=")</f>
        <v>#VALUE!</v>
      </c>
      <c r="BI148" t="e">
        <f>AND(Bills!K582,"AAAAAHvfvzw=")</f>
        <v>#VALUE!</v>
      </c>
      <c r="BJ148" t="e">
        <f>AND(Bills!L582,"AAAAAHvfvz0=")</f>
        <v>#VALUE!</v>
      </c>
      <c r="BK148" t="e">
        <f>AND(Bills!#REF!,"AAAAAHvfvz4=")</f>
        <v>#REF!</v>
      </c>
      <c r="BL148" t="e">
        <f>AND(Bills!M582,"AAAAAHvfvz8=")</f>
        <v>#VALUE!</v>
      </c>
      <c r="BM148" t="e">
        <f>AND(Bills!N582,"AAAAAHvfv0A=")</f>
        <v>#VALUE!</v>
      </c>
      <c r="BN148" t="e">
        <f>AND(Bills!O582,"AAAAAHvfv0E=")</f>
        <v>#VALUE!</v>
      </c>
      <c r="BO148" t="e">
        <f>AND(Bills!P582,"AAAAAHvfv0I=")</f>
        <v>#VALUE!</v>
      </c>
      <c r="BP148" t="e">
        <f>AND(Bills!Q582,"AAAAAHvfv0M=")</f>
        <v>#VALUE!</v>
      </c>
      <c r="BQ148" t="e">
        <f>AND(Bills!R582,"AAAAAHvfv0Q=")</f>
        <v>#VALUE!</v>
      </c>
      <c r="BR148" t="e">
        <f>AND(Bills!S582,"AAAAAHvfv0U=")</f>
        <v>#VALUE!</v>
      </c>
      <c r="BS148" t="e">
        <f>AND(Bills!T582,"AAAAAHvfv0Y=")</f>
        <v>#VALUE!</v>
      </c>
      <c r="BT148" t="e">
        <f>AND(Bills!#REF!,"AAAAAHvfv0c=")</f>
        <v>#REF!</v>
      </c>
      <c r="BU148" t="e">
        <f>AND(Bills!U582,"AAAAAHvfv0g=")</f>
        <v>#VALUE!</v>
      </c>
      <c r="BV148" t="e">
        <f>AND(Bills!V582,"AAAAAHvfv0k=")</f>
        <v>#VALUE!</v>
      </c>
      <c r="BW148" t="e">
        <f>AND(Bills!W582,"AAAAAHvfv0o=")</f>
        <v>#VALUE!</v>
      </c>
      <c r="BX148" t="e">
        <f>AND(Bills!#REF!,"AAAAAHvfv0s=")</f>
        <v>#REF!</v>
      </c>
      <c r="BY148" t="e">
        <f>AND(Bills!#REF!,"AAAAAHvfv0w=")</f>
        <v>#REF!</v>
      </c>
      <c r="BZ148" t="e">
        <f>AND(Bills!Y582,"AAAAAHvfv00=")</f>
        <v>#VALUE!</v>
      </c>
      <c r="CA148" t="e">
        <f>AND(Bills!Z582,"AAAAAHvfv04=")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AND(Bills!AA582,"AAAAAHvfv1g=")</f>
        <v>#VALUE!</v>
      </c>
      <c r="CL148" t="e">
        <f>AND(Bills!AB582,"AAAAAHvfv1k=")</f>
        <v>#VALUE!</v>
      </c>
      <c r="CM148" t="e">
        <f>AND(Bills!#REF!,"AAAAAHvfv1o=")</f>
        <v>#REF!</v>
      </c>
      <c r="CN148" t="e">
        <f>AND(Bills!#REF!,"AAAAAHvfv1s=")</f>
        <v>#REF!</v>
      </c>
      <c r="CO148" t="e">
        <f>AND(Bills!#REF!,"AAAAAHvfv1w=")</f>
        <v>#REF!</v>
      </c>
      <c r="CP148" t="e">
        <f>AND(Bills!AC582,"AAAAAHvfv10=")</f>
        <v>#VALUE!</v>
      </c>
      <c r="CQ148" t="e">
        <f>AND(Bills!AD582,"AAAAAHvfv14=")</f>
        <v>#VALUE!</v>
      </c>
      <c r="CR148" t="e">
        <f>AND(Bills!#REF!,"AAAAAHvfv18=")</f>
        <v>#REF!</v>
      </c>
      <c r="CS148">
        <f>IF(Bills!583:583,"AAAAAHvfv2A=",0)</f>
        <v>0</v>
      </c>
      <c r="CT148" t="e">
        <f>AND(Bills!B583,"AAAAAHvfv2E=")</f>
        <v>#VALUE!</v>
      </c>
      <c r="CU148" t="e">
        <f>AND(Bills!#REF!,"AAAAAHvfv2I=")</f>
        <v>#REF!</v>
      </c>
      <c r="CV148" t="e">
        <f>AND(Bills!C583,"AAAAAHvfv2M=")</f>
        <v>#VALUE!</v>
      </c>
      <c r="CW148" t="e">
        <f>AND(Bills!D583,"AAAAAHvfv2Q=")</f>
        <v>#VALUE!</v>
      </c>
      <c r="CX148" t="e">
        <f>AND(Bills!E583,"AAAAAHvfv2U=")</f>
        <v>#VALUE!</v>
      </c>
      <c r="CY148" t="e">
        <f>AND(Bills!#REF!,"AAAAAHvfv2Y=")</f>
        <v>#REF!</v>
      </c>
      <c r="CZ148" t="e">
        <f>AND(Bills!#REF!,"AAAAAHvfv2c=")</f>
        <v>#REF!</v>
      </c>
      <c r="DA148" t="e">
        <f>AND(Bills!#REF!,"AAAAAHvfv2g=")</f>
        <v>#REF!</v>
      </c>
      <c r="DB148" t="e">
        <f>AND(Bills!F583,"AAAAAHvfv2k=")</f>
        <v>#VALUE!</v>
      </c>
      <c r="DC148" t="e">
        <f>AND(Bills!#REF!,"AAAAAHvfv2o=")</f>
        <v>#REF!</v>
      </c>
      <c r="DD148" t="e">
        <f>AND(Bills!G583,"AAAAAHvfv2s=")</f>
        <v>#VALUE!</v>
      </c>
      <c r="DE148" t="e">
        <f>AND(Bills!H583,"AAAAAHvfv2w=")</f>
        <v>#VALUE!</v>
      </c>
      <c r="DF148" t="e">
        <f>AND(Bills!I583,"AAAAAHvfv20=")</f>
        <v>#VALUE!</v>
      </c>
      <c r="DG148" t="e">
        <f>AND(Bills!J583,"AAAAAHvfv24=")</f>
        <v>#VALUE!</v>
      </c>
      <c r="DH148" t="e">
        <f>AND(Bills!K583,"AAAAAHvfv28=")</f>
        <v>#VALUE!</v>
      </c>
      <c r="DI148" t="e">
        <f>AND(Bills!L583,"AAAAAHvfv3A=")</f>
        <v>#VALUE!</v>
      </c>
      <c r="DJ148" t="e">
        <f>AND(Bills!#REF!,"AAAAAHvfv3E=")</f>
        <v>#REF!</v>
      </c>
      <c r="DK148" t="e">
        <f>AND(Bills!M583,"AAAAAHvfv3I=")</f>
        <v>#VALUE!</v>
      </c>
      <c r="DL148" t="e">
        <f>AND(Bills!N583,"AAAAAHvfv3M=")</f>
        <v>#VALUE!</v>
      </c>
      <c r="DM148" t="e">
        <f>AND(Bills!O583,"AAAAAHvfv3Q=")</f>
        <v>#VALUE!</v>
      </c>
      <c r="DN148" t="e">
        <f>AND(Bills!P583,"AAAAAHvfv3U=")</f>
        <v>#VALUE!</v>
      </c>
      <c r="DO148" t="e">
        <f>AND(Bills!Q583,"AAAAAHvfv3Y=")</f>
        <v>#VALUE!</v>
      </c>
      <c r="DP148" t="e">
        <f>AND(Bills!R583,"AAAAAHvfv3c=")</f>
        <v>#VALUE!</v>
      </c>
      <c r="DQ148" t="e">
        <f>AND(Bills!S583,"AAAAAHvfv3g=")</f>
        <v>#VALUE!</v>
      </c>
      <c r="DR148" t="e">
        <f>AND(Bills!T583,"AAAAAHvfv3k=")</f>
        <v>#VALUE!</v>
      </c>
      <c r="DS148" t="e">
        <f>AND(Bills!#REF!,"AAAAAHvfv3o=")</f>
        <v>#REF!</v>
      </c>
      <c r="DT148" t="e">
        <f>AND(Bills!U583,"AAAAAHvfv3s=")</f>
        <v>#VALUE!</v>
      </c>
      <c r="DU148" t="e">
        <f>AND(Bills!V583,"AAAAAHvfv3w=")</f>
        <v>#VALUE!</v>
      </c>
      <c r="DV148" t="e">
        <f>AND(Bills!W583,"AAAAAHvfv30=")</f>
        <v>#VALUE!</v>
      </c>
      <c r="DW148" t="e">
        <f>AND(Bills!#REF!,"AAAAAHvfv34=")</f>
        <v>#REF!</v>
      </c>
      <c r="DX148" t="e">
        <f>AND(Bills!#REF!,"AAAAAHvfv38=")</f>
        <v>#REF!</v>
      </c>
      <c r="DY148" t="e">
        <f>AND(Bills!Y583,"AAAAAHvfv4A=")</f>
        <v>#VALUE!</v>
      </c>
      <c r="DZ148" t="e">
        <f>AND(Bills!Z583,"AAAAAHvfv4E=")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AND(Bills!AA583,"AAAAAHvfv4s=")</f>
        <v>#VALUE!</v>
      </c>
      <c r="EK148" t="e">
        <f>AND(Bills!AB583,"AAAAAHvfv4w=")</f>
        <v>#VALUE!</v>
      </c>
      <c r="EL148" t="e">
        <f>AND(Bills!#REF!,"AAAAAHvfv40=")</f>
        <v>#REF!</v>
      </c>
      <c r="EM148" t="e">
        <f>AND(Bills!#REF!,"AAAAAHvfv44=")</f>
        <v>#REF!</v>
      </c>
      <c r="EN148" t="e">
        <f>AND(Bills!#REF!,"AAAAAHvfv48=")</f>
        <v>#REF!</v>
      </c>
      <c r="EO148" t="e">
        <f>AND(Bills!AC583,"AAAAAHvfv5A=")</f>
        <v>#VALUE!</v>
      </c>
      <c r="EP148" t="e">
        <f>AND(Bills!AD583,"AAAAAHvfv5E=")</f>
        <v>#VALUE!</v>
      </c>
      <c r="EQ148" t="e">
        <f>AND(Bills!#REF!,"AAAAAHvfv5I=")</f>
        <v>#REF!</v>
      </c>
      <c r="ER148">
        <f>IF(Bills!584:584,"AAAAAHvfv5M=",0)</f>
        <v>0</v>
      </c>
      <c r="ES148" t="e">
        <f>AND(Bills!B584,"AAAAAHvfv5Q=")</f>
        <v>#VALUE!</v>
      </c>
      <c r="ET148" t="e">
        <f>AND(Bills!#REF!,"AAAAAHvfv5U=")</f>
        <v>#REF!</v>
      </c>
      <c r="EU148" t="e">
        <f>AND(Bills!C584,"AAAAAHvfv5Y=")</f>
        <v>#VALUE!</v>
      </c>
      <c r="EV148" t="e">
        <f>AND(Bills!D584,"AAAAAHvfv5c=")</f>
        <v>#VALUE!</v>
      </c>
      <c r="EW148" t="e">
        <f>AND(Bills!E584,"AAAAAHvfv5g=")</f>
        <v>#VALUE!</v>
      </c>
      <c r="EX148" t="e">
        <f>AND(Bills!#REF!,"AAAAAHvfv5k=")</f>
        <v>#REF!</v>
      </c>
      <c r="EY148" t="e">
        <f>AND(Bills!#REF!,"AAAAAHvfv5o=")</f>
        <v>#REF!</v>
      </c>
      <c r="EZ148" t="e">
        <f>AND(Bills!#REF!,"AAAAAHvfv5s=")</f>
        <v>#REF!</v>
      </c>
      <c r="FA148" t="e">
        <f>AND(Bills!F584,"AAAAAHvfv5w=")</f>
        <v>#VALUE!</v>
      </c>
      <c r="FB148" t="e">
        <f>AND(Bills!#REF!,"AAAAAHvfv50=")</f>
        <v>#REF!</v>
      </c>
      <c r="FC148" t="e">
        <f>AND(Bills!G584,"AAAAAHvfv54=")</f>
        <v>#VALUE!</v>
      </c>
      <c r="FD148" t="e">
        <f>AND(Bills!H584,"AAAAAHvfv58=")</f>
        <v>#VALUE!</v>
      </c>
      <c r="FE148" t="e">
        <f>AND(Bills!I584,"AAAAAHvfv6A=")</f>
        <v>#VALUE!</v>
      </c>
      <c r="FF148" t="e">
        <f>AND(Bills!J584,"AAAAAHvfv6E=")</f>
        <v>#VALUE!</v>
      </c>
      <c r="FG148" t="e">
        <f>AND(Bills!K584,"AAAAAHvfv6I=")</f>
        <v>#VALUE!</v>
      </c>
      <c r="FH148" t="e">
        <f>AND(Bills!L584,"AAAAAHvfv6M=")</f>
        <v>#VALUE!</v>
      </c>
      <c r="FI148" t="e">
        <f>AND(Bills!#REF!,"AAAAAHvfv6Q=")</f>
        <v>#REF!</v>
      </c>
      <c r="FJ148" t="e">
        <f>AND(Bills!M584,"AAAAAHvfv6U=")</f>
        <v>#VALUE!</v>
      </c>
      <c r="FK148" t="e">
        <f>AND(Bills!N584,"AAAAAHvfv6Y=")</f>
        <v>#VALUE!</v>
      </c>
      <c r="FL148" t="e">
        <f>AND(Bills!O584,"AAAAAHvfv6c=")</f>
        <v>#VALUE!</v>
      </c>
      <c r="FM148" t="e">
        <f>AND(Bills!P584,"AAAAAHvfv6g=")</f>
        <v>#VALUE!</v>
      </c>
      <c r="FN148" t="e">
        <f>AND(Bills!Q584,"AAAAAHvfv6k=")</f>
        <v>#VALUE!</v>
      </c>
      <c r="FO148" t="e">
        <f>AND(Bills!R584,"AAAAAHvfv6o=")</f>
        <v>#VALUE!</v>
      </c>
      <c r="FP148" t="e">
        <f>AND(Bills!S584,"AAAAAHvfv6s=")</f>
        <v>#VALUE!</v>
      </c>
      <c r="FQ148" t="e">
        <f>AND(Bills!T584,"AAAAAHvfv6w=")</f>
        <v>#VALUE!</v>
      </c>
      <c r="FR148" t="e">
        <f>AND(Bills!#REF!,"AAAAAHvfv60=")</f>
        <v>#REF!</v>
      </c>
      <c r="FS148" t="e">
        <f>AND(Bills!U584,"AAAAAHvfv64=")</f>
        <v>#VALUE!</v>
      </c>
      <c r="FT148" t="e">
        <f>AND(Bills!V584,"AAAAAHvfv68=")</f>
        <v>#VALUE!</v>
      </c>
      <c r="FU148" t="e">
        <f>AND(Bills!W584,"AAAAAHvfv7A=")</f>
        <v>#VALUE!</v>
      </c>
      <c r="FV148" t="e">
        <f>AND(Bills!#REF!,"AAAAAHvfv7E=")</f>
        <v>#REF!</v>
      </c>
      <c r="FW148" t="e">
        <f>AND(Bills!#REF!,"AAAAAHvfv7I=")</f>
        <v>#REF!</v>
      </c>
      <c r="FX148" t="e">
        <f>AND(Bills!Y584,"AAAAAHvfv7M=")</f>
        <v>#VALUE!</v>
      </c>
      <c r="FY148" t="e">
        <f>AND(Bills!Z584,"AAAAAHvfv7Q=")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AND(Bills!AA584,"AAAAAHvfv74=")</f>
        <v>#VALUE!</v>
      </c>
      <c r="GJ148" t="e">
        <f>AND(Bills!AB584,"AAAAAHvfv78=")</f>
        <v>#VALUE!</v>
      </c>
      <c r="GK148" t="e">
        <f>AND(Bills!#REF!,"AAAAAHvfv8A=")</f>
        <v>#REF!</v>
      </c>
      <c r="GL148" t="e">
        <f>AND(Bills!#REF!,"AAAAAHvfv8E=")</f>
        <v>#REF!</v>
      </c>
      <c r="GM148" t="e">
        <f>AND(Bills!#REF!,"AAAAAHvfv8I=")</f>
        <v>#REF!</v>
      </c>
      <c r="GN148" t="e">
        <f>AND(Bills!AC584,"AAAAAHvfv8M=")</f>
        <v>#VALUE!</v>
      </c>
      <c r="GO148" t="e">
        <f>AND(Bills!AD584,"AAAAAHvfv8Q=")</f>
        <v>#VALUE!</v>
      </c>
      <c r="GP148" t="e">
        <f>AND(Bills!#REF!,"AAAAAHvfv8U=")</f>
        <v>#REF!</v>
      </c>
      <c r="GQ148">
        <f>IF(Bills!585:585,"AAAAAHvfv8Y=",0)</f>
        <v>0</v>
      </c>
      <c r="GR148" t="e">
        <f>AND(Bills!B585,"AAAAAHvfv8c=")</f>
        <v>#VALUE!</v>
      </c>
      <c r="GS148" t="e">
        <f>AND(Bills!#REF!,"AAAAAHvfv8g=")</f>
        <v>#REF!</v>
      </c>
      <c r="GT148" t="e">
        <f>AND(Bills!C585,"AAAAAHvfv8k=")</f>
        <v>#VALUE!</v>
      </c>
      <c r="GU148" t="e">
        <f>AND(Bills!D585,"AAAAAHvfv8o=")</f>
        <v>#VALUE!</v>
      </c>
      <c r="GV148" t="e">
        <f>AND(Bills!E585,"AAAAAHvfv8s=")</f>
        <v>#VALUE!</v>
      </c>
      <c r="GW148" t="e">
        <f>AND(Bills!#REF!,"AAAAAHvfv8w=")</f>
        <v>#REF!</v>
      </c>
      <c r="GX148" t="e">
        <f>AND(Bills!#REF!,"AAAAAHvfv80=")</f>
        <v>#REF!</v>
      </c>
      <c r="GY148" t="e">
        <f>AND(Bills!#REF!,"AAAAAHvfv84=")</f>
        <v>#REF!</v>
      </c>
      <c r="GZ148" t="e">
        <f>AND(Bills!F585,"AAAAAHvfv88=")</f>
        <v>#VALUE!</v>
      </c>
      <c r="HA148" t="e">
        <f>AND(Bills!#REF!,"AAAAAHvfv9A=")</f>
        <v>#REF!</v>
      </c>
      <c r="HB148" t="e">
        <f>AND(Bills!G585,"AAAAAHvfv9E=")</f>
        <v>#VALUE!</v>
      </c>
      <c r="HC148" t="e">
        <f>AND(Bills!H585,"AAAAAHvfv9I=")</f>
        <v>#VALUE!</v>
      </c>
      <c r="HD148" t="e">
        <f>AND(Bills!I585,"AAAAAHvfv9M=")</f>
        <v>#VALUE!</v>
      </c>
      <c r="HE148" t="e">
        <f>AND(Bills!J585,"AAAAAHvfv9Q=")</f>
        <v>#VALUE!</v>
      </c>
      <c r="HF148" t="e">
        <f>AND(Bills!K585,"AAAAAHvfv9U=")</f>
        <v>#VALUE!</v>
      </c>
      <c r="HG148" t="e">
        <f>AND(Bills!L585,"AAAAAHvfv9Y=")</f>
        <v>#VALUE!</v>
      </c>
      <c r="HH148" t="e">
        <f>AND(Bills!#REF!,"AAAAAHvfv9c=")</f>
        <v>#REF!</v>
      </c>
      <c r="HI148" t="e">
        <f>AND(Bills!M585,"AAAAAHvfv9g=")</f>
        <v>#VALUE!</v>
      </c>
      <c r="HJ148" t="e">
        <f>AND(Bills!N585,"AAAAAHvfv9k=")</f>
        <v>#VALUE!</v>
      </c>
      <c r="HK148" t="e">
        <f>AND(Bills!O585,"AAAAAHvfv9o=")</f>
        <v>#VALUE!</v>
      </c>
      <c r="HL148" t="e">
        <f>AND(Bills!P585,"AAAAAHvfv9s=")</f>
        <v>#VALUE!</v>
      </c>
      <c r="HM148" t="e">
        <f>AND(Bills!Q585,"AAAAAHvfv9w=")</f>
        <v>#VALUE!</v>
      </c>
      <c r="HN148" t="e">
        <f>AND(Bills!R585,"AAAAAHvfv90=")</f>
        <v>#VALUE!</v>
      </c>
      <c r="HO148" t="e">
        <f>AND(Bills!S585,"AAAAAHvfv94=")</f>
        <v>#VALUE!</v>
      </c>
      <c r="HP148" t="e">
        <f>AND(Bills!T585,"AAAAAHvfv98=")</f>
        <v>#VALUE!</v>
      </c>
      <c r="HQ148" t="e">
        <f>AND(Bills!#REF!,"AAAAAHvfv+A=")</f>
        <v>#REF!</v>
      </c>
      <c r="HR148" t="e">
        <f>AND(Bills!U585,"AAAAAHvfv+E=")</f>
        <v>#VALUE!</v>
      </c>
      <c r="HS148" t="e">
        <f>AND(Bills!V585,"AAAAAHvfv+I=")</f>
        <v>#VALUE!</v>
      </c>
      <c r="HT148" t="e">
        <f>AND(Bills!W585,"AAAAAHvfv+M=")</f>
        <v>#VALUE!</v>
      </c>
      <c r="HU148" t="e">
        <f>AND(Bills!#REF!,"AAAAAHvfv+Q=")</f>
        <v>#REF!</v>
      </c>
      <c r="HV148" t="e">
        <f>AND(Bills!#REF!,"AAAAAHvfv+U=")</f>
        <v>#REF!</v>
      </c>
      <c r="HW148" t="e">
        <f>AND(Bills!Y585,"AAAAAHvfv+Y=")</f>
        <v>#VALUE!</v>
      </c>
      <c r="HX148" t="e">
        <f>AND(Bills!Z585,"AAAAAHvfv+c=")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AND(Bills!AA585,"AAAAAHvfv/E=")</f>
        <v>#VALUE!</v>
      </c>
      <c r="II148" t="e">
        <f>AND(Bills!AB585,"AAAAAHvfv/I=")</f>
        <v>#VALUE!</v>
      </c>
      <c r="IJ148" t="e">
        <f>AND(Bills!#REF!,"AAAAAHvfv/M=")</f>
        <v>#REF!</v>
      </c>
      <c r="IK148" t="e">
        <f>AND(Bills!#REF!,"AAAAAHvfv/Q=")</f>
        <v>#REF!</v>
      </c>
      <c r="IL148" t="e">
        <f>AND(Bills!#REF!,"AAAAAHvfv/U=")</f>
        <v>#REF!</v>
      </c>
      <c r="IM148" t="e">
        <f>AND(Bills!AC585,"AAAAAHvfv/Y=")</f>
        <v>#VALUE!</v>
      </c>
      <c r="IN148" t="e">
        <f>AND(Bills!AD585,"AAAAAHvfv/c=")</f>
        <v>#VALUE!</v>
      </c>
      <c r="IO148" t="e">
        <f>AND(Bills!#REF!,"AAAAAHvfv/g=")</f>
        <v>#REF!</v>
      </c>
      <c r="IP148">
        <f>IF(Bills!586:586,"AAAAAHvfv/k=",0)</f>
        <v>0</v>
      </c>
      <c r="IQ148" t="e">
        <f>AND(Bills!B586,"AAAAAHvfv/o=")</f>
        <v>#VALUE!</v>
      </c>
      <c r="IR148" t="e">
        <f>AND(Bills!#REF!,"AAAAAHvfv/s=")</f>
        <v>#REF!</v>
      </c>
      <c r="IS148" t="e">
        <f>AND(Bills!C586,"AAAAAHvfv/w=")</f>
        <v>#VALUE!</v>
      </c>
      <c r="IT148" t="e">
        <f>AND(Bills!D586,"AAAAAHvfv/0=")</f>
        <v>#VALUE!</v>
      </c>
      <c r="IU148" t="e">
        <f>AND(Bills!E586,"AAAAAHvfv/4=")</f>
        <v>#VALUE!</v>
      </c>
      <c r="IV148" t="e">
        <f>AND(Bills!#REF!,"AAAAAHvfv/8=")</f>
        <v>#REF!</v>
      </c>
    </row>
    <row r="149" spans="1:256">
      <c r="A149" t="e">
        <f>AND(Bills!#REF!,"AAAAAH/z3gA=")</f>
        <v>#REF!</v>
      </c>
      <c r="B149" t="e">
        <f>AND(Bills!#REF!,"AAAAAH/z3gE=")</f>
        <v>#REF!</v>
      </c>
      <c r="C149" t="e">
        <f>AND(Bills!F586,"AAAAAH/z3gI=")</f>
        <v>#VALUE!</v>
      </c>
      <c r="D149" t="e">
        <f>AND(Bills!#REF!,"AAAAAH/z3gM=")</f>
        <v>#REF!</v>
      </c>
      <c r="E149" t="e">
        <f>AND(Bills!G586,"AAAAAH/z3gQ=")</f>
        <v>#VALUE!</v>
      </c>
      <c r="F149" t="e">
        <f>AND(Bills!H586,"AAAAAH/z3gU=")</f>
        <v>#VALUE!</v>
      </c>
      <c r="G149" t="e">
        <f>AND(Bills!I586,"AAAAAH/z3gY=")</f>
        <v>#VALUE!</v>
      </c>
      <c r="H149" t="e">
        <f>AND(Bills!J586,"AAAAAH/z3gc=")</f>
        <v>#VALUE!</v>
      </c>
      <c r="I149" t="e">
        <f>AND(Bills!K586,"AAAAAH/z3gg=")</f>
        <v>#VALUE!</v>
      </c>
      <c r="J149" t="e">
        <f>AND(Bills!L586,"AAAAAH/z3gk=")</f>
        <v>#VALUE!</v>
      </c>
      <c r="K149" t="e">
        <f>AND(Bills!#REF!,"AAAAAH/z3go=")</f>
        <v>#REF!</v>
      </c>
      <c r="L149" t="e">
        <f>AND(Bills!M586,"AAAAAH/z3gs=")</f>
        <v>#VALUE!</v>
      </c>
      <c r="M149" t="e">
        <f>AND(Bills!N586,"AAAAAH/z3gw=")</f>
        <v>#VALUE!</v>
      </c>
      <c r="N149" t="e">
        <f>AND(Bills!O586,"AAAAAH/z3g0=")</f>
        <v>#VALUE!</v>
      </c>
      <c r="O149" t="e">
        <f>AND(Bills!P586,"AAAAAH/z3g4=")</f>
        <v>#VALUE!</v>
      </c>
      <c r="P149" t="e">
        <f>AND(Bills!Q586,"AAAAAH/z3g8=")</f>
        <v>#VALUE!</v>
      </c>
      <c r="Q149" t="e">
        <f>AND(Bills!R586,"AAAAAH/z3hA=")</f>
        <v>#VALUE!</v>
      </c>
      <c r="R149" t="e">
        <f>AND(Bills!S586,"AAAAAH/z3hE=")</f>
        <v>#VALUE!</v>
      </c>
      <c r="S149" t="e">
        <f>AND(Bills!T586,"AAAAAH/z3hI=")</f>
        <v>#VALUE!</v>
      </c>
      <c r="T149" t="e">
        <f>AND(Bills!#REF!,"AAAAAH/z3hM=")</f>
        <v>#REF!</v>
      </c>
      <c r="U149" t="e">
        <f>AND(Bills!U586,"AAAAAH/z3hQ=")</f>
        <v>#VALUE!</v>
      </c>
      <c r="V149" t="e">
        <f>AND(Bills!V586,"AAAAAH/z3hU=")</f>
        <v>#VALUE!</v>
      </c>
      <c r="W149" t="e">
        <f>AND(Bills!W586,"AAAAAH/z3hY=")</f>
        <v>#VALUE!</v>
      </c>
      <c r="X149" t="e">
        <f>AND(Bills!#REF!,"AAAAAH/z3hc=")</f>
        <v>#REF!</v>
      </c>
      <c r="Y149" t="e">
        <f>AND(Bills!#REF!,"AAAAAH/z3hg=")</f>
        <v>#REF!</v>
      </c>
      <c r="Z149" t="e">
        <f>AND(Bills!Y586,"AAAAAH/z3hk=")</f>
        <v>#VALUE!</v>
      </c>
      <c r="AA149" t="e">
        <f>AND(Bills!Z586,"AAAAAH/z3ho=")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AND(Bills!AA586,"AAAAAH/z3iQ=")</f>
        <v>#VALUE!</v>
      </c>
      <c r="AL149" t="e">
        <f>AND(Bills!AB586,"AAAAAH/z3iU=")</f>
        <v>#VALUE!</v>
      </c>
      <c r="AM149" t="e">
        <f>AND(Bills!#REF!,"AAAAAH/z3iY=")</f>
        <v>#REF!</v>
      </c>
      <c r="AN149" t="e">
        <f>AND(Bills!#REF!,"AAAAAH/z3ic=")</f>
        <v>#REF!</v>
      </c>
      <c r="AO149" t="e">
        <f>AND(Bills!#REF!,"AAAAAH/z3ig=")</f>
        <v>#REF!</v>
      </c>
      <c r="AP149" t="e">
        <f>AND(Bills!AC586,"AAAAAH/z3ik=")</f>
        <v>#VALUE!</v>
      </c>
      <c r="AQ149" t="e">
        <f>AND(Bills!AD586,"AAAAAH/z3io=")</f>
        <v>#VALUE!</v>
      </c>
      <c r="AR149" t="e">
        <f>AND(Bills!#REF!,"AAAAAH/z3is=")</f>
        <v>#REF!</v>
      </c>
      <c r="AS149">
        <f>IF(Bills!587:587,"AAAAAH/z3iw=",0)</f>
        <v>0</v>
      </c>
      <c r="AT149" t="e">
        <f>AND(Bills!B587,"AAAAAH/z3i0=")</f>
        <v>#VALUE!</v>
      </c>
      <c r="AU149" t="e">
        <f>AND(Bills!#REF!,"AAAAAH/z3i4=")</f>
        <v>#REF!</v>
      </c>
      <c r="AV149" t="e">
        <f>AND(Bills!C587,"AAAAAH/z3i8=")</f>
        <v>#VALUE!</v>
      </c>
      <c r="AW149" t="e">
        <f>AND(Bills!D587,"AAAAAH/z3jA=")</f>
        <v>#VALUE!</v>
      </c>
      <c r="AX149" t="e">
        <f>AND(Bills!E587,"AAAAAH/z3jE=")</f>
        <v>#VALUE!</v>
      </c>
      <c r="AY149" t="e">
        <f>AND(Bills!#REF!,"AAAAAH/z3jI=")</f>
        <v>#REF!</v>
      </c>
      <c r="AZ149" t="e">
        <f>AND(Bills!#REF!,"AAAAAH/z3jM=")</f>
        <v>#REF!</v>
      </c>
      <c r="BA149" t="e">
        <f>AND(Bills!#REF!,"AAAAAH/z3jQ=")</f>
        <v>#REF!</v>
      </c>
      <c r="BB149" t="e">
        <f>AND(Bills!F587,"AAAAAH/z3jU=")</f>
        <v>#VALUE!</v>
      </c>
      <c r="BC149" t="e">
        <f>AND(Bills!#REF!,"AAAAAH/z3jY=")</f>
        <v>#REF!</v>
      </c>
      <c r="BD149" t="e">
        <f>AND(Bills!G587,"AAAAAH/z3jc=")</f>
        <v>#VALUE!</v>
      </c>
      <c r="BE149" t="e">
        <f>AND(Bills!H587,"AAAAAH/z3jg=")</f>
        <v>#VALUE!</v>
      </c>
      <c r="BF149" t="e">
        <f>AND(Bills!I587,"AAAAAH/z3jk=")</f>
        <v>#VALUE!</v>
      </c>
      <c r="BG149" t="e">
        <f>AND(Bills!J587,"AAAAAH/z3jo=")</f>
        <v>#VALUE!</v>
      </c>
      <c r="BH149" t="e">
        <f>AND(Bills!K587,"AAAAAH/z3js=")</f>
        <v>#VALUE!</v>
      </c>
      <c r="BI149" t="e">
        <f>AND(Bills!L587,"AAAAAH/z3jw=")</f>
        <v>#VALUE!</v>
      </c>
      <c r="BJ149" t="e">
        <f>AND(Bills!#REF!,"AAAAAH/z3j0=")</f>
        <v>#REF!</v>
      </c>
      <c r="BK149" t="e">
        <f>AND(Bills!M587,"AAAAAH/z3j4=")</f>
        <v>#VALUE!</v>
      </c>
      <c r="BL149" t="e">
        <f>AND(Bills!N587,"AAAAAH/z3j8=")</f>
        <v>#VALUE!</v>
      </c>
      <c r="BM149" t="e">
        <f>AND(Bills!O587,"AAAAAH/z3kA=")</f>
        <v>#VALUE!</v>
      </c>
      <c r="BN149" t="e">
        <f>AND(Bills!P587,"AAAAAH/z3kE=")</f>
        <v>#VALUE!</v>
      </c>
      <c r="BO149" t="e">
        <f>AND(Bills!Q587,"AAAAAH/z3kI=")</f>
        <v>#VALUE!</v>
      </c>
      <c r="BP149" t="e">
        <f>AND(Bills!R587,"AAAAAH/z3kM=")</f>
        <v>#VALUE!</v>
      </c>
      <c r="BQ149" t="e">
        <f>AND(Bills!S587,"AAAAAH/z3kQ=")</f>
        <v>#VALUE!</v>
      </c>
      <c r="BR149" t="e">
        <f>AND(Bills!T587,"AAAAAH/z3kU=")</f>
        <v>#VALUE!</v>
      </c>
      <c r="BS149" t="e">
        <f>AND(Bills!#REF!,"AAAAAH/z3kY=")</f>
        <v>#REF!</v>
      </c>
      <c r="BT149" t="e">
        <f>AND(Bills!U587,"AAAAAH/z3kc=")</f>
        <v>#VALUE!</v>
      </c>
      <c r="BU149" t="e">
        <f>AND(Bills!V587,"AAAAAH/z3kg=")</f>
        <v>#VALUE!</v>
      </c>
      <c r="BV149" t="e">
        <f>AND(Bills!W587,"AAAAAH/z3kk=")</f>
        <v>#VALUE!</v>
      </c>
      <c r="BW149" t="e">
        <f>AND(Bills!#REF!,"AAAAAH/z3ko=")</f>
        <v>#REF!</v>
      </c>
      <c r="BX149" t="e">
        <f>AND(Bills!#REF!,"AAAAAH/z3ks=")</f>
        <v>#REF!</v>
      </c>
      <c r="BY149" t="e">
        <f>AND(Bills!Y587,"AAAAAH/z3kw=")</f>
        <v>#VALUE!</v>
      </c>
      <c r="BZ149" t="e">
        <f>AND(Bills!Z587,"AAAAAH/z3k0=")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AND(Bills!AA587,"AAAAAH/z3lc=")</f>
        <v>#VALUE!</v>
      </c>
      <c r="CK149" t="e">
        <f>AND(Bills!AB587,"AAAAAH/z3lg=")</f>
        <v>#VALUE!</v>
      </c>
      <c r="CL149" t="e">
        <f>AND(Bills!#REF!,"AAAAAH/z3lk=")</f>
        <v>#REF!</v>
      </c>
      <c r="CM149" t="e">
        <f>AND(Bills!#REF!,"AAAAAH/z3lo=")</f>
        <v>#REF!</v>
      </c>
      <c r="CN149" t="e">
        <f>AND(Bills!#REF!,"AAAAAH/z3ls=")</f>
        <v>#REF!</v>
      </c>
      <c r="CO149" t="e">
        <f>AND(Bills!AC587,"AAAAAH/z3lw=")</f>
        <v>#VALUE!</v>
      </c>
      <c r="CP149" t="e">
        <f>AND(Bills!AD587,"AAAAAH/z3l0=")</f>
        <v>#VALUE!</v>
      </c>
      <c r="CQ149" t="e">
        <f>AND(Bills!#REF!,"AAAAAH/z3l4=")</f>
        <v>#REF!</v>
      </c>
      <c r="CR149">
        <f>IF(Bills!588:588,"AAAAAH/z3l8=",0)</f>
        <v>0</v>
      </c>
      <c r="CS149" t="e">
        <f>AND(Bills!B588,"AAAAAH/z3mA=")</f>
        <v>#VALUE!</v>
      </c>
      <c r="CT149" t="e">
        <f>AND(Bills!#REF!,"AAAAAH/z3mE=")</f>
        <v>#REF!</v>
      </c>
      <c r="CU149" t="e">
        <f>AND(Bills!C588,"AAAAAH/z3mI=")</f>
        <v>#VALUE!</v>
      </c>
      <c r="CV149" t="e">
        <f>AND(Bills!D588,"AAAAAH/z3mM=")</f>
        <v>#VALUE!</v>
      </c>
      <c r="CW149" t="e">
        <f>AND(Bills!E588,"AAAAAH/z3mQ=")</f>
        <v>#VALUE!</v>
      </c>
      <c r="CX149" t="e">
        <f>AND(Bills!#REF!,"AAAAAH/z3mU=")</f>
        <v>#REF!</v>
      </c>
      <c r="CY149" t="e">
        <f>AND(Bills!#REF!,"AAAAAH/z3mY=")</f>
        <v>#REF!</v>
      </c>
      <c r="CZ149" t="e">
        <f>AND(Bills!#REF!,"AAAAAH/z3mc=")</f>
        <v>#REF!</v>
      </c>
      <c r="DA149" t="e">
        <f>AND(Bills!F588,"AAAAAH/z3mg=")</f>
        <v>#VALUE!</v>
      </c>
      <c r="DB149" t="e">
        <f>AND(Bills!#REF!,"AAAAAH/z3mk=")</f>
        <v>#REF!</v>
      </c>
      <c r="DC149" t="e">
        <f>AND(Bills!G588,"AAAAAH/z3mo=")</f>
        <v>#VALUE!</v>
      </c>
      <c r="DD149" t="e">
        <f>AND(Bills!H588,"AAAAAH/z3ms=")</f>
        <v>#VALUE!</v>
      </c>
      <c r="DE149" t="e">
        <f>AND(Bills!I588,"AAAAAH/z3mw=")</f>
        <v>#VALUE!</v>
      </c>
      <c r="DF149" t="e">
        <f>AND(Bills!J588,"AAAAAH/z3m0=")</f>
        <v>#VALUE!</v>
      </c>
      <c r="DG149" t="e">
        <f>AND(Bills!K588,"AAAAAH/z3m4=")</f>
        <v>#VALUE!</v>
      </c>
      <c r="DH149" t="e">
        <f>AND(Bills!L588,"AAAAAH/z3m8=")</f>
        <v>#VALUE!</v>
      </c>
      <c r="DI149" t="e">
        <f>AND(Bills!#REF!,"AAAAAH/z3nA=")</f>
        <v>#REF!</v>
      </c>
      <c r="DJ149" t="e">
        <f>AND(Bills!M588,"AAAAAH/z3nE=")</f>
        <v>#VALUE!</v>
      </c>
      <c r="DK149" t="e">
        <f>AND(Bills!N588,"AAAAAH/z3nI=")</f>
        <v>#VALUE!</v>
      </c>
      <c r="DL149" t="e">
        <f>AND(Bills!O588,"AAAAAH/z3nM=")</f>
        <v>#VALUE!</v>
      </c>
      <c r="DM149" t="e">
        <f>AND(Bills!P588,"AAAAAH/z3nQ=")</f>
        <v>#VALUE!</v>
      </c>
      <c r="DN149" t="e">
        <f>AND(Bills!Q588,"AAAAAH/z3nU=")</f>
        <v>#VALUE!</v>
      </c>
      <c r="DO149" t="e">
        <f>AND(Bills!R588,"AAAAAH/z3nY=")</f>
        <v>#VALUE!</v>
      </c>
      <c r="DP149" t="e">
        <f>AND(Bills!S588,"AAAAAH/z3nc=")</f>
        <v>#VALUE!</v>
      </c>
      <c r="DQ149" t="e">
        <f>AND(Bills!T588,"AAAAAH/z3ng=")</f>
        <v>#VALUE!</v>
      </c>
      <c r="DR149" t="e">
        <f>AND(Bills!#REF!,"AAAAAH/z3nk=")</f>
        <v>#REF!</v>
      </c>
      <c r="DS149" t="e">
        <f>AND(Bills!U588,"AAAAAH/z3no=")</f>
        <v>#VALUE!</v>
      </c>
      <c r="DT149" t="e">
        <f>AND(Bills!V588,"AAAAAH/z3ns=")</f>
        <v>#VALUE!</v>
      </c>
      <c r="DU149" t="e">
        <f>AND(Bills!W588,"AAAAAH/z3nw=")</f>
        <v>#VALUE!</v>
      </c>
      <c r="DV149" t="e">
        <f>AND(Bills!#REF!,"AAAAAH/z3n0=")</f>
        <v>#REF!</v>
      </c>
      <c r="DW149" t="e">
        <f>AND(Bills!#REF!,"AAAAAH/z3n4=")</f>
        <v>#REF!</v>
      </c>
      <c r="DX149" t="e">
        <f>AND(Bills!Y588,"AAAAAH/z3n8=")</f>
        <v>#VALUE!</v>
      </c>
      <c r="DY149" t="e">
        <f>AND(Bills!Z588,"AAAAAH/z3oA=")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AND(Bills!AA588,"AAAAAH/z3oo=")</f>
        <v>#VALUE!</v>
      </c>
      <c r="EJ149" t="e">
        <f>AND(Bills!AB588,"AAAAAH/z3os=")</f>
        <v>#VALUE!</v>
      </c>
      <c r="EK149" t="e">
        <f>AND(Bills!#REF!,"AAAAAH/z3ow=")</f>
        <v>#REF!</v>
      </c>
      <c r="EL149" t="e">
        <f>AND(Bills!#REF!,"AAAAAH/z3o0=")</f>
        <v>#REF!</v>
      </c>
      <c r="EM149" t="e">
        <f>AND(Bills!#REF!,"AAAAAH/z3o4=")</f>
        <v>#REF!</v>
      </c>
      <c r="EN149" t="e">
        <f>AND(Bills!AC588,"AAAAAH/z3o8=")</f>
        <v>#VALUE!</v>
      </c>
      <c r="EO149" t="e">
        <f>AND(Bills!AD588,"AAAAAH/z3pA=")</f>
        <v>#VALUE!</v>
      </c>
      <c r="EP149" t="e">
        <f>AND(Bills!#REF!,"AAAAAH/z3pE=")</f>
        <v>#REF!</v>
      </c>
      <c r="EQ149">
        <f>IF(Bills!589:589,"AAAAAH/z3pI=",0)</f>
        <v>0</v>
      </c>
      <c r="ER149" t="e">
        <f>AND(Bills!B589,"AAAAAH/z3pM=")</f>
        <v>#VALUE!</v>
      </c>
      <c r="ES149" t="e">
        <f>AND(Bills!#REF!,"AAAAAH/z3pQ=")</f>
        <v>#REF!</v>
      </c>
      <c r="ET149" t="e">
        <f>AND(Bills!C589,"AAAAAH/z3pU=")</f>
        <v>#VALUE!</v>
      </c>
      <c r="EU149" t="e">
        <f>AND(Bills!D589,"AAAAAH/z3pY=")</f>
        <v>#VALUE!</v>
      </c>
      <c r="EV149" t="e">
        <f>AND(Bills!E589,"AAAAAH/z3pc=")</f>
        <v>#VALUE!</v>
      </c>
      <c r="EW149" t="e">
        <f>AND(Bills!#REF!,"AAAAAH/z3pg=")</f>
        <v>#REF!</v>
      </c>
      <c r="EX149" t="e">
        <f>AND(Bills!#REF!,"AAAAAH/z3pk=")</f>
        <v>#REF!</v>
      </c>
      <c r="EY149" t="e">
        <f>AND(Bills!#REF!,"AAAAAH/z3po=")</f>
        <v>#REF!</v>
      </c>
      <c r="EZ149" t="e">
        <f>AND(Bills!F589,"AAAAAH/z3ps=")</f>
        <v>#VALUE!</v>
      </c>
      <c r="FA149" t="e">
        <f>AND(Bills!#REF!,"AAAAAH/z3pw=")</f>
        <v>#REF!</v>
      </c>
      <c r="FB149" t="e">
        <f>AND(Bills!G589,"AAAAAH/z3p0=")</f>
        <v>#VALUE!</v>
      </c>
      <c r="FC149" t="e">
        <f>AND(Bills!H589,"AAAAAH/z3p4=")</f>
        <v>#VALUE!</v>
      </c>
      <c r="FD149" t="e">
        <f>AND(Bills!I589,"AAAAAH/z3p8=")</f>
        <v>#VALUE!</v>
      </c>
      <c r="FE149" t="e">
        <f>AND(Bills!J589,"AAAAAH/z3qA=")</f>
        <v>#VALUE!</v>
      </c>
      <c r="FF149" t="e">
        <f>AND(Bills!K589,"AAAAAH/z3qE=")</f>
        <v>#VALUE!</v>
      </c>
      <c r="FG149" t="e">
        <f>AND(Bills!L589,"AAAAAH/z3qI=")</f>
        <v>#VALUE!</v>
      </c>
      <c r="FH149" t="e">
        <f>AND(Bills!#REF!,"AAAAAH/z3qM=")</f>
        <v>#REF!</v>
      </c>
      <c r="FI149" t="e">
        <f>AND(Bills!M589,"AAAAAH/z3qQ=")</f>
        <v>#VALUE!</v>
      </c>
      <c r="FJ149" t="e">
        <f>AND(Bills!N589,"AAAAAH/z3qU=")</f>
        <v>#VALUE!</v>
      </c>
      <c r="FK149" t="e">
        <f>AND(Bills!O589,"AAAAAH/z3qY=")</f>
        <v>#VALUE!</v>
      </c>
      <c r="FL149" t="e">
        <f>AND(Bills!P589,"AAAAAH/z3qc=")</f>
        <v>#VALUE!</v>
      </c>
      <c r="FM149" t="e">
        <f>AND(Bills!Q589,"AAAAAH/z3qg=")</f>
        <v>#VALUE!</v>
      </c>
      <c r="FN149" t="e">
        <f>AND(Bills!R589,"AAAAAH/z3qk=")</f>
        <v>#VALUE!</v>
      </c>
      <c r="FO149" t="e">
        <f>AND(Bills!S589,"AAAAAH/z3qo=")</f>
        <v>#VALUE!</v>
      </c>
      <c r="FP149" t="e">
        <f>AND(Bills!T589,"AAAAAH/z3qs=")</f>
        <v>#VALUE!</v>
      </c>
      <c r="FQ149" t="e">
        <f>AND(Bills!#REF!,"AAAAAH/z3qw=")</f>
        <v>#REF!</v>
      </c>
      <c r="FR149" t="e">
        <f>AND(Bills!U589,"AAAAAH/z3q0=")</f>
        <v>#VALUE!</v>
      </c>
      <c r="FS149" t="e">
        <f>AND(Bills!V589,"AAAAAH/z3q4=")</f>
        <v>#VALUE!</v>
      </c>
      <c r="FT149" t="e">
        <f>AND(Bills!W589,"AAAAAH/z3q8=")</f>
        <v>#VALUE!</v>
      </c>
      <c r="FU149" t="e">
        <f>AND(Bills!#REF!,"AAAAAH/z3rA=")</f>
        <v>#REF!</v>
      </c>
      <c r="FV149" t="e">
        <f>AND(Bills!#REF!,"AAAAAH/z3rE=")</f>
        <v>#REF!</v>
      </c>
      <c r="FW149" t="e">
        <f>AND(Bills!Y589,"AAAAAH/z3rI=")</f>
        <v>#VALUE!</v>
      </c>
      <c r="FX149" t="e">
        <f>AND(Bills!Z589,"AAAAAH/z3rM=")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AND(Bills!AA589,"AAAAAH/z3r0=")</f>
        <v>#VALUE!</v>
      </c>
      <c r="GI149" t="e">
        <f>AND(Bills!AB589,"AAAAAH/z3r4=")</f>
        <v>#VALUE!</v>
      </c>
      <c r="GJ149" t="e">
        <f>AND(Bills!#REF!,"AAAAAH/z3r8=")</f>
        <v>#REF!</v>
      </c>
      <c r="GK149" t="e">
        <f>AND(Bills!#REF!,"AAAAAH/z3sA=")</f>
        <v>#REF!</v>
      </c>
      <c r="GL149" t="e">
        <f>AND(Bills!#REF!,"AAAAAH/z3sE=")</f>
        <v>#REF!</v>
      </c>
      <c r="GM149" t="e">
        <f>AND(Bills!AC589,"AAAAAH/z3sI=")</f>
        <v>#VALUE!</v>
      </c>
      <c r="GN149" t="e">
        <f>AND(Bills!AD589,"AAAAAH/z3sM=")</f>
        <v>#VALUE!</v>
      </c>
      <c r="GO149" t="e">
        <f>AND(Bills!#REF!,"AAAAAH/z3sQ=")</f>
        <v>#REF!</v>
      </c>
      <c r="GP149">
        <f>IF(Bills!590:590,"AAAAAH/z3sU=",0)</f>
        <v>0</v>
      </c>
      <c r="GQ149" t="e">
        <f>AND(Bills!B590,"AAAAAH/z3sY=")</f>
        <v>#VALUE!</v>
      </c>
      <c r="GR149" t="e">
        <f>AND(Bills!#REF!,"AAAAAH/z3sc=")</f>
        <v>#REF!</v>
      </c>
      <c r="GS149" t="e">
        <f>AND(Bills!C590,"AAAAAH/z3sg=")</f>
        <v>#VALUE!</v>
      </c>
      <c r="GT149" t="e">
        <f>AND(Bills!D590,"AAAAAH/z3sk=")</f>
        <v>#VALUE!</v>
      </c>
      <c r="GU149" t="e">
        <f>AND(Bills!E590,"AAAAAH/z3so=")</f>
        <v>#VALUE!</v>
      </c>
      <c r="GV149" t="e">
        <f>AND(Bills!#REF!,"AAAAAH/z3ss=")</f>
        <v>#REF!</v>
      </c>
      <c r="GW149" t="e">
        <f>AND(Bills!#REF!,"AAAAAH/z3sw=")</f>
        <v>#REF!</v>
      </c>
      <c r="GX149" t="e">
        <f>AND(Bills!#REF!,"AAAAAH/z3s0=")</f>
        <v>#REF!</v>
      </c>
      <c r="GY149" t="e">
        <f>AND(Bills!F590,"AAAAAH/z3s4=")</f>
        <v>#VALUE!</v>
      </c>
      <c r="GZ149" t="e">
        <f>AND(Bills!#REF!,"AAAAAH/z3s8=")</f>
        <v>#REF!</v>
      </c>
      <c r="HA149" t="e">
        <f>AND(Bills!G590,"AAAAAH/z3tA=")</f>
        <v>#VALUE!</v>
      </c>
      <c r="HB149" t="e">
        <f>AND(Bills!H590,"AAAAAH/z3tE=")</f>
        <v>#VALUE!</v>
      </c>
      <c r="HC149" t="e">
        <f>AND(Bills!I590,"AAAAAH/z3tI=")</f>
        <v>#VALUE!</v>
      </c>
      <c r="HD149" t="e">
        <f>AND(Bills!J590,"AAAAAH/z3tM=")</f>
        <v>#VALUE!</v>
      </c>
      <c r="HE149" t="e">
        <f>AND(Bills!K590,"AAAAAH/z3tQ=")</f>
        <v>#VALUE!</v>
      </c>
      <c r="HF149" t="e">
        <f>AND(Bills!L590,"AAAAAH/z3tU=")</f>
        <v>#VALUE!</v>
      </c>
      <c r="HG149" t="e">
        <f>AND(Bills!#REF!,"AAAAAH/z3tY=")</f>
        <v>#REF!</v>
      </c>
      <c r="HH149" t="e">
        <f>AND(Bills!M590,"AAAAAH/z3tc=")</f>
        <v>#VALUE!</v>
      </c>
      <c r="HI149" t="e">
        <f>AND(Bills!N590,"AAAAAH/z3tg=")</f>
        <v>#VALUE!</v>
      </c>
      <c r="HJ149" t="e">
        <f>AND(Bills!O590,"AAAAAH/z3tk=")</f>
        <v>#VALUE!</v>
      </c>
      <c r="HK149" t="e">
        <f>AND(Bills!P590,"AAAAAH/z3to=")</f>
        <v>#VALUE!</v>
      </c>
      <c r="HL149" t="e">
        <f>AND(Bills!Q590,"AAAAAH/z3ts=")</f>
        <v>#VALUE!</v>
      </c>
      <c r="HM149" t="e">
        <f>AND(Bills!R590,"AAAAAH/z3tw=")</f>
        <v>#VALUE!</v>
      </c>
      <c r="HN149" t="e">
        <f>AND(Bills!S590,"AAAAAH/z3t0=")</f>
        <v>#VALUE!</v>
      </c>
      <c r="HO149" t="e">
        <f>AND(Bills!T590,"AAAAAH/z3t4=")</f>
        <v>#VALUE!</v>
      </c>
      <c r="HP149" t="e">
        <f>AND(Bills!#REF!,"AAAAAH/z3t8=")</f>
        <v>#REF!</v>
      </c>
      <c r="HQ149" t="e">
        <f>AND(Bills!U590,"AAAAAH/z3uA=")</f>
        <v>#VALUE!</v>
      </c>
      <c r="HR149" t="e">
        <f>AND(Bills!V590,"AAAAAH/z3uE=")</f>
        <v>#VALUE!</v>
      </c>
      <c r="HS149" t="e">
        <f>AND(Bills!W590,"AAAAAH/z3uI=")</f>
        <v>#VALUE!</v>
      </c>
      <c r="HT149" t="e">
        <f>AND(Bills!#REF!,"AAAAAH/z3uM=")</f>
        <v>#REF!</v>
      </c>
      <c r="HU149" t="e">
        <f>AND(Bills!#REF!,"AAAAAH/z3uQ=")</f>
        <v>#REF!</v>
      </c>
      <c r="HV149" t="e">
        <f>AND(Bills!Y590,"AAAAAH/z3uU=")</f>
        <v>#VALUE!</v>
      </c>
      <c r="HW149" t="e">
        <f>AND(Bills!Z590,"AAAAAH/z3uY=")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AND(Bills!AA590,"AAAAAH/z3vA=")</f>
        <v>#VALUE!</v>
      </c>
      <c r="IH149" t="e">
        <f>AND(Bills!AB590,"AAAAAH/z3vE=")</f>
        <v>#VALUE!</v>
      </c>
      <c r="II149" t="e">
        <f>AND(Bills!#REF!,"AAAAAH/z3vI=")</f>
        <v>#REF!</v>
      </c>
      <c r="IJ149" t="e">
        <f>AND(Bills!#REF!,"AAAAAH/z3vM=")</f>
        <v>#REF!</v>
      </c>
      <c r="IK149" t="e">
        <f>AND(Bills!#REF!,"AAAAAH/z3vQ=")</f>
        <v>#REF!</v>
      </c>
      <c r="IL149" t="e">
        <f>AND(Bills!AC590,"AAAAAH/z3vU=")</f>
        <v>#VALUE!</v>
      </c>
      <c r="IM149" t="e">
        <f>AND(Bills!AD590,"AAAAAH/z3vY=")</f>
        <v>#VALUE!</v>
      </c>
      <c r="IN149" t="e">
        <f>AND(Bills!#REF!,"AAAAAH/z3vc=")</f>
        <v>#REF!</v>
      </c>
      <c r="IO149">
        <f>IF(Bills!591:591,"AAAAAH/z3vg=",0)</f>
        <v>0</v>
      </c>
      <c r="IP149" t="e">
        <f>AND(Bills!B591,"AAAAAH/z3vk=")</f>
        <v>#VALUE!</v>
      </c>
      <c r="IQ149" t="e">
        <f>AND(Bills!#REF!,"AAAAAH/z3vo=")</f>
        <v>#REF!</v>
      </c>
      <c r="IR149" t="e">
        <f>AND(Bills!C591,"AAAAAH/z3vs=")</f>
        <v>#VALUE!</v>
      </c>
      <c r="IS149" t="e">
        <f>AND(Bills!D591,"AAAAAH/z3vw=")</f>
        <v>#VALUE!</v>
      </c>
      <c r="IT149" t="e">
        <f>AND(Bills!E591,"AAAAAH/z3v0=")</f>
        <v>#VALUE!</v>
      </c>
      <c r="IU149" t="e">
        <f>AND(Bills!#REF!,"AAAAAH/z3v4=")</f>
        <v>#REF!</v>
      </c>
      <c r="IV149" t="e">
        <f>AND(Bills!#REF!,"AAAAAH/z3v8=")</f>
        <v>#REF!</v>
      </c>
    </row>
    <row r="150" spans="1:256">
      <c r="A150" t="e">
        <f>AND(Bills!#REF!,"AAAAACqO6wA=")</f>
        <v>#REF!</v>
      </c>
      <c r="B150" t="e">
        <f>AND(Bills!F591,"AAAAACqO6wE=")</f>
        <v>#VALUE!</v>
      </c>
      <c r="C150" t="e">
        <f>AND(Bills!#REF!,"AAAAACqO6wI=")</f>
        <v>#REF!</v>
      </c>
      <c r="D150" t="e">
        <f>AND(Bills!G591,"AAAAACqO6wM=")</f>
        <v>#VALUE!</v>
      </c>
      <c r="E150" t="e">
        <f>AND(Bills!H591,"AAAAACqO6wQ=")</f>
        <v>#VALUE!</v>
      </c>
      <c r="F150" t="e">
        <f>AND(Bills!I591,"AAAAACqO6wU=")</f>
        <v>#VALUE!</v>
      </c>
      <c r="G150" t="e">
        <f>AND(Bills!J591,"AAAAACqO6wY=")</f>
        <v>#VALUE!</v>
      </c>
      <c r="H150" t="e">
        <f>AND(Bills!K591,"AAAAACqO6wc=")</f>
        <v>#VALUE!</v>
      </c>
      <c r="I150" t="e">
        <f>AND(Bills!L591,"AAAAACqO6wg=")</f>
        <v>#VALUE!</v>
      </c>
      <c r="J150" t="e">
        <f>AND(Bills!#REF!,"AAAAACqO6wk=")</f>
        <v>#REF!</v>
      </c>
      <c r="K150" t="e">
        <f>AND(Bills!M591,"AAAAACqO6wo=")</f>
        <v>#VALUE!</v>
      </c>
      <c r="L150" t="e">
        <f>AND(Bills!N591,"AAAAACqO6ws=")</f>
        <v>#VALUE!</v>
      </c>
      <c r="M150" t="e">
        <f>AND(Bills!O591,"AAAAACqO6ww=")</f>
        <v>#VALUE!</v>
      </c>
      <c r="N150" t="e">
        <f>AND(Bills!P591,"AAAAACqO6w0=")</f>
        <v>#VALUE!</v>
      </c>
      <c r="O150" t="e">
        <f>AND(Bills!Q591,"AAAAACqO6w4=")</f>
        <v>#VALUE!</v>
      </c>
      <c r="P150" t="e">
        <f>AND(Bills!R591,"AAAAACqO6w8=")</f>
        <v>#VALUE!</v>
      </c>
      <c r="Q150" t="e">
        <f>AND(Bills!S591,"AAAAACqO6xA=")</f>
        <v>#VALUE!</v>
      </c>
      <c r="R150" t="e">
        <f>AND(Bills!T591,"AAAAACqO6xE=")</f>
        <v>#VALUE!</v>
      </c>
      <c r="S150" t="e">
        <f>AND(Bills!#REF!,"AAAAACqO6xI=")</f>
        <v>#REF!</v>
      </c>
      <c r="T150" t="e">
        <f>AND(Bills!U591,"AAAAACqO6xM=")</f>
        <v>#VALUE!</v>
      </c>
      <c r="U150" t="e">
        <f>AND(Bills!V591,"AAAAACqO6xQ=")</f>
        <v>#VALUE!</v>
      </c>
      <c r="V150" t="e">
        <f>AND(Bills!W591,"AAAAACqO6xU=")</f>
        <v>#VALUE!</v>
      </c>
      <c r="W150" t="e">
        <f>AND(Bills!#REF!,"AAAAACqO6xY=")</f>
        <v>#REF!</v>
      </c>
      <c r="X150" t="e">
        <f>AND(Bills!#REF!,"AAAAACqO6xc=")</f>
        <v>#REF!</v>
      </c>
      <c r="Y150" t="e">
        <f>AND(Bills!Y591,"AAAAACqO6xg=")</f>
        <v>#VALUE!</v>
      </c>
      <c r="Z150" t="e">
        <f>AND(Bills!Z591,"AAAAACqO6xk=")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AND(Bills!AA591,"AAAAACqO6yM=")</f>
        <v>#VALUE!</v>
      </c>
      <c r="AK150" t="e">
        <f>AND(Bills!AB591,"AAAAACqO6yQ=")</f>
        <v>#VALUE!</v>
      </c>
      <c r="AL150" t="e">
        <f>AND(Bills!#REF!,"AAAAACqO6yU=")</f>
        <v>#REF!</v>
      </c>
      <c r="AM150" t="e">
        <f>AND(Bills!#REF!,"AAAAACqO6yY=")</f>
        <v>#REF!</v>
      </c>
      <c r="AN150" t="e">
        <f>AND(Bills!#REF!,"AAAAACqO6yc=")</f>
        <v>#REF!</v>
      </c>
      <c r="AO150" t="e">
        <f>AND(Bills!AC591,"AAAAACqO6yg=")</f>
        <v>#VALUE!</v>
      </c>
      <c r="AP150" t="e">
        <f>AND(Bills!AD591,"AAAAACqO6yk=")</f>
        <v>#VALUE!</v>
      </c>
      <c r="AQ150" t="e">
        <f>AND(Bills!#REF!,"AAAAACqO6yo=")</f>
        <v>#REF!</v>
      </c>
      <c r="AR150">
        <f>IF(Bills!592:592,"AAAAACqO6ys=",0)</f>
        <v>0</v>
      </c>
      <c r="AS150" t="e">
        <f>AND(Bills!B592,"AAAAACqO6yw=")</f>
        <v>#VALUE!</v>
      </c>
      <c r="AT150" t="e">
        <f>AND(Bills!#REF!,"AAAAACqO6y0=")</f>
        <v>#REF!</v>
      </c>
      <c r="AU150" t="e">
        <f>AND(Bills!C592,"AAAAACqO6y4=")</f>
        <v>#VALUE!</v>
      </c>
      <c r="AV150" t="e">
        <f>AND(Bills!D592,"AAAAACqO6y8=")</f>
        <v>#VALUE!</v>
      </c>
      <c r="AW150" t="e">
        <f>AND(Bills!E592,"AAAAACqO6zA=")</f>
        <v>#VALUE!</v>
      </c>
      <c r="AX150" t="e">
        <f>AND(Bills!#REF!,"AAAAACqO6zE=")</f>
        <v>#REF!</v>
      </c>
      <c r="AY150" t="e">
        <f>AND(Bills!#REF!,"AAAAACqO6zI=")</f>
        <v>#REF!</v>
      </c>
      <c r="AZ150" t="e">
        <f>AND(Bills!#REF!,"AAAAACqO6zM=")</f>
        <v>#REF!</v>
      </c>
      <c r="BA150" t="e">
        <f>AND(Bills!F592,"AAAAACqO6zQ=")</f>
        <v>#VALUE!</v>
      </c>
      <c r="BB150" t="e">
        <f>AND(Bills!#REF!,"AAAAACqO6zU=")</f>
        <v>#REF!</v>
      </c>
      <c r="BC150" t="e">
        <f>AND(Bills!G592,"AAAAACqO6zY=")</f>
        <v>#VALUE!</v>
      </c>
      <c r="BD150" t="e">
        <f>AND(Bills!H592,"AAAAACqO6zc=")</f>
        <v>#VALUE!</v>
      </c>
      <c r="BE150" t="e">
        <f>AND(Bills!I592,"AAAAACqO6zg=")</f>
        <v>#VALUE!</v>
      </c>
      <c r="BF150" t="e">
        <f>AND(Bills!J592,"AAAAACqO6zk=")</f>
        <v>#VALUE!</v>
      </c>
      <c r="BG150" t="e">
        <f>AND(Bills!K592,"AAAAACqO6zo=")</f>
        <v>#VALUE!</v>
      </c>
      <c r="BH150" t="e">
        <f>AND(Bills!L592,"AAAAACqO6zs=")</f>
        <v>#VALUE!</v>
      </c>
      <c r="BI150" t="e">
        <f>AND(Bills!#REF!,"AAAAACqO6zw=")</f>
        <v>#REF!</v>
      </c>
      <c r="BJ150" t="e">
        <f>AND(Bills!M592,"AAAAACqO6z0=")</f>
        <v>#VALUE!</v>
      </c>
      <c r="BK150" t="e">
        <f>AND(Bills!N592,"AAAAACqO6z4=")</f>
        <v>#VALUE!</v>
      </c>
      <c r="BL150" t="e">
        <f>AND(Bills!O592,"AAAAACqO6z8=")</f>
        <v>#VALUE!</v>
      </c>
      <c r="BM150" t="e">
        <f>AND(Bills!P592,"AAAAACqO60A=")</f>
        <v>#VALUE!</v>
      </c>
      <c r="BN150" t="e">
        <f>AND(Bills!Q592,"AAAAACqO60E=")</f>
        <v>#VALUE!</v>
      </c>
      <c r="BO150" t="e">
        <f>AND(Bills!R592,"AAAAACqO60I=")</f>
        <v>#VALUE!</v>
      </c>
      <c r="BP150" t="e">
        <f>AND(Bills!S592,"AAAAACqO60M=")</f>
        <v>#VALUE!</v>
      </c>
      <c r="BQ150" t="e">
        <f>AND(Bills!T592,"AAAAACqO60Q=")</f>
        <v>#VALUE!</v>
      </c>
      <c r="BR150" t="e">
        <f>AND(Bills!#REF!,"AAAAACqO60U=")</f>
        <v>#REF!</v>
      </c>
      <c r="BS150" t="e">
        <f>AND(Bills!U592,"AAAAACqO60Y=")</f>
        <v>#VALUE!</v>
      </c>
      <c r="BT150" t="e">
        <f>AND(Bills!V592,"AAAAACqO60c=")</f>
        <v>#VALUE!</v>
      </c>
      <c r="BU150" t="e">
        <f>AND(Bills!W592,"AAAAACqO60g=")</f>
        <v>#VALUE!</v>
      </c>
      <c r="BV150" t="e">
        <f>AND(Bills!#REF!,"AAAAACqO60k=")</f>
        <v>#REF!</v>
      </c>
      <c r="BW150" t="e">
        <f>AND(Bills!#REF!,"AAAAACqO60o=")</f>
        <v>#REF!</v>
      </c>
      <c r="BX150" t="e">
        <f>AND(Bills!Y592,"AAAAACqO60s=")</f>
        <v>#VALUE!</v>
      </c>
      <c r="BY150" t="e">
        <f>AND(Bills!Z592,"AAAAACqO60w=")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AND(Bills!AA592,"AAAAACqO61Y=")</f>
        <v>#VALUE!</v>
      </c>
      <c r="CJ150" t="e">
        <f>AND(Bills!AB592,"AAAAACqO61c=")</f>
        <v>#VALUE!</v>
      </c>
      <c r="CK150" t="e">
        <f>AND(Bills!#REF!,"AAAAACqO61g=")</f>
        <v>#REF!</v>
      </c>
      <c r="CL150" t="e">
        <f>AND(Bills!#REF!,"AAAAACqO61k=")</f>
        <v>#REF!</v>
      </c>
      <c r="CM150" t="e">
        <f>AND(Bills!#REF!,"AAAAACqO61o=")</f>
        <v>#REF!</v>
      </c>
      <c r="CN150" t="e">
        <f>AND(Bills!AC592,"AAAAACqO61s=")</f>
        <v>#VALUE!</v>
      </c>
      <c r="CO150" t="e">
        <f>AND(Bills!AD592,"AAAAACqO61w=")</f>
        <v>#VALUE!</v>
      </c>
      <c r="CP150" t="e">
        <f>AND(Bills!#REF!,"AAAAACqO610=")</f>
        <v>#REF!</v>
      </c>
      <c r="CQ150">
        <f>IF(Bills!593:593,"AAAAACqO614=",0)</f>
        <v>0</v>
      </c>
      <c r="CR150" t="e">
        <f>AND(Bills!B593,"AAAAACqO618=")</f>
        <v>#VALUE!</v>
      </c>
      <c r="CS150" t="e">
        <f>AND(Bills!#REF!,"AAAAACqO62A=")</f>
        <v>#REF!</v>
      </c>
      <c r="CT150" t="e">
        <f>AND(Bills!C593,"AAAAACqO62E=")</f>
        <v>#VALUE!</v>
      </c>
      <c r="CU150" t="e">
        <f>AND(Bills!D593,"AAAAACqO62I=")</f>
        <v>#VALUE!</v>
      </c>
      <c r="CV150" t="e">
        <f>AND(Bills!E593,"AAAAACqO62M=")</f>
        <v>#VALUE!</v>
      </c>
      <c r="CW150" t="e">
        <f>AND(Bills!#REF!,"AAAAACqO62Q=")</f>
        <v>#REF!</v>
      </c>
      <c r="CX150" t="e">
        <f>AND(Bills!#REF!,"AAAAACqO62U=")</f>
        <v>#REF!</v>
      </c>
      <c r="CY150" t="e">
        <f>AND(Bills!#REF!,"AAAAACqO62Y=")</f>
        <v>#REF!</v>
      </c>
      <c r="CZ150" t="e">
        <f>AND(Bills!F593,"AAAAACqO62c=")</f>
        <v>#VALUE!</v>
      </c>
      <c r="DA150" t="e">
        <f>AND(Bills!#REF!,"AAAAACqO62g=")</f>
        <v>#REF!</v>
      </c>
      <c r="DB150" t="e">
        <f>AND(Bills!G593,"AAAAACqO62k=")</f>
        <v>#VALUE!</v>
      </c>
      <c r="DC150" t="e">
        <f>AND(Bills!H593,"AAAAACqO62o=")</f>
        <v>#VALUE!</v>
      </c>
      <c r="DD150" t="e">
        <f>AND(Bills!I593,"AAAAACqO62s=")</f>
        <v>#VALUE!</v>
      </c>
      <c r="DE150" t="e">
        <f>AND(Bills!J593,"AAAAACqO62w=")</f>
        <v>#VALUE!</v>
      </c>
      <c r="DF150" t="e">
        <f>AND(Bills!K593,"AAAAACqO620=")</f>
        <v>#VALUE!</v>
      </c>
      <c r="DG150" t="e">
        <f>AND(Bills!L593,"AAAAACqO624=")</f>
        <v>#VALUE!</v>
      </c>
      <c r="DH150" t="e">
        <f>AND(Bills!#REF!,"AAAAACqO628=")</f>
        <v>#REF!</v>
      </c>
      <c r="DI150" t="e">
        <f>AND(Bills!M593,"AAAAACqO63A=")</f>
        <v>#VALUE!</v>
      </c>
      <c r="DJ150" t="e">
        <f>AND(Bills!N593,"AAAAACqO63E=")</f>
        <v>#VALUE!</v>
      </c>
      <c r="DK150" t="e">
        <f>AND(Bills!O593,"AAAAACqO63I=")</f>
        <v>#VALUE!</v>
      </c>
      <c r="DL150" t="e">
        <f>AND(Bills!P593,"AAAAACqO63M=")</f>
        <v>#VALUE!</v>
      </c>
      <c r="DM150" t="e">
        <f>AND(Bills!Q593,"AAAAACqO63Q=")</f>
        <v>#VALUE!</v>
      </c>
      <c r="DN150" t="e">
        <f>AND(Bills!R593,"AAAAACqO63U=")</f>
        <v>#VALUE!</v>
      </c>
      <c r="DO150" t="e">
        <f>AND(Bills!S593,"AAAAACqO63Y=")</f>
        <v>#VALUE!</v>
      </c>
      <c r="DP150" t="e">
        <f>AND(Bills!T593,"AAAAACqO63c=")</f>
        <v>#VALUE!</v>
      </c>
      <c r="DQ150" t="e">
        <f>AND(Bills!#REF!,"AAAAACqO63g=")</f>
        <v>#REF!</v>
      </c>
      <c r="DR150" t="e">
        <f>AND(Bills!U593,"AAAAACqO63k=")</f>
        <v>#VALUE!</v>
      </c>
      <c r="DS150" t="e">
        <f>AND(Bills!V593,"AAAAACqO63o=")</f>
        <v>#VALUE!</v>
      </c>
      <c r="DT150" t="e">
        <f>AND(Bills!W593,"AAAAACqO63s=")</f>
        <v>#VALUE!</v>
      </c>
      <c r="DU150" t="e">
        <f>AND(Bills!#REF!,"AAAAACqO63w=")</f>
        <v>#REF!</v>
      </c>
      <c r="DV150" t="e">
        <f>AND(Bills!#REF!,"AAAAACqO630=")</f>
        <v>#REF!</v>
      </c>
      <c r="DW150" t="e">
        <f>AND(Bills!Y593,"AAAAACqO634=")</f>
        <v>#VALUE!</v>
      </c>
      <c r="DX150" t="e">
        <f>AND(Bills!Z593,"AAAAACqO638=")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AND(Bills!AA593,"AAAAACqO64k=")</f>
        <v>#VALUE!</v>
      </c>
      <c r="EI150" t="e">
        <f>AND(Bills!AB593,"AAAAACqO64o=")</f>
        <v>#VALUE!</v>
      </c>
      <c r="EJ150" t="e">
        <f>AND(Bills!#REF!,"AAAAACqO64s=")</f>
        <v>#REF!</v>
      </c>
      <c r="EK150" t="e">
        <f>AND(Bills!#REF!,"AAAAACqO64w=")</f>
        <v>#REF!</v>
      </c>
      <c r="EL150" t="e">
        <f>AND(Bills!#REF!,"AAAAACqO640=")</f>
        <v>#REF!</v>
      </c>
      <c r="EM150" t="e">
        <f>AND(Bills!AC593,"AAAAACqO644=")</f>
        <v>#VALUE!</v>
      </c>
      <c r="EN150" t="e">
        <f>AND(Bills!AD593,"AAAAACqO648=")</f>
        <v>#VALUE!</v>
      </c>
      <c r="EO150" t="e">
        <f>AND(Bills!#REF!,"AAAAACqO65A=")</f>
        <v>#REF!</v>
      </c>
      <c r="EP150">
        <f>IF(Bills!594:594,"AAAAACqO65E=",0)</f>
        <v>0</v>
      </c>
      <c r="EQ150" t="e">
        <f>AND(Bills!B594,"AAAAACqO65I=")</f>
        <v>#VALUE!</v>
      </c>
      <c r="ER150" t="e">
        <f>AND(Bills!#REF!,"AAAAACqO65M=")</f>
        <v>#REF!</v>
      </c>
      <c r="ES150" t="e">
        <f>AND(Bills!C594,"AAAAACqO65Q=")</f>
        <v>#VALUE!</v>
      </c>
      <c r="ET150" t="e">
        <f>AND(Bills!D594,"AAAAACqO65U=")</f>
        <v>#VALUE!</v>
      </c>
      <c r="EU150" t="e">
        <f>AND(Bills!E594,"AAAAACqO65Y=")</f>
        <v>#VALUE!</v>
      </c>
      <c r="EV150" t="e">
        <f>AND(Bills!#REF!,"AAAAACqO65c=")</f>
        <v>#REF!</v>
      </c>
      <c r="EW150" t="e">
        <f>AND(Bills!#REF!,"AAAAACqO65g=")</f>
        <v>#REF!</v>
      </c>
      <c r="EX150" t="e">
        <f>AND(Bills!#REF!,"AAAAACqO65k=")</f>
        <v>#REF!</v>
      </c>
      <c r="EY150" t="e">
        <f>AND(Bills!F594,"AAAAACqO65o=")</f>
        <v>#VALUE!</v>
      </c>
      <c r="EZ150" t="e">
        <f>AND(Bills!#REF!,"AAAAACqO65s=")</f>
        <v>#REF!</v>
      </c>
      <c r="FA150" t="e">
        <f>AND(Bills!G594,"AAAAACqO65w=")</f>
        <v>#VALUE!</v>
      </c>
      <c r="FB150" t="e">
        <f>AND(Bills!H594,"AAAAACqO650=")</f>
        <v>#VALUE!</v>
      </c>
      <c r="FC150" t="e">
        <f>AND(Bills!I594,"AAAAACqO654=")</f>
        <v>#VALUE!</v>
      </c>
      <c r="FD150" t="e">
        <f>AND(Bills!J594,"AAAAACqO658=")</f>
        <v>#VALUE!</v>
      </c>
      <c r="FE150" t="e">
        <f>AND(Bills!K594,"AAAAACqO66A=")</f>
        <v>#VALUE!</v>
      </c>
      <c r="FF150" t="e">
        <f>AND(Bills!L594,"AAAAACqO66E=")</f>
        <v>#VALUE!</v>
      </c>
      <c r="FG150" t="e">
        <f>AND(Bills!#REF!,"AAAAACqO66I=")</f>
        <v>#REF!</v>
      </c>
      <c r="FH150" t="e">
        <f>AND(Bills!M594,"AAAAACqO66M=")</f>
        <v>#VALUE!</v>
      </c>
      <c r="FI150" t="e">
        <f>AND(Bills!N594,"AAAAACqO66Q=")</f>
        <v>#VALUE!</v>
      </c>
      <c r="FJ150" t="e">
        <f>AND(Bills!O594,"AAAAACqO66U=")</f>
        <v>#VALUE!</v>
      </c>
      <c r="FK150" t="e">
        <f>AND(Bills!P594,"AAAAACqO66Y=")</f>
        <v>#VALUE!</v>
      </c>
      <c r="FL150" t="e">
        <f>AND(Bills!Q594,"AAAAACqO66c=")</f>
        <v>#VALUE!</v>
      </c>
      <c r="FM150" t="e">
        <f>AND(Bills!R594,"AAAAACqO66g=")</f>
        <v>#VALUE!</v>
      </c>
      <c r="FN150" t="e">
        <f>AND(Bills!S594,"AAAAACqO66k=")</f>
        <v>#VALUE!</v>
      </c>
      <c r="FO150" t="e">
        <f>AND(Bills!T594,"AAAAACqO66o=")</f>
        <v>#VALUE!</v>
      </c>
      <c r="FP150" t="e">
        <f>AND(Bills!#REF!,"AAAAACqO66s=")</f>
        <v>#REF!</v>
      </c>
      <c r="FQ150" t="e">
        <f>AND(Bills!U594,"AAAAACqO66w=")</f>
        <v>#VALUE!</v>
      </c>
      <c r="FR150" t="e">
        <f>AND(Bills!V594,"AAAAACqO660=")</f>
        <v>#VALUE!</v>
      </c>
      <c r="FS150" t="e">
        <f>AND(Bills!W594,"AAAAACqO664=")</f>
        <v>#VALUE!</v>
      </c>
      <c r="FT150" t="e">
        <f>AND(Bills!#REF!,"AAAAACqO668=")</f>
        <v>#REF!</v>
      </c>
      <c r="FU150" t="e">
        <f>AND(Bills!#REF!,"AAAAACqO67A=")</f>
        <v>#REF!</v>
      </c>
      <c r="FV150" t="e">
        <f>AND(Bills!Y594,"AAAAACqO67E=")</f>
        <v>#VALUE!</v>
      </c>
      <c r="FW150" t="e">
        <f>AND(Bills!Z594,"AAAAACqO67I=")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AND(Bills!AA594,"AAAAACqO67w=")</f>
        <v>#VALUE!</v>
      </c>
      <c r="GH150" t="e">
        <f>AND(Bills!AB594,"AAAAACqO670=")</f>
        <v>#VALUE!</v>
      </c>
      <c r="GI150" t="e">
        <f>AND(Bills!#REF!,"AAAAACqO674=")</f>
        <v>#REF!</v>
      </c>
      <c r="GJ150" t="e">
        <f>AND(Bills!#REF!,"AAAAACqO678=")</f>
        <v>#REF!</v>
      </c>
      <c r="GK150" t="e">
        <f>AND(Bills!#REF!,"AAAAACqO68A=")</f>
        <v>#REF!</v>
      </c>
      <c r="GL150" t="e">
        <f>AND(Bills!AC594,"AAAAACqO68E=")</f>
        <v>#VALUE!</v>
      </c>
      <c r="GM150" t="e">
        <f>AND(Bills!AD594,"AAAAACqO68I=")</f>
        <v>#VALUE!</v>
      </c>
      <c r="GN150" t="e">
        <f>AND(Bills!#REF!,"AAAAACqO68M=")</f>
        <v>#REF!</v>
      </c>
      <c r="GO150">
        <f>IF(Bills!595:595,"AAAAACqO68Q=",0)</f>
        <v>0</v>
      </c>
      <c r="GP150" t="e">
        <f>AND(Bills!B595,"AAAAACqO68U=")</f>
        <v>#VALUE!</v>
      </c>
      <c r="GQ150" t="e">
        <f>AND(Bills!#REF!,"AAAAACqO68Y=")</f>
        <v>#REF!</v>
      </c>
      <c r="GR150" t="e">
        <f>AND(Bills!C595,"AAAAACqO68c=")</f>
        <v>#VALUE!</v>
      </c>
      <c r="GS150" t="e">
        <f>AND(Bills!D595,"AAAAACqO68g=")</f>
        <v>#VALUE!</v>
      </c>
      <c r="GT150" t="e">
        <f>AND(Bills!E595,"AAAAACqO68k=")</f>
        <v>#VALUE!</v>
      </c>
      <c r="GU150" t="e">
        <f>AND(Bills!#REF!,"AAAAACqO68o=")</f>
        <v>#REF!</v>
      </c>
      <c r="GV150" t="e">
        <f>AND(Bills!#REF!,"AAAAACqO68s=")</f>
        <v>#REF!</v>
      </c>
      <c r="GW150" t="e">
        <f>AND(Bills!#REF!,"AAAAACqO68w=")</f>
        <v>#REF!</v>
      </c>
      <c r="GX150" t="e">
        <f>AND(Bills!F595,"AAAAACqO680=")</f>
        <v>#VALUE!</v>
      </c>
      <c r="GY150" t="e">
        <f>AND(Bills!#REF!,"AAAAACqO684=")</f>
        <v>#REF!</v>
      </c>
      <c r="GZ150" t="e">
        <f>AND(Bills!G595,"AAAAACqO688=")</f>
        <v>#VALUE!</v>
      </c>
      <c r="HA150" t="e">
        <f>AND(Bills!H595,"AAAAACqO69A=")</f>
        <v>#VALUE!</v>
      </c>
      <c r="HB150" t="e">
        <f>AND(Bills!I595,"AAAAACqO69E=")</f>
        <v>#VALUE!</v>
      </c>
      <c r="HC150" t="e">
        <f>AND(Bills!J595,"AAAAACqO69I=")</f>
        <v>#VALUE!</v>
      </c>
      <c r="HD150" t="e">
        <f>AND(Bills!K595,"AAAAACqO69M=")</f>
        <v>#VALUE!</v>
      </c>
      <c r="HE150" t="e">
        <f>AND(Bills!L595,"AAAAACqO69Q=")</f>
        <v>#VALUE!</v>
      </c>
      <c r="HF150" t="e">
        <f>AND(Bills!#REF!,"AAAAACqO69U=")</f>
        <v>#REF!</v>
      </c>
      <c r="HG150" t="e">
        <f>AND(Bills!M595,"AAAAACqO69Y=")</f>
        <v>#VALUE!</v>
      </c>
      <c r="HH150" t="e">
        <f>AND(Bills!N595,"AAAAACqO69c=")</f>
        <v>#VALUE!</v>
      </c>
      <c r="HI150" t="e">
        <f>AND(Bills!O595,"AAAAACqO69g=")</f>
        <v>#VALUE!</v>
      </c>
      <c r="HJ150" t="e">
        <f>AND(Bills!P595,"AAAAACqO69k=")</f>
        <v>#VALUE!</v>
      </c>
      <c r="HK150" t="e">
        <f>AND(Bills!Q595,"AAAAACqO69o=")</f>
        <v>#VALUE!</v>
      </c>
      <c r="HL150" t="e">
        <f>AND(Bills!R595,"AAAAACqO69s=")</f>
        <v>#VALUE!</v>
      </c>
      <c r="HM150" t="e">
        <f>AND(Bills!S595,"AAAAACqO69w=")</f>
        <v>#VALUE!</v>
      </c>
      <c r="HN150" t="e">
        <f>AND(Bills!T595,"AAAAACqO690=")</f>
        <v>#VALUE!</v>
      </c>
      <c r="HO150" t="e">
        <f>AND(Bills!#REF!,"AAAAACqO694=")</f>
        <v>#REF!</v>
      </c>
      <c r="HP150" t="e">
        <f>AND(Bills!U595,"AAAAACqO698=")</f>
        <v>#VALUE!</v>
      </c>
      <c r="HQ150" t="e">
        <f>AND(Bills!V595,"AAAAACqO6+A=")</f>
        <v>#VALUE!</v>
      </c>
      <c r="HR150" t="e">
        <f>AND(Bills!W595,"AAAAACqO6+E=")</f>
        <v>#VALUE!</v>
      </c>
      <c r="HS150" t="e">
        <f>AND(Bills!#REF!,"AAAAACqO6+I=")</f>
        <v>#REF!</v>
      </c>
      <c r="HT150" t="e">
        <f>AND(Bills!#REF!,"AAAAACqO6+M=")</f>
        <v>#REF!</v>
      </c>
      <c r="HU150" t="e">
        <f>AND(Bills!Y595,"AAAAACqO6+Q=")</f>
        <v>#VALUE!</v>
      </c>
      <c r="HV150" t="e">
        <f>AND(Bills!Z595,"AAAAACqO6+U=")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AND(Bills!AA595,"AAAAACqO6+8=")</f>
        <v>#VALUE!</v>
      </c>
      <c r="IG150" t="e">
        <f>AND(Bills!AB595,"AAAAACqO6/A=")</f>
        <v>#VALUE!</v>
      </c>
      <c r="IH150" t="e">
        <f>AND(Bills!#REF!,"AAAAACqO6/E=")</f>
        <v>#REF!</v>
      </c>
      <c r="II150" t="e">
        <f>AND(Bills!#REF!,"AAAAACqO6/I=")</f>
        <v>#REF!</v>
      </c>
      <c r="IJ150" t="e">
        <f>AND(Bills!#REF!,"AAAAACqO6/M=")</f>
        <v>#REF!</v>
      </c>
      <c r="IK150" t="e">
        <f>AND(Bills!AC595,"AAAAACqO6/Q=")</f>
        <v>#VALUE!</v>
      </c>
      <c r="IL150" t="e">
        <f>AND(Bills!AD595,"AAAAACqO6/U=")</f>
        <v>#VALUE!</v>
      </c>
      <c r="IM150" t="e">
        <f>AND(Bills!#REF!,"AAAAACqO6/Y=")</f>
        <v>#REF!</v>
      </c>
      <c r="IN150">
        <f>IF(Bills!596:596,"AAAAACqO6/c=",0)</f>
        <v>0</v>
      </c>
      <c r="IO150" t="e">
        <f>AND(Bills!B596,"AAAAACqO6/g=")</f>
        <v>#VALUE!</v>
      </c>
      <c r="IP150" t="e">
        <f>AND(Bills!#REF!,"AAAAACqO6/k=")</f>
        <v>#REF!</v>
      </c>
      <c r="IQ150" t="e">
        <f>AND(Bills!C596,"AAAAACqO6/o=")</f>
        <v>#VALUE!</v>
      </c>
      <c r="IR150" t="e">
        <f>AND(Bills!D596,"AAAAACqO6/s=")</f>
        <v>#VALUE!</v>
      </c>
      <c r="IS150" t="e">
        <f>AND(Bills!E596,"AAAAACqO6/w=")</f>
        <v>#VALUE!</v>
      </c>
      <c r="IT150" t="e">
        <f>AND(Bills!#REF!,"AAAAACqO6/0=")</f>
        <v>#REF!</v>
      </c>
      <c r="IU150" t="e">
        <f>AND(Bills!#REF!,"AAAAACqO6/4=")</f>
        <v>#REF!</v>
      </c>
      <c r="IV150" t="e">
        <f>AND(Bills!#REF!,"AAAAACqO6/8=")</f>
        <v>#REF!</v>
      </c>
    </row>
    <row r="151" spans="1:256">
      <c r="A151" t="e">
        <f>AND(Bills!F596,"AAAAAFe97gA=")</f>
        <v>#VALUE!</v>
      </c>
      <c r="B151" t="e">
        <f>AND(Bills!#REF!,"AAAAAFe97gE=")</f>
        <v>#REF!</v>
      </c>
      <c r="C151" t="e">
        <f>AND(Bills!G596,"AAAAAFe97gI=")</f>
        <v>#VALUE!</v>
      </c>
      <c r="D151" t="e">
        <f>AND(Bills!H596,"AAAAAFe97gM=")</f>
        <v>#VALUE!</v>
      </c>
      <c r="E151" t="e">
        <f>AND(Bills!I596,"AAAAAFe97gQ=")</f>
        <v>#VALUE!</v>
      </c>
      <c r="F151" t="e">
        <f>AND(Bills!J596,"AAAAAFe97gU=")</f>
        <v>#VALUE!</v>
      </c>
      <c r="G151" t="e">
        <f>AND(Bills!K596,"AAAAAFe97gY=")</f>
        <v>#VALUE!</v>
      </c>
      <c r="H151" t="e">
        <f>AND(Bills!L596,"AAAAAFe97gc=")</f>
        <v>#VALUE!</v>
      </c>
      <c r="I151" t="e">
        <f>AND(Bills!#REF!,"AAAAAFe97gg=")</f>
        <v>#REF!</v>
      </c>
      <c r="J151" t="e">
        <f>AND(Bills!M596,"AAAAAFe97gk=")</f>
        <v>#VALUE!</v>
      </c>
      <c r="K151" t="e">
        <f>AND(Bills!N596,"AAAAAFe97go=")</f>
        <v>#VALUE!</v>
      </c>
      <c r="L151" t="e">
        <f>AND(Bills!O596,"AAAAAFe97gs=")</f>
        <v>#VALUE!</v>
      </c>
      <c r="M151" t="e">
        <f>AND(Bills!P596,"AAAAAFe97gw=")</f>
        <v>#VALUE!</v>
      </c>
      <c r="N151" t="e">
        <f>AND(Bills!Q596,"AAAAAFe97g0=")</f>
        <v>#VALUE!</v>
      </c>
      <c r="O151" t="e">
        <f>AND(Bills!R596,"AAAAAFe97g4=")</f>
        <v>#VALUE!</v>
      </c>
      <c r="P151" t="e">
        <f>AND(Bills!S596,"AAAAAFe97g8=")</f>
        <v>#VALUE!</v>
      </c>
      <c r="Q151" t="e">
        <f>AND(Bills!T596,"AAAAAFe97hA=")</f>
        <v>#VALUE!</v>
      </c>
      <c r="R151" t="e">
        <f>AND(Bills!#REF!,"AAAAAFe97hE=")</f>
        <v>#REF!</v>
      </c>
      <c r="S151" t="e">
        <f>AND(Bills!U596,"AAAAAFe97hI=")</f>
        <v>#VALUE!</v>
      </c>
      <c r="T151" t="e">
        <f>AND(Bills!V596,"AAAAAFe97hM=")</f>
        <v>#VALUE!</v>
      </c>
      <c r="U151" t="e">
        <f>AND(Bills!W596,"AAAAAFe97hQ=")</f>
        <v>#VALUE!</v>
      </c>
      <c r="V151" t="e">
        <f>AND(Bills!#REF!,"AAAAAFe97hU=")</f>
        <v>#REF!</v>
      </c>
      <c r="W151" t="e">
        <f>AND(Bills!#REF!,"AAAAAFe97hY=")</f>
        <v>#REF!</v>
      </c>
      <c r="X151" t="e">
        <f>AND(Bills!Y596,"AAAAAFe97hc=")</f>
        <v>#VALUE!</v>
      </c>
      <c r="Y151" t="e">
        <f>AND(Bills!Z596,"AAAAAFe97hg=")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AND(Bills!AA596,"AAAAAFe97iI=")</f>
        <v>#VALUE!</v>
      </c>
      <c r="AJ151" t="e">
        <f>AND(Bills!AB596,"AAAAAFe97iM=")</f>
        <v>#VALUE!</v>
      </c>
      <c r="AK151" t="e">
        <f>AND(Bills!#REF!,"AAAAAFe97iQ=")</f>
        <v>#REF!</v>
      </c>
      <c r="AL151" t="e">
        <f>AND(Bills!#REF!,"AAAAAFe97iU=")</f>
        <v>#REF!</v>
      </c>
      <c r="AM151" t="e">
        <f>AND(Bills!#REF!,"AAAAAFe97iY=")</f>
        <v>#REF!</v>
      </c>
      <c r="AN151" t="e">
        <f>AND(Bills!AC596,"AAAAAFe97ic=")</f>
        <v>#VALUE!</v>
      </c>
      <c r="AO151" t="e">
        <f>AND(Bills!AD596,"AAAAAFe97ig=")</f>
        <v>#VALUE!</v>
      </c>
      <c r="AP151" t="e">
        <f>AND(Bills!#REF!,"AAAAAFe97ik=")</f>
        <v>#REF!</v>
      </c>
      <c r="AQ151">
        <f>IF(Bills!597:597,"AAAAAFe97io=",0)</f>
        <v>0</v>
      </c>
      <c r="AR151" t="e">
        <f>AND(Bills!B597,"AAAAAFe97is=")</f>
        <v>#VALUE!</v>
      </c>
      <c r="AS151" t="e">
        <f>AND(Bills!#REF!,"AAAAAFe97iw=")</f>
        <v>#REF!</v>
      </c>
      <c r="AT151" t="e">
        <f>AND(Bills!C597,"AAAAAFe97i0=")</f>
        <v>#VALUE!</v>
      </c>
      <c r="AU151" t="e">
        <f>AND(Bills!D597,"AAAAAFe97i4=")</f>
        <v>#VALUE!</v>
      </c>
      <c r="AV151" t="e">
        <f>AND(Bills!E597,"AAAAAFe97i8=")</f>
        <v>#VALUE!</v>
      </c>
      <c r="AW151" t="e">
        <f>AND(Bills!#REF!,"AAAAAFe97jA=")</f>
        <v>#REF!</v>
      </c>
      <c r="AX151" t="e">
        <f>AND(Bills!#REF!,"AAAAAFe97jE=")</f>
        <v>#REF!</v>
      </c>
      <c r="AY151" t="e">
        <f>AND(Bills!#REF!,"AAAAAFe97jI=")</f>
        <v>#REF!</v>
      </c>
      <c r="AZ151" t="e">
        <f>AND(Bills!F597,"AAAAAFe97jM=")</f>
        <v>#VALUE!</v>
      </c>
      <c r="BA151" t="e">
        <f>AND(Bills!#REF!,"AAAAAFe97jQ=")</f>
        <v>#REF!</v>
      </c>
      <c r="BB151" t="e">
        <f>AND(Bills!G597,"AAAAAFe97jU=")</f>
        <v>#VALUE!</v>
      </c>
      <c r="BC151" t="e">
        <f>AND(Bills!H597,"AAAAAFe97jY=")</f>
        <v>#VALUE!</v>
      </c>
      <c r="BD151" t="e">
        <f>AND(Bills!I597,"AAAAAFe97jc=")</f>
        <v>#VALUE!</v>
      </c>
      <c r="BE151" t="e">
        <f>AND(Bills!J597,"AAAAAFe97jg=")</f>
        <v>#VALUE!</v>
      </c>
      <c r="BF151" t="e">
        <f>AND(Bills!K597,"AAAAAFe97jk=")</f>
        <v>#VALUE!</v>
      </c>
      <c r="BG151" t="e">
        <f>AND(Bills!L597,"AAAAAFe97jo=")</f>
        <v>#VALUE!</v>
      </c>
      <c r="BH151" t="e">
        <f>AND(Bills!#REF!,"AAAAAFe97js=")</f>
        <v>#REF!</v>
      </c>
      <c r="BI151" t="e">
        <f>AND(Bills!M597,"AAAAAFe97jw=")</f>
        <v>#VALUE!</v>
      </c>
      <c r="BJ151" t="e">
        <f>AND(Bills!N597,"AAAAAFe97j0=")</f>
        <v>#VALUE!</v>
      </c>
      <c r="BK151" t="e">
        <f>AND(Bills!O597,"AAAAAFe97j4=")</f>
        <v>#VALUE!</v>
      </c>
      <c r="BL151" t="e">
        <f>AND(Bills!P597,"AAAAAFe97j8=")</f>
        <v>#VALUE!</v>
      </c>
      <c r="BM151" t="e">
        <f>AND(Bills!Q597,"AAAAAFe97kA=")</f>
        <v>#VALUE!</v>
      </c>
      <c r="BN151" t="e">
        <f>AND(Bills!R597,"AAAAAFe97kE=")</f>
        <v>#VALUE!</v>
      </c>
      <c r="BO151" t="e">
        <f>AND(Bills!S597,"AAAAAFe97kI=")</f>
        <v>#VALUE!</v>
      </c>
      <c r="BP151" t="e">
        <f>AND(Bills!T597,"AAAAAFe97kM=")</f>
        <v>#VALUE!</v>
      </c>
      <c r="BQ151" t="e">
        <f>AND(Bills!#REF!,"AAAAAFe97kQ=")</f>
        <v>#REF!</v>
      </c>
      <c r="BR151" t="e">
        <f>AND(Bills!U597,"AAAAAFe97kU=")</f>
        <v>#VALUE!</v>
      </c>
      <c r="BS151" t="e">
        <f>AND(Bills!V597,"AAAAAFe97kY=")</f>
        <v>#VALUE!</v>
      </c>
      <c r="BT151" t="e">
        <f>AND(Bills!W597,"AAAAAFe97kc=")</f>
        <v>#VALUE!</v>
      </c>
      <c r="BU151" t="e">
        <f>AND(Bills!#REF!,"AAAAAFe97kg=")</f>
        <v>#REF!</v>
      </c>
      <c r="BV151" t="e">
        <f>AND(Bills!#REF!,"AAAAAFe97kk=")</f>
        <v>#REF!</v>
      </c>
      <c r="BW151" t="e">
        <f>AND(Bills!Y597,"AAAAAFe97ko=")</f>
        <v>#VALUE!</v>
      </c>
      <c r="BX151" t="e">
        <f>AND(Bills!Z597,"AAAAAFe97ks=")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AND(Bills!AA597,"AAAAAFe97lU=")</f>
        <v>#VALUE!</v>
      </c>
      <c r="CI151" t="e">
        <f>AND(Bills!AB597,"AAAAAFe97lY=")</f>
        <v>#VALUE!</v>
      </c>
      <c r="CJ151" t="e">
        <f>AND(Bills!#REF!,"AAAAAFe97lc=")</f>
        <v>#REF!</v>
      </c>
      <c r="CK151" t="e">
        <f>AND(Bills!#REF!,"AAAAAFe97lg=")</f>
        <v>#REF!</v>
      </c>
      <c r="CL151" t="e">
        <f>AND(Bills!#REF!,"AAAAAFe97lk=")</f>
        <v>#REF!</v>
      </c>
      <c r="CM151" t="e">
        <f>AND(Bills!AC597,"AAAAAFe97lo=")</f>
        <v>#VALUE!</v>
      </c>
      <c r="CN151" t="e">
        <f>AND(Bills!AD597,"AAAAAFe97ls=")</f>
        <v>#VALUE!</v>
      </c>
      <c r="CO151" t="e">
        <f>AND(Bills!#REF!,"AAAAAFe97lw=")</f>
        <v>#REF!</v>
      </c>
      <c r="CP151">
        <f>IF(Bills!598:598,"AAAAAFe97l0=",0)</f>
        <v>0</v>
      </c>
      <c r="CQ151" t="e">
        <f>AND(Bills!B598,"AAAAAFe97l4=")</f>
        <v>#VALUE!</v>
      </c>
      <c r="CR151" t="e">
        <f>AND(Bills!#REF!,"AAAAAFe97l8=")</f>
        <v>#REF!</v>
      </c>
      <c r="CS151" t="e">
        <f>AND(Bills!C598,"AAAAAFe97mA=")</f>
        <v>#VALUE!</v>
      </c>
      <c r="CT151" t="e">
        <f>AND(Bills!D598,"AAAAAFe97mE=")</f>
        <v>#VALUE!</v>
      </c>
      <c r="CU151" t="e">
        <f>AND(Bills!E598,"AAAAAFe97mI=")</f>
        <v>#VALUE!</v>
      </c>
      <c r="CV151" t="e">
        <f>AND(Bills!#REF!,"AAAAAFe97mM=")</f>
        <v>#REF!</v>
      </c>
      <c r="CW151" t="e">
        <f>AND(Bills!#REF!,"AAAAAFe97mQ=")</f>
        <v>#REF!</v>
      </c>
      <c r="CX151" t="e">
        <f>AND(Bills!#REF!,"AAAAAFe97mU=")</f>
        <v>#REF!</v>
      </c>
      <c r="CY151" t="e">
        <f>AND(Bills!F598,"AAAAAFe97mY=")</f>
        <v>#VALUE!</v>
      </c>
      <c r="CZ151" t="e">
        <f>AND(Bills!#REF!,"AAAAAFe97mc=")</f>
        <v>#REF!</v>
      </c>
      <c r="DA151" t="e">
        <f>AND(Bills!G598,"AAAAAFe97mg=")</f>
        <v>#VALUE!</v>
      </c>
      <c r="DB151" t="e">
        <f>AND(Bills!H598,"AAAAAFe97mk=")</f>
        <v>#VALUE!</v>
      </c>
      <c r="DC151" t="e">
        <f>AND(Bills!I598,"AAAAAFe97mo=")</f>
        <v>#VALUE!</v>
      </c>
      <c r="DD151" t="e">
        <f>AND(Bills!J598,"AAAAAFe97ms=")</f>
        <v>#VALUE!</v>
      </c>
      <c r="DE151" t="e">
        <f>AND(Bills!K598,"AAAAAFe97mw=")</f>
        <v>#VALUE!</v>
      </c>
      <c r="DF151" t="e">
        <f>AND(Bills!L598,"AAAAAFe97m0=")</f>
        <v>#VALUE!</v>
      </c>
      <c r="DG151" t="e">
        <f>AND(Bills!#REF!,"AAAAAFe97m4=")</f>
        <v>#REF!</v>
      </c>
      <c r="DH151" t="e">
        <f>AND(Bills!M598,"AAAAAFe97m8=")</f>
        <v>#VALUE!</v>
      </c>
      <c r="DI151" t="e">
        <f>AND(Bills!N598,"AAAAAFe97nA=")</f>
        <v>#VALUE!</v>
      </c>
      <c r="DJ151" t="e">
        <f>AND(Bills!O598,"AAAAAFe97nE=")</f>
        <v>#VALUE!</v>
      </c>
      <c r="DK151" t="e">
        <f>AND(Bills!P598,"AAAAAFe97nI=")</f>
        <v>#VALUE!</v>
      </c>
      <c r="DL151" t="e">
        <f>AND(Bills!Q598,"AAAAAFe97nM=")</f>
        <v>#VALUE!</v>
      </c>
      <c r="DM151" t="e">
        <f>AND(Bills!R598,"AAAAAFe97nQ=")</f>
        <v>#VALUE!</v>
      </c>
      <c r="DN151" t="e">
        <f>AND(Bills!S598,"AAAAAFe97nU=")</f>
        <v>#VALUE!</v>
      </c>
      <c r="DO151" t="e">
        <f>AND(Bills!T598,"AAAAAFe97nY=")</f>
        <v>#VALUE!</v>
      </c>
      <c r="DP151" t="e">
        <f>AND(Bills!#REF!,"AAAAAFe97nc=")</f>
        <v>#REF!</v>
      </c>
      <c r="DQ151" t="e">
        <f>AND(Bills!U598,"AAAAAFe97ng=")</f>
        <v>#VALUE!</v>
      </c>
      <c r="DR151" t="e">
        <f>AND(Bills!V598,"AAAAAFe97nk=")</f>
        <v>#VALUE!</v>
      </c>
      <c r="DS151" t="e">
        <f>AND(Bills!W598,"AAAAAFe97no=")</f>
        <v>#VALUE!</v>
      </c>
      <c r="DT151" t="e">
        <f>AND(Bills!#REF!,"AAAAAFe97ns=")</f>
        <v>#REF!</v>
      </c>
      <c r="DU151" t="e">
        <f>AND(Bills!#REF!,"AAAAAFe97nw=")</f>
        <v>#REF!</v>
      </c>
      <c r="DV151" t="e">
        <f>AND(Bills!Y598,"AAAAAFe97n0=")</f>
        <v>#VALUE!</v>
      </c>
      <c r="DW151" t="e">
        <f>AND(Bills!Z598,"AAAAAFe97n4=")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AND(Bills!AA598,"AAAAAFe97og=")</f>
        <v>#VALUE!</v>
      </c>
      <c r="EH151" t="e">
        <f>AND(Bills!AB598,"AAAAAFe97ok=")</f>
        <v>#VALUE!</v>
      </c>
      <c r="EI151" t="e">
        <f>AND(Bills!#REF!,"AAAAAFe97oo=")</f>
        <v>#REF!</v>
      </c>
      <c r="EJ151" t="e">
        <f>AND(Bills!#REF!,"AAAAAFe97os=")</f>
        <v>#REF!</v>
      </c>
      <c r="EK151" t="e">
        <f>AND(Bills!#REF!,"AAAAAFe97ow=")</f>
        <v>#REF!</v>
      </c>
      <c r="EL151" t="e">
        <f>AND(Bills!AC598,"AAAAAFe97o0=")</f>
        <v>#VALUE!</v>
      </c>
      <c r="EM151" t="e">
        <f>AND(Bills!AD598,"AAAAAFe97o4=")</f>
        <v>#VALUE!</v>
      </c>
      <c r="EN151" t="e">
        <f>AND(Bills!#REF!,"AAAAAFe97o8=")</f>
        <v>#REF!</v>
      </c>
      <c r="EO151">
        <f>IF(Bills!599:599,"AAAAAFe97pA=",0)</f>
        <v>0</v>
      </c>
      <c r="EP151" t="e">
        <f>AND(Bills!B599,"AAAAAFe97pE=")</f>
        <v>#VALUE!</v>
      </c>
      <c r="EQ151" t="e">
        <f>AND(Bills!#REF!,"AAAAAFe97pI=")</f>
        <v>#REF!</v>
      </c>
      <c r="ER151" t="e">
        <f>AND(Bills!C599,"AAAAAFe97pM=")</f>
        <v>#VALUE!</v>
      </c>
      <c r="ES151" t="e">
        <f>AND(Bills!D599,"AAAAAFe97pQ=")</f>
        <v>#VALUE!</v>
      </c>
      <c r="ET151" t="e">
        <f>AND(Bills!E599,"AAAAAFe97pU=")</f>
        <v>#VALUE!</v>
      </c>
      <c r="EU151" t="e">
        <f>AND(Bills!#REF!,"AAAAAFe97pY=")</f>
        <v>#REF!</v>
      </c>
      <c r="EV151" t="e">
        <f>AND(Bills!#REF!,"AAAAAFe97pc=")</f>
        <v>#REF!</v>
      </c>
      <c r="EW151" t="e">
        <f>AND(Bills!#REF!,"AAAAAFe97pg=")</f>
        <v>#REF!</v>
      </c>
      <c r="EX151" t="e">
        <f>AND(Bills!F599,"AAAAAFe97pk=")</f>
        <v>#VALUE!</v>
      </c>
      <c r="EY151" t="e">
        <f>AND(Bills!#REF!,"AAAAAFe97po=")</f>
        <v>#REF!</v>
      </c>
      <c r="EZ151" t="e">
        <f>AND(Bills!G599,"AAAAAFe97ps=")</f>
        <v>#VALUE!</v>
      </c>
      <c r="FA151" t="e">
        <f>AND(Bills!H599,"AAAAAFe97pw=")</f>
        <v>#VALUE!</v>
      </c>
      <c r="FB151" t="e">
        <f>AND(Bills!I599,"AAAAAFe97p0=")</f>
        <v>#VALUE!</v>
      </c>
      <c r="FC151" t="e">
        <f>AND(Bills!J599,"AAAAAFe97p4=")</f>
        <v>#VALUE!</v>
      </c>
      <c r="FD151" t="e">
        <f>AND(Bills!K599,"AAAAAFe97p8=")</f>
        <v>#VALUE!</v>
      </c>
      <c r="FE151" t="e">
        <f>AND(Bills!L599,"AAAAAFe97qA=")</f>
        <v>#VALUE!</v>
      </c>
      <c r="FF151" t="e">
        <f>AND(Bills!#REF!,"AAAAAFe97qE=")</f>
        <v>#REF!</v>
      </c>
      <c r="FG151" t="e">
        <f>AND(Bills!M599,"AAAAAFe97qI=")</f>
        <v>#VALUE!</v>
      </c>
      <c r="FH151" t="e">
        <f>AND(Bills!N599,"AAAAAFe97qM=")</f>
        <v>#VALUE!</v>
      </c>
      <c r="FI151" t="e">
        <f>AND(Bills!O599,"AAAAAFe97qQ=")</f>
        <v>#VALUE!</v>
      </c>
      <c r="FJ151" t="e">
        <f>AND(Bills!P599,"AAAAAFe97qU=")</f>
        <v>#VALUE!</v>
      </c>
      <c r="FK151" t="e">
        <f>AND(Bills!Q599,"AAAAAFe97qY=")</f>
        <v>#VALUE!</v>
      </c>
      <c r="FL151" t="e">
        <f>AND(Bills!R599,"AAAAAFe97qc=")</f>
        <v>#VALUE!</v>
      </c>
      <c r="FM151" t="e">
        <f>AND(Bills!S599,"AAAAAFe97qg=")</f>
        <v>#VALUE!</v>
      </c>
      <c r="FN151" t="e">
        <f>AND(Bills!T599,"AAAAAFe97qk=")</f>
        <v>#VALUE!</v>
      </c>
      <c r="FO151" t="e">
        <f>AND(Bills!#REF!,"AAAAAFe97qo=")</f>
        <v>#REF!</v>
      </c>
      <c r="FP151" t="e">
        <f>AND(Bills!U599,"AAAAAFe97qs=")</f>
        <v>#VALUE!</v>
      </c>
      <c r="FQ151" t="e">
        <f>AND(Bills!V599,"AAAAAFe97qw=")</f>
        <v>#VALUE!</v>
      </c>
      <c r="FR151" t="e">
        <f>AND(Bills!W599,"AAAAAFe97q0=")</f>
        <v>#VALUE!</v>
      </c>
      <c r="FS151" t="e">
        <f>AND(Bills!#REF!,"AAAAAFe97q4=")</f>
        <v>#REF!</v>
      </c>
      <c r="FT151" t="e">
        <f>AND(Bills!#REF!,"AAAAAFe97q8=")</f>
        <v>#REF!</v>
      </c>
      <c r="FU151" t="e">
        <f>AND(Bills!Y599,"AAAAAFe97rA=")</f>
        <v>#VALUE!</v>
      </c>
      <c r="FV151" t="e">
        <f>AND(Bills!Z599,"AAAAAFe97rE=")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AND(Bills!AA599,"AAAAAFe97rs=")</f>
        <v>#VALUE!</v>
      </c>
      <c r="GG151" t="e">
        <f>AND(Bills!AB599,"AAAAAFe97rw=")</f>
        <v>#VALUE!</v>
      </c>
      <c r="GH151" t="e">
        <f>AND(Bills!#REF!,"AAAAAFe97r0=")</f>
        <v>#REF!</v>
      </c>
      <c r="GI151" t="e">
        <f>AND(Bills!#REF!,"AAAAAFe97r4=")</f>
        <v>#REF!</v>
      </c>
      <c r="GJ151" t="e">
        <f>AND(Bills!#REF!,"AAAAAFe97r8=")</f>
        <v>#REF!</v>
      </c>
      <c r="GK151" t="e">
        <f>AND(Bills!AC599,"AAAAAFe97sA=")</f>
        <v>#VALUE!</v>
      </c>
      <c r="GL151" t="e">
        <f>AND(Bills!AD599,"AAAAAFe97sE=")</f>
        <v>#VALUE!</v>
      </c>
      <c r="GM151" t="e">
        <f>AND(Bills!#REF!,"AAAAAFe97sI=")</f>
        <v>#REF!</v>
      </c>
      <c r="GN151">
        <f>IF(Bills!600:600,"AAAAAFe97sM=",0)</f>
        <v>0</v>
      </c>
      <c r="GO151" t="e">
        <f>AND(Bills!B600,"AAAAAFe97sQ=")</f>
        <v>#VALUE!</v>
      </c>
      <c r="GP151" t="e">
        <f>AND(Bills!#REF!,"AAAAAFe97sU=")</f>
        <v>#REF!</v>
      </c>
      <c r="GQ151" t="e">
        <f>AND(Bills!C600,"AAAAAFe97sY=")</f>
        <v>#VALUE!</v>
      </c>
      <c r="GR151" t="e">
        <f>AND(Bills!D600,"AAAAAFe97sc=")</f>
        <v>#VALUE!</v>
      </c>
      <c r="GS151" t="e">
        <f>AND(Bills!E600,"AAAAAFe97sg=")</f>
        <v>#VALUE!</v>
      </c>
      <c r="GT151" t="e">
        <f>AND(Bills!#REF!,"AAAAAFe97sk=")</f>
        <v>#REF!</v>
      </c>
      <c r="GU151" t="e">
        <f>AND(Bills!#REF!,"AAAAAFe97so=")</f>
        <v>#REF!</v>
      </c>
      <c r="GV151" t="e">
        <f>AND(Bills!#REF!,"AAAAAFe97ss=")</f>
        <v>#REF!</v>
      </c>
      <c r="GW151" t="e">
        <f>AND(Bills!F600,"AAAAAFe97sw=")</f>
        <v>#VALUE!</v>
      </c>
      <c r="GX151" t="e">
        <f>AND(Bills!#REF!,"AAAAAFe97s0=")</f>
        <v>#REF!</v>
      </c>
      <c r="GY151" t="e">
        <f>AND(Bills!G600,"AAAAAFe97s4=")</f>
        <v>#VALUE!</v>
      </c>
      <c r="GZ151" t="e">
        <f>AND(Bills!H600,"AAAAAFe97s8=")</f>
        <v>#VALUE!</v>
      </c>
      <c r="HA151" t="e">
        <f>AND(Bills!I600,"AAAAAFe97tA=")</f>
        <v>#VALUE!</v>
      </c>
      <c r="HB151" t="e">
        <f>AND(Bills!J600,"AAAAAFe97tE=")</f>
        <v>#VALUE!</v>
      </c>
      <c r="HC151" t="e">
        <f>AND(Bills!K600,"AAAAAFe97tI=")</f>
        <v>#VALUE!</v>
      </c>
      <c r="HD151" t="e">
        <f>AND(Bills!L600,"AAAAAFe97tM=")</f>
        <v>#VALUE!</v>
      </c>
      <c r="HE151" t="e">
        <f>AND(Bills!#REF!,"AAAAAFe97tQ=")</f>
        <v>#REF!</v>
      </c>
      <c r="HF151" t="e">
        <f>AND(Bills!M600,"AAAAAFe97tU=")</f>
        <v>#VALUE!</v>
      </c>
      <c r="HG151" t="e">
        <f>AND(Bills!N600,"AAAAAFe97tY=")</f>
        <v>#VALUE!</v>
      </c>
      <c r="HH151" t="e">
        <f>AND(Bills!O600,"AAAAAFe97tc=")</f>
        <v>#VALUE!</v>
      </c>
      <c r="HI151" t="e">
        <f>AND(Bills!P600,"AAAAAFe97tg=")</f>
        <v>#VALUE!</v>
      </c>
      <c r="HJ151" t="e">
        <f>AND(Bills!Q600,"AAAAAFe97tk=")</f>
        <v>#VALUE!</v>
      </c>
      <c r="HK151" t="e">
        <f>AND(Bills!R600,"AAAAAFe97to=")</f>
        <v>#VALUE!</v>
      </c>
      <c r="HL151" t="e">
        <f>AND(Bills!S600,"AAAAAFe97ts=")</f>
        <v>#VALUE!</v>
      </c>
      <c r="HM151" t="e">
        <f>AND(Bills!T600,"AAAAAFe97tw=")</f>
        <v>#VALUE!</v>
      </c>
      <c r="HN151" t="e">
        <f>AND(Bills!#REF!,"AAAAAFe97t0=")</f>
        <v>#REF!</v>
      </c>
      <c r="HO151" t="e">
        <f>AND(Bills!U600,"AAAAAFe97t4=")</f>
        <v>#VALUE!</v>
      </c>
      <c r="HP151" t="e">
        <f>AND(Bills!V600,"AAAAAFe97t8=")</f>
        <v>#VALUE!</v>
      </c>
      <c r="HQ151" t="e">
        <f>AND(Bills!W600,"AAAAAFe97uA=")</f>
        <v>#VALUE!</v>
      </c>
      <c r="HR151" t="e">
        <f>AND(Bills!#REF!,"AAAAAFe97uE=")</f>
        <v>#REF!</v>
      </c>
      <c r="HS151" t="e">
        <f>AND(Bills!#REF!,"AAAAAFe97uI=")</f>
        <v>#REF!</v>
      </c>
      <c r="HT151" t="e">
        <f>AND(Bills!Y600,"AAAAAFe97uM=")</f>
        <v>#VALUE!</v>
      </c>
      <c r="HU151" t="e">
        <f>AND(Bills!Z600,"AAAAAFe97uQ=")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AND(Bills!AA600,"AAAAAFe97u4=")</f>
        <v>#VALUE!</v>
      </c>
      <c r="IF151" t="e">
        <f>AND(Bills!AB600,"AAAAAFe97u8=")</f>
        <v>#VALUE!</v>
      </c>
      <c r="IG151" t="e">
        <f>AND(Bills!#REF!,"AAAAAFe97vA=")</f>
        <v>#REF!</v>
      </c>
      <c r="IH151" t="e">
        <f>AND(Bills!#REF!,"AAAAAFe97vE=")</f>
        <v>#REF!</v>
      </c>
      <c r="II151" t="e">
        <f>AND(Bills!#REF!,"AAAAAFe97vI=")</f>
        <v>#REF!</v>
      </c>
      <c r="IJ151" t="e">
        <f>AND(Bills!AC600,"AAAAAFe97vM=")</f>
        <v>#VALUE!</v>
      </c>
      <c r="IK151" t="e">
        <f>AND(Bills!AD600,"AAAAAFe97vQ=")</f>
        <v>#VALUE!</v>
      </c>
      <c r="IL151" t="e">
        <f>AND(Bills!#REF!,"AAAAAFe97vU=")</f>
        <v>#REF!</v>
      </c>
      <c r="IM151">
        <f>IF(Bills!601:601,"AAAAAFe97vY=",0)</f>
        <v>0</v>
      </c>
      <c r="IN151" t="e">
        <f>AND(Bills!B601,"AAAAAFe97vc=")</f>
        <v>#VALUE!</v>
      </c>
      <c r="IO151" t="e">
        <f>AND(Bills!#REF!,"AAAAAFe97vg=")</f>
        <v>#REF!</v>
      </c>
      <c r="IP151" t="e">
        <f>AND(Bills!C601,"AAAAAFe97vk=")</f>
        <v>#VALUE!</v>
      </c>
      <c r="IQ151" t="e">
        <f>AND(Bills!D601,"AAAAAFe97vo=")</f>
        <v>#VALUE!</v>
      </c>
      <c r="IR151" t="e">
        <f>AND(Bills!E601,"AAAAAFe97vs=")</f>
        <v>#VALUE!</v>
      </c>
      <c r="IS151" t="e">
        <f>AND(Bills!#REF!,"AAAAAFe97vw=")</f>
        <v>#REF!</v>
      </c>
      <c r="IT151" t="e">
        <f>AND(Bills!#REF!,"AAAAAFe97v0=")</f>
        <v>#REF!</v>
      </c>
      <c r="IU151" t="e">
        <f>AND(Bills!#REF!,"AAAAAFe97v4=")</f>
        <v>#REF!</v>
      </c>
      <c r="IV151" t="e">
        <f>AND(Bills!F601,"AAAAAFe97v8=")</f>
        <v>#VALUE!</v>
      </c>
    </row>
    <row r="152" spans="1:256">
      <c r="A152" t="e">
        <f>AND(Bills!#REF!,"AAAAAD/3wQA=")</f>
        <v>#REF!</v>
      </c>
      <c r="B152" t="e">
        <f>AND(Bills!G601,"AAAAAD/3wQE=")</f>
        <v>#VALUE!</v>
      </c>
      <c r="C152" t="e">
        <f>AND(Bills!H601,"AAAAAD/3wQI=")</f>
        <v>#VALUE!</v>
      </c>
      <c r="D152" t="e">
        <f>AND(Bills!I601,"AAAAAD/3wQM=")</f>
        <v>#VALUE!</v>
      </c>
      <c r="E152" t="e">
        <f>AND(Bills!J601,"AAAAAD/3wQQ=")</f>
        <v>#VALUE!</v>
      </c>
      <c r="F152" t="e">
        <f>AND(Bills!K601,"AAAAAD/3wQU=")</f>
        <v>#VALUE!</v>
      </c>
      <c r="G152" t="e">
        <f>AND(Bills!L601,"AAAAAD/3wQY=")</f>
        <v>#VALUE!</v>
      </c>
      <c r="H152" t="e">
        <f>AND(Bills!#REF!,"AAAAAD/3wQc=")</f>
        <v>#REF!</v>
      </c>
      <c r="I152" t="e">
        <f>AND(Bills!M601,"AAAAAD/3wQg=")</f>
        <v>#VALUE!</v>
      </c>
      <c r="J152" t="e">
        <f>AND(Bills!N601,"AAAAAD/3wQk=")</f>
        <v>#VALUE!</v>
      </c>
      <c r="K152" t="e">
        <f>AND(Bills!O601,"AAAAAD/3wQo=")</f>
        <v>#VALUE!</v>
      </c>
      <c r="L152" t="e">
        <f>AND(Bills!P601,"AAAAAD/3wQs=")</f>
        <v>#VALUE!</v>
      </c>
      <c r="M152" t="e">
        <f>AND(Bills!Q601,"AAAAAD/3wQw=")</f>
        <v>#VALUE!</v>
      </c>
      <c r="N152" t="e">
        <f>AND(Bills!R601,"AAAAAD/3wQ0=")</f>
        <v>#VALUE!</v>
      </c>
      <c r="O152" t="e">
        <f>AND(Bills!S601,"AAAAAD/3wQ4=")</f>
        <v>#VALUE!</v>
      </c>
      <c r="P152" t="e">
        <f>AND(Bills!T601,"AAAAAD/3wQ8=")</f>
        <v>#VALUE!</v>
      </c>
      <c r="Q152" t="e">
        <f>AND(Bills!#REF!,"AAAAAD/3wRA=")</f>
        <v>#REF!</v>
      </c>
      <c r="R152" t="e">
        <f>AND(Bills!U601,"AAAAAD/3wRE=")</f>
        <v>#VALUE!</v>
      </c>
      <c r="S152" t="e">
        <f>AND(Bills!V601,"AAAAAD/3wRI=")</f>
        <v>#VALUE!</v>
      </c>
      <c r="T152" t="e">
        <f>AND(Bills!W601,"AAAAAD/3wRM=")</f>
        <v>#VALUE!</v>
      </c>
      <c r="U152" t="e">
        <f>AND(Bills!#REF!,"AAAAAD/3wRQ=")</f>
        <v>#REF!</v>
      </c>
      <c r="V152" t="e">
        <f>AND(Bills!#REF!,"AAAAAD/3wRU=")</f>
        <v>#REF!</v>
      </c>
      <c r="W152" t="e">
        <f>AND(Bills!Y601,"AAAAAD/3wRY=")</f>
        <v>#VALUE!</v>
      </c>
      <c r="X152" t="e">
        <f>AND(Bills!Z601,"AAAAAD/3wRc=")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AND(Bills!AA601,"AAAAAD/3wSE=")</f>
        <v>#VALUE!</v>
      </c>
      <c r="AI152" t="e">
        <f>AND(Bills!AB601,"AAAAAD/3wSI=")</f>
        <v>#VALUE!</v>
      </c>
      <c r="AJ152" t="e">
        <f>AND(Bills!#REF!,"AAAAAD/3wSM=")</f>
        <v>#REF!</v>
      </c>
      <c r="AK152" t="e">
        <f>AND(Bills!#REF!,"AAAAAD/3wSQ=")</f>
        <v>#REF!</v>
      </c>
      <c r="AL152" t="e">
        <f>AND(Bills!#REF!,"AAAAAD/3wSU=")</f>
        <v>#REF!</v>
      </c>
      <c r="AM152" t="e">
        <f>AND(Bills!AC601,"AAAAAD/3wSY=")</f>
        <v>#VALUE!</v>
      </c>
      <c r="AN152" t="e">
        <f>AND(Bills!AD601,"AAAAAD/3wSc=")</f>
        <v>#VALUE!</v>
      </c>
      <c r="AO152" t="e">
        <f>AND(Bills!#REF!,"AAAAAD/3wSg=")</f>
        <v>#REF!</v>
      </c>
      <c r="AP152">
        <f>IF(Bills!602:602,"AAAAAD/3wSk=",0)</f>
        <v>0</v>
      </c>
      <c r="AQ152" t="e">
        <f>AND(Bills!B602,"AAAAAD/3wSo=")</f>
        <v>#VALUE!</v>
      </c>
      <c r="AR152" t="e">
        <f>AND(Bills!#REF!,"AAAAAD/3wSs=")</f>
        <v>#REF!</v>
      </c>
      <c r="AS152" t="e">
        <f>AND(Bills!C602,"AAAAAD/3wSw=")</f>
        <v>#VALUE!</v>
      </c>
      <c r="AT152" t="e">
        <f>AND(Bills!D602,"AAAAAD/3wS0=")</f>
        <v>#VALUE!</v>
      </c>
      <c r="AU152" t="e">
        <f>AND(Bills!E602,"AAAAAD/3wS4=")</f>
        <v>#VALUE!</v>
      </c>
      <c r="AV152" t="e">
        <f>AND(Bills!#REF!,"AAAAAD/3wS8=")</f>
        <v>#REF!</v>
      </c>
      <c r="AW152" t="e">
        <f>AND(Bills!#REF!,"AAAAAD/3wTA=")</f>
        <v>#REF!</v>
      </c>
      <c r="AX152" t="e">
        <f>AND(Bills!#REF!,"AAAAAD/3wTE=")</f>
        <v>#REF!</v>
      </c>
      <c r="AY152" t="e">
        <f>AND(Bills!F602,"AAAAAD/3wTI=")</f>
        <v>#VALUE!</v>
      </c>
      <c r="AZ152" t="e">
        <f>AND(Bills!#REF!,"AAAAAD/3wTM=")</f>
        <v>#REF!</v>
      </c>
      <c r="BA152" t="e">
        <f>AND(Bills!G602,"AAAAAD/3wTQ=")</f>
        <v>#VALUE!</v>
      </c>
      <c r="BB152" t="e">
        <f>AND(Bills!H602,"AAAAAD/3wTU=")</f>
        <v>#VALUE!</v>
      </c>
      <c r="BC152" t="e">
        <f>AND(Bills!I602,"AAAAAD/3wTY=")</f>
        <v>#VALUE!</v>
      </c>
      <c r="BD152" t="e">
        <f>AND(Bills!J602,"AAAAAD/3wTc=")</f>
        <v>#VALUE!</v>
      </c>
      <c r="BE152" t="e">
        <f>AND(Bills!K602,"AAAAAD/3wTg=")</f>
        <v>#VALUE!</v>
      </c>
      <c r="BF152" t="e">
        <f>AND(Bills!L602,"AAAAAD/3wTk=")</f>
        <v>#VALUE!</v>
      </c>
      <c r="BG152" t="e">
        <f>AND(Bills!#REF!,"AAAAAD/3wTo=")</f>
        <v>#REF!</v>
      </c>
      <c r="BH152" t="e">
        <f>AND(Bills!M602,"AAAAAD/3wTs=")</f>
        <v>#VALUE!</v>
      </c>
      <c r="BI152" t="e">
        <f>AND(Bills!N602,"AAAAAD/3wTw=")</f>
        <v>#VALUE!</v>
      </c>
      <c r="BJ152" t="e">
        <f>AND(Bills!O602,"AAAAAD/3wT0=")</f>
        <v>#VALUE!</v>
      </c>
      <c r="BK152" t="e">
        <f>AND(Bills!P602,"AAAAAD/3wT4=")</f>
        <v>#VALUE!</v>
      </c>
      <c r="BL152" t="e">
        <f>AND(Bills!Q602,"AAAAAD/3wT8=")</f>
        <v>#VALUE!</v>
      </c>
      <c r="BM152" t="e">
        <f>AND(Bills!R602,"AAAAAD/3wUA=")</f>
        <v>#VALUE!</v>
      </c>
      <c r="BN152" t="e">
        <f>AND(Bills!S602,"AAAAAD/3wUE=")</f>
        <v>#VALUE!</v>
      </c>
      <c r="BO152" t="e">
        <f>AND(Bills!T602,"AAAAAD/3wUI=")</f>
        <v>#VALUE!</v>
      </c>
      <c r="BP152" t="e">
        <f>AND(Bills!#REF!,"AAAAAD/3wUM=")</f>
        <v>#REF!</v>
      </c>
      <c r="BQ152" t="e">
        <f>AND(Bills!U602,"AAAAAD/3wUQ=")</f>
        <v>#VALUE!</v>
      </c>
      <c r="BR152" t="e">
        <f>AND(Bills!V602,"AAAAAD/3wUU=")</f>
        <v>#VALUE!</v>
      </c>
      <c r="BS152" t="e">
        <f>AND(Bills!W602,"AAAAAD/3wUY=")</f>
        <v>#VALUE!</v>
      </c>
      <c r="BT152" t="e">
        <f>AND(Bills!#REF!,"AAAAAD/3wUc=")</f>
        <v>#REF!</v>
      </c>
      <c r="BU152" t="e">
        <f>AND(Bills!#REF!,"AAAAAD/3wUg=")</f>
        <v>#REF!</v>
      </c>
      <c r="BV152" t="e">
        <f>AND(Bills!Y602,"AAAAAD/3wUk=")</f>
        <v>#VALUE!</v>
      </c>
      <c r="BW152" t="e">
        <f>AND(Bills!Z602,"AAAAAD/3wUo=")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AND(Bills!AA602,"AAAAAD/3wVQ=")</f>
        <v>#VALUE!</v>
      </c>
      <c r="CH152" t="e">
        <f>AND(Bills!AB602,"AAAAAD/3wVU=")</f>
        <v>#VALUE!</v>
      </c>
      <c r="CI152" t="e">
        <f>AND(Bills!#REF!,"AAAAAD/3wVY=")</f>
        <v>#REF!</v>
      </c>
      <c r="CJ152" t="e">
        <f>AND(Bills!#REF!,"AAAAAD/3wVc=")</f>
        <v>#REF!</v>
      </c>
      <c r="CK152" t="e">
        <f>AND(Bills!#REF!,"AAAAAD/3wVg=")</f>
        <v>#REF!</v>
      </c>
      <c r="CL152" t="e">
        <f>AND(Bills!AC602,"AAAAAD/3wVk=")</f>
        <v>#VALUE!</v>
      </c>
      <c r="CM152" t="e">
        <f>AND(Bills!AD602,"AAAAAD/3wVo=")</f>
        <v>#VALUE!</v>
      </c>
      <c r="CN152" t="e">
        <f>AND(Bills!#REF!,"AAAAAD/3wVs=")</f>
        <v>#REF!</v>
      </c>
      <c r="CO152">
        <f>IF(Bills!603:603,"AAAAAD/3wVw=",0)</f>
        <v>0</v>
      </c>
      <c r="CP152" t="e">
        <f>AND(Bills!B603,"AAAAAD/3wV0=")</f>
        <v>#VALUE!</v>
      </c>
      <c r="CQ152" t="e">
        <f>AND(Bills!#REF!,"AAAAAD/3wV4=")</f>
        <v>#REF!</v>
      </c>
      <c r="CR152" t="e">
        <f>AND(Bills!C603,"AAAAAD/3wV8=")</f>
        <v>#VALUE!</v>
      </c>
      <c r="CS152" t="e">
        <f>AND(Bills!D603,"AAAAAD/3wWA=")</f>
        <v>#VALUE!</v>
      </c>
      <c r="CT152" t="e">
        <f>AND(Bills!E603,"AAAAAD/3wWE=")</f>
        <v>#VALUE!</v>
      </c>
      <c r="CU152" t="e">
        <f>AND(Bills!#REF!,"AAAAAD/3wWI=")</f>
        <v>#REF!</v>
      </c>
      <c r="CV152" t="e">
        <f>AND(Bills!#REF!,"AAAAAD/3wWM=")</f>
        <v>#REF!</v>
      </c>
      <c r="CW152" t="e">
        <f>AND(Bills!#REF!,"AAAAAD/3wWQ=")</f>
        <v>#REF!</v>
      </c>
      <c r="CX152" t="e">
        <f>AND(Bills!F603,"AAAAAD/3wWU=")</f>
        <v>#VALUE!</v>
      </c>
      <c r="CY152" t="e">
        <f>AND(Bills!#REF!,"AAAAAD/3wWY=")</f>
        <v>#REF!</v>
      </c>
      <c r="CZ152" t="e">
        <f>AND(Bills!G603,"AAAAAD/3wWc=")</f>
        <v>#VALUE!</v>
      </c>
      <c r="DA152" t="e">
        <f>AND(Bills!H603,"AAAAAD/3wWg=")</f>
        <v>#VALUE!</v>
      </c>
      <c r="DB152" t="e">
        <f>AND(Bills!I603,"AAAAAD/3wWk=")</f>
        <v>#VALUE!</v>
      </c>
      <c r="DC152" t="e">
        <f>AND(Bills!J603,"AAAAAD/3wWo=")</f>
        <v>#VALUE!</v>
      </c>
      <c r="DD152" t="e">
        <f>AND(Bills!K603,"AAAAAD/3wWs=")</f>
        <v>#VALUE!</v>
      </c>
      <c r="DE152" t="e">
        <f>AND(Bills!L603,"AAAAAD/3wWw=")</f>
        <v>#VALUE!</v>
      </c>
      <c r="DF152" t="e">
        <f>AND(Bills!#REF!,"AAAAAD/3wW0=")</f>
        <v>#REF!</v>
      </c>
      <c r="DG152" t="e">
        <f>AND(Bills!M603,"AAAAAD/3wW4=")</f>
        <v>#VALUE!</v>
      </c>
      <c r="DH152" t="e">
        <f>AND(Bills!N603,"AAAAAD/3wW8=")</f>
        <v>#VALUE!</v>
      </c>
      <c r="DI152" t="e">
        <f>AND(Bills!O603,"AAAAAD/3wXA=")</f>
        <v>#VALUE!</v>
      </c>
      <c r="DJ152" t="e">
        <f>AND(Bills!P603,"AAAAAD/3wXE=")</f>
        <v>#VALUE!</v>
      </c>
      <c r="DK152" t="e">
        <f>AND(Bills!Q603,"AAAAAD/3wXI=")</f>
        <v>#VALUE!</v>
      </c>
      <c r="DL152" t="e">
        <f>AND(Bills!R603,"AAAAAD/3wXM=")</f>
        <v>#VALUE!</v>
      </c>
      <c r="DM152" t="e">
        <f>AND(Bills!S603,"AAAAAD/3wXQ=")</f>
        <v>#VALUE!</v>
      </c>
      <c r="DN152" t="e">
        <f>AND(Bills!T603,"AAAAAD/3wXU=")</f>
        <v>#VALUE!</v>
      </c>
      <c r="DO152" t="e">
        <f>AND(Bills!#REF!,"AAAAAD/3wXY=")</f>
        <v>#REF!</v>
      </c>
      <c r="DP152" t="e">
        <f>AND(Bills!U603,"AAAAAD/3wXc=")</f>
        <v>#VALUE!</v>
      </c>
      <c r="DQ152" t="e">
        <f>AND(Bills!V603,"AAAAAD/3wXg=")</f>
        <v>#VALUE!</v>
      </c>
      <c r="DR152" t="e">
        <f>AND(Bills!W603,"AAAAAD/3wXk=")</f>
        <v>#VALUE!</v>
      </c>
      <c r="DS152" t="e">
        <f>AND(Bills!#REF!,"AAAAAD/3wXo=")</f>
        <v>#REF!</v>
      </c>
      <c r="DT152" t="e">
        <f>AND(Bills!#REF!,"AAAAAD/3wXs=")</f>
        <v>#REF!</v>
      </c>
      <c r="DU152" t="e">
        <f>AND(Bills!Y603,"AAAAAD/3wXw=")</f>
        <v>#VALUE!</v>
      </c>
      <c r="DV152" t="e">
        <f>AND(Bills!Z603,"AAAAAD/3wX0=")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AND(Bills!AA603,"AAAAAD/3wYc=")</f>
        <v>#VALUE!</v>
      </c>
      <c r="EG152" t="e">
        <f>AND(Bills!AB603,"AAAAAD/3wYg=")</f>
        <v>#VALUE!</v>
      </c>
      <c r="EH152" t="e">
        <f>AND(Bills!#REF!,"AAAAAD/3wYk=")</f>
        <v>#REF!</v>
      </c>
      <c r="EI152" t="e">
        <f>AND(Bills!#REF!,"AAAAAD/3wYo=")</f>
        <v>#REF!</v>
      </c>
      <c r="EJ152" t="e">
        <f>AND(Bills!#REF!,"AAAAAD/3wYs=")</f>
        <v>#REF!</v>
      </c>
      <c r="EK152" t="e">
        <f>AND(Bills!AC603,"AAAAAD/3wYw=")</f>
        <v>#VALUE!</v>
      </c>
      <c r="EL152" t="e">
        <f>AND(Bills!AD603,"AAAAAD/3wY0=")</f>
        <v>#VALUE!</v>
      </c>
      <c r="EM152" t="e">
        <f>AND(Bills!#REF!,"AAAAAD/3wY4=")</f>
        <v>#REF!</v>
      </c>
      <c r="EN152">
        <f>IF(Bills!604:604,"AAAAAD/3wY8=",0)</f>
        <v>0</v>
      </c>
      <c r="EO152" t="e">
        <f>AND(Bills!B604,"AAAAAD/3wZA=")</f>
        <v>#VALUE!</v>
      </c>
      <c r="EP152" t="e">
        <f>AND(Bills!#REF!,"AAAAAD/3wZE=")</f>
        <v>#REF!</v>
      </c>
      <c r="EQ152" t="e">
        <f>AND(Bills!C604,"AAAAAD/3wZI=")</f>
        <v>#VALUE!</v>
      </c>
      <c r="ER152" t="e">
        <f>AND(Bills!D604,"AAAAAD/3wZM=")</f>
        <v>#VALUE!</v>
      </c>
      <c r="ES152" t="e">
        <f>AND(Bills!E604,"AAAAAD/3wZQ=")</f>
        <v>#VALUE!</v>
      </c>
      <c r="ET152" t="e">
        <f>AND(Bills!#REF!,"AAAAAD/3wZU=")</f>
        <v>#REF!</v>
      </c>
      <c r="EU152" t="e">
        <f>AND(Bills!#REF!,"AAAAAD/3wZY=")</f>
        <v>#REF!</v>
      </c>
      <c r="EV152" t="e">
        <f>AND(Bills!#REF!,"AAAAAD/3wZc=")</f>
        <v>#REF!</v>
      </c>
      <c r="EW152" t="e">
        <f>AND(Bills!F604,"AAAAAD/3wZg=")</f>
        <v>#VALUE!</v>
      </c>
      <c r="EX152" t="e">
        <f>AND(Bills!#REF!,"AAAAAD/3wZk=")</f>
        <v>#REF!</v>
      </c>
      <c r="EY152" t="e">
        <f>AND(Bills!G604,"AAAAAD/3wZo=")</f>
        <v>#VALUE!</v>
      </c>
      <c r="EZ152" t="e">
        <f>AND(Bills!H604,"AAAAAD/3wZs=")</f>
        <v>#VALUE!</v>
      </c>
      <c r="FA152" t="e">
        <f>AND(Bills!I604,"AAAAAD/3wZw=")</f>
        <v>#VALUE!</v>
      </c>
      <c r="FB152" t="e">
        <f>AND(Bills!J604,"AAAAAD/3wZ0=")</f>
        <v>#VALUE!</v>
      </c>
      <c r="FC152" t="e">
        <f>AND(Bills!K604,"AAAAAD/3wZ4=")</f>
        <v>#VALUE!</v>
      </c>
      <c r="FD152" t="e">
        <f>AND(Bills!L604,"AAAAAD/3wZ8=")</f>
        <v>#VALUE!</v>
      </c>
      <c r="FE152" t="e">
        <f>AND(Bills!#REF!,"AAAAAD/3waA=")</f>
        <v>#REF!</v>
      </c>
      <c r="FF152" t="e">
        <f>AND(Bills!M604,"AAAAAD/3waE=")</f>
        <v>#VALUE!</v>
      </c>
      <c r="FG152" t="e">
        <f>AND(Bills!N604,"AAAAAD/3waI=")</f>
        <v>#VALUE!</v>
      </c>
      <c r="FH152" t="e">
        <f>AND(Bills!O604,"AAAAAD/3waM=")</f>
        <v>#VALUE!</v>
      </c>
      <c r="FI152" t="e">
        <f>AND(Bills!P604,"AAAAAD/3waQ=")</f>
        <v>#VALUE!</v>
      </c>
      <c r="FJ152" t="e">
        <f>AND(Bills!Q604,"AAAAAD/3waU=")</f>
        <v>#VALUE!</v>
      </c>
      <c r="FK152" t="e">
        <f>AND(Bills!R604,"AAAAAD/3waY=")</f>
        <v>#VALUE!</v>
      </c>
      <c r="FL152" t="e">
        <f>AND(Bills!S604,"AAAAAD/3wac=")</f>
        <v>#VALUE!</v>
      </c>
      <c r="FM152" t="e">
        <f>AND(Bills!T604,"AAAAAD/3wag=")</f>
        <v>#VALUE!</v>
      </c>
      <c r="FN152" t="e">
        <f>AND(Bills!#REF!,"AAAAAD/3wak=")</f>
        <v>#REF!</v>
      </c>
      <c r="FO152" t="e">
        <f>AND(Bills!U604,"AAAAAD/3wao=")</f>
        <v>#VALUE!</v>
      </c>
      <c r="FP152" t="e">
        <f>AND(Bills!V604,"AAAAAD/3was=")</f>
        <v>#VALUE!</v>
      </c>
      <c r="FQ152" t="e">
        <f>AND(Bills!W604,"AAAAAD/3waw=")</f>
        <v>#VALUE!</v>
      </c>
      <c r="FR152" t="e">
        <f>AND(Bills!#REF!,"AAAAAD/3wa0=")</f>
        <v>#REF!</v>
      </c>
      <c r="FS152" t="e">
        <f>AND(Bills!#REF!,"AAAAAD/3wa4=")</f>
        <v>#REF!</v>
      </c>
      <c r="FT152" t="e">
        <f>AND(Bills!Y604,"AAAAAD/3wa8=")</f>
        <v>#VALUE!</v>
      </c>
      <c r="FU152" t="e">
        <f>AND(Bills!Z604,"AAAAAD/3wbA=")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AND(Bills!AA604,"AAAAAD/3wbo=")</f>
        <v>#VALUE!</v>
      </c>
      <c r="GF152" t="e">
        <f>AND(Bills!AB604,"AAAAAD/3wbs=")</f>
        <v>#VALUE!</v>
      </c>
      <c r="GG152" t="e">
        <f>AND(Bills!#REF!,"AAAAAD/3wbw=")</f>
        <v>#REF!</v>
      </c>
      <c r="GH152" t="e">
        <f>AND(Bills!#REF!,"AAAAAD/3wb0=")</f>
        <v>#REF!</v>
      </c>
      <c r="GI152" t="e">
        <f>AND(Bills!#REF!,"AAAAAD/3wb4=")</f>
        <v>#REF!</v>
      </c>
      <c r="GJ152" t="e">
        <f>AND(Bills!AC604,"AAAAAD/3wb8=")</f>
        <v>#VALUE!</v>
      </c>
      <c r="GK152" t="e">
        <f>AND(Bills!AD604,"AAAAAD/3wcA=")</f>
        <v>#VALUE!</v>
      </c>
      <c r="GL152" t="e">
        <f>AND(Bills!#REF!,"AAAAAD/3wcE=")</f>
        <v>#REF!</v>
      </c>
      <c r="GM152">
        <f>IF(Bills!605:605,"AAAAAD/3wcI=",0)</f>
        <v>0</v>
      </c>
      <c r="GN152" t="e">
        <f>AND(Bills!B605,"AAAAAD/3wcM=")</f>
        <v>#VALUE!</v>
      </c>
      <c r="GO152" t="e">
        <f>AND(Bills!#REF!,"AAAAAD/3wcQ=")</f>
        <v>#REF!</v>
      </c>
      <c r="GP152" t="e">
        <f>AND(Bills!C605,"AAAAAD/3wcU=")</f>
        <v>#VALUE!</v>
      </c>
      <c r="GQ152" t="e">
        <f>AND(Bills!D605,"AAAAAD/3wcY=")</f>
        <v>#VALUE!</v>
      </c>
      <c r="GR152" t="e">
        <f>AND(Bills!E605,"AAAAAD/3wcc=")</f>
        <v>#VALUE!</v>
      </c>
      <c r="GS152" t="e">
        <f>AND(Bills!#REF!,"AAAAAD/3wcg=")</f>
        <v>#REF!</v>
      </c>
      <c r="GT152" t="e">
        <f>AND(Bills!#REF!,"AAAAAD/3wck=")</f>
        <v>#REF!</v>
      </c>
      <c r="GU152" t="e">
        <f>AND(Bills!#REF!,"AAAAAD/3wco=")</f>
        <v>#REF!</v>
      </c>
      <c r="GV152" t="e">
        <f>AND(Bills!F605,"AAAAAD/3wcs=")</f>
        <v>#VALUE!</v>
      </c>
      <c r="GW152" t="e">
        <f>AND(Bills!#REF!,"AAAAAD/3wcw=")</f>
        <v>#REF!</v>
      </c>
      <c r="GX152" t="e">
        <f>AND(Bills!G605,"AAAAAD/3wc0=")</f>
        <v>#VALUE!</v>
      </c>
      <c r="GY152" t="e">
        <f>AND(Bills!H605,"AAAAAD/3wc4=")</f>
        <v>#VALUE!</v>
      </c>
      <c r="GZ152" t="e">
        <f>AND(Bills!I605,"AAAAAD/3wc8=")</f>
        <v>#VALUE!</v>
      </c>
      <c r="HA152" t="e">
        <f>AND(Bills!J605,"AAAAAD/3wdA=")</f>
        <v>#VALUE!</v>
      </c>
      <c r="HB152" t="e">
        <f>AND(Bills!K605,"AAAAAD/3wdE=")</f>
        <v>#VALUE!</v>
      </c>
      <c r="HC152" t="e">
        <f>AND(Bills!L605,"AAAAAD/3wdI=")</f>
        <v>#VALUE!</v>
      </c>
      <c r="HD152" t="e">
        <f>AND(Bills!#REF!,"AAAAAD/3wdM=")</f>
        <v>#REF!</v>
      </c>
      <c r="HE152" t="e">
        <f>AND(Bills!M605,"AAAAAD/3wdQ=")</f>
        <v>#VALUE!</v>
      </c>
      <c r="HF152" t="e">
        <f>AND(Bills!N605,"AAAAAD/3wdU=")</f>
        <v>#VALUE!</v>
      </c>
      <c r="HG152" t="e">
        <f>AND(Bills!O605,"AAAAAD/3wdY=")</f>
        <v>#VALUE!</v>
      </c>
      <c r="HH152" t="e">
        <f>AND(Bills!P605,"AAAAAD/3wdc=")</f>
        <v>#VALUE!</v>
      </c>
      <c r="HI152" t="e">
        <f>AND(Bills!Q605,"AAAAAD/3wdg=")</f>
        <v>#VALUE!</v>
      </c>
      <c r="HJ152" t="e">
        <f>AND(Bills!R605,"AAAAAD/3wdk=")</f>
        <v>#VALUE!</v>
      </c>
      <c r="HK152" t="e">
        <f>AND(Bills!S605,"AAAAAD/3wdo=")</f>
        <v>#VALUE!</v>
      </c>
      <c r="HL152" t="e">
        <f>AND(Bills!T605,"AAAAAD/3wds=")</f>
        <v>#VALUE!</v>
      </c>
      <c r="HM152" t="e">
        <f>AND(Bills!#REF!,"AAAAAD/3wdw=")</f>
        <v>#REF!</v>
      </c>
      <c r="HN152" t="e">
        <f>AND(Bills!U605,"AAAAAD/3wd0=")</f>
        <v>#VALUE!</v>
      </c>
      <c r="HO152" t="e">
        <f>AND(Bills!V605,"AAAAAD/3wd4=")</f>
        <v>#VALUE!</v>
      </c>
      <c r="HP152" t="e">
        <f>AND(Bills!W605,"AAAAAD/3wd8=")</f>
        <v>#VALUE!</v>
      </c>
      <c r="HQ152" t="e">
        <f>AND(Bills!#REF!,"AAAAAD/3weA=")</f>
        <v>#REF!</v>
      </c>
      <c r="HR152" t="e">
        <f>AND(Bills!#REF!,"AAAAAD/3weE=")</f>
        <v>#REF!</v>
      </c>
      <c r="HS152" t="e">
        <f>AND(Bills!Y605,"AAAAAD/3weI=")</f>
        <v>#VALUE!</v>
      </c>
      <c r="HT152" t="e">
        <f>AND(Bills!Z605,"AAAAAD/3weM=")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AND(Bills!AA605,"AAAAAD/3we0=")</f>
        <v>#VALUE!</v>
      </c>
      <c r="IE152" t="e">
        <f>AND(Bills!AB605,"AAAAAD/3we4=")</f>
        <v>#VALUE!</v>
      </c>
      <c r="IF152" t="e">
        <f>AND(Bills!#REF!,"AAAAAD/3we8=")</f>
        <v>#REF!</v>
      </c>
      <c r="IG152" t="e">
        <f>AND(Bills!#REF!,"AAAAAD/3wfA=")</f>
        <v>#REF!</v>
      </c>
      <c r="IH152" t="e">
        <f>AND(Bills!#REF!,"AAAAAD/3wfE=")</f>
        <v>#REF!</v>
      </c>
      <c r="II152" t="e">
        <f>AND(Bills!AC605,"AAAAAD/3wfI=")</f>
        <v>#VALUE!</v>
      </c>
      <c r="IJ152" t="e">
        <f>AND(Bills!AD605,"AAAAAD/3wfM=")</f>
        <v>#VALUE!</v>
      </c>
      <c r="IK152" t="e">
        <f>AND(Bills!#REF!,"AAAAAD/3wfQ=")</f>
        <v>#REF!</v>
      </c>
      <c r="IL152">
        <f>IF(Bills!606:606,"AAAAAD/3wfU=",0)</f>
        <v>0</v>
      </c>
      <c r="IM152" t="e">
        <f>AND(Bills!B606,"AAAAAD/3wfY=")</f>
        <v>#VALUE!</v>
      </c>
      <c r="IN152" t="e">
        <f>AND(Bills!#REF!,"AAAAAD/3wfc=")</f>
        <v>#REF!</v>
      </c>
      <c r="IO152" t="e">
        <f>AND(Bills!C606,"AAAAAD/3wfg=")</f>
        <v>#VALUE!</v>
      </c>
      <c r="IP152" t="e">
        <f>AND(Bills!D606,"AAAAAD/3wfk=")</f>
        <v>#VALUE!</v>
      </c>
      <c r="IQ152" t="e">
        <f>AND(Bills!E606,"AAAAAD/3wfo=")</f>
        <v>#VALUE!</v>
      </c>
      <c r="IR152" t="e">
        <f>AND(Bills!#REF!,"AAAAAD/3wfs=")</f>
        <v>#REF!</v>
      </c>
      <c r="IS152" t="e">
        <f>AND(Bills!#REF!,"AAAAAD/3wfw=")</f>
        <v>#REF!</v>
      </c>
      <c r="IT152" t="e">
        <f>AND(Bills!#REF!,"AAAAAD/3wf0=")</f>
        <v>#REF!</v>
      </c>
      <c r="IU152" t="e">
        <f>AND(Bills!F606,"AAAAAD/3wf4=")</f>
        <v>#VALUE!</v>
      </c>
      <c r="IV152" t="e">
        <f>AND(Bills!#REF!,"AAAAAD/3wf8=")</f>
        <v>#REF!</v>
      </c>
    </row>
    <row r="153" spans="1:256">
      <c r="A153" t="e">
        <f>AND(Bills!G606,"AAAAAH/8dAA=")</f>
        <v>#VALUE!</v>
      </c>
      <c r="B153" t="e">
        <f>AND(Bills!H606,"AAAAAH/8dAE=")</f>
        <v>#VALUE!</v>
      </c>
      <c r="C153" t="e">
        <f>AND(Bills!I606,"AAAAAH/8dAI=")</f>
        <v>#VALUE!</v>
      </c>
      <c r="D153" t="e">
        <f>AND(Bills!J606,"AAAAAH/8dAM=")</f>
        <v>#VALUE!</v>
      </c>
      <c r="E153" t="e">
        <f>AND(Bills!K606,"AAAAAH/8dAQ=")</f>
        <v>#VALUE!</v>
      </c>
      <c r="F153" t="e">
        <f>AND(Bills!L606,"AAAAAH/8dAU=")</f>
        <v>#VALUE!</v>
      </c>
      <c r="G153" t="e">
        <f>AND(Bills!#REF!,"AAAAAH/8dAY=")</f>
        <v>#REF!</v>
      </c>
      <c r="H153" t="e">
        <f>AND(Bills!M606,"AAAAAH/8dAc=")</f>
        <v>#VALUE!</v>
      </c>
      <c r="I153" t="e">
        <f>AND(Bills!N606,"AAAAAH/8dAg=")</f>
        <v>#VALUE!</v>
      </c>
      <c r="J153" t="e">
        <f>AND(Bills!O606,"AAAAAH/8dAk=")</f>
        <v>#VALUE!</v>
      </c>
      <c r="K153" t="e">
        <f>AND(Bills!P606,"AAAAAH/8dAo=")</f>
        <v>#VALUE!</v>
      </c>
      <c r="L153" t="e">
        <f>AND(Bills!Q606,"AAAAAH/8dAs=")</f>
        <v>#VALUE!</v>
      </c>
      <c r="M153" t="e">
        <f>AND(Bills!R606,"AAAAAH/8dAw=")</f>
        <v>#VALUE!</v>
      </c>
      <c r="N153" t="e">
        <f>AND(Bills!S606,"AAAAAH/8dA0=")</f>
        <v>#VALUE!</v>
      </c>
      <c r="O153" t="e">
        <f>AND(Bills!T606,"AAAAAH/8dA4=")</f>
        <v>#VALUE!</v>
      </c>
      <c r="P153" t="e">
        <f>AND(Bills!#REF!,"AAAAAH/8dA8=")</f>
        <v>#REF!</v>
      </c>
      <c r="Q153" t="e">
        <f>AND(Bills!U606,"AAAAAH/8dBA=")</f>
        <v>#VALUE!</v>
      </c>
      <c r="R153" t="e">
        <f>AND(Bills!V606,"AAAAAH/8dBE=")</f>
        <v>#VALUE!</v>
      </c>
      <c r="S153" t="e">
        <f>AND(Bills!W606,"AAAAAH/8dBI=")</f>
        <v>#VALUE!</v>
      </c>
      <c r="T153" t="e">
        <f>AND(Bills!#REF!,"AAAAAH/8dBM=")</f>
        <v>#REF!</v>
      </c>
      <c r="U153" t="e">
        <f>AND(Bills!#REF!,"AAAAAH/8dBQ=")</f>
        <v>#REF!</v>
      </c>
      <c r="V153" t="e">
        <f>AND(Bills!Y606,"AAAAAH/8dBU=")</f>
        <v>#VALUE!</v>
      </c>
      <c r="W153" t="e">
        <f>AND(Bills!Z606,"AAAAAH/8dBY=")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AND(Bills!AA606,"AAAAAH/8dCA=")</f>
        <v>#VALUE!</v>
      </c>
      <c r="AH153" t="e">
        <f>AND(Bills!AB606,"AAAAAH/8dCE=")</f>
        <v>#VALUE!</v>
      </c>
      <c r="AI153" t="e">
        <f>AND(Bills!#REF!,"AAAAAH/8dCI=")</f>
        <v>#REF!</v>
      </c>
      <c r="AJ153" t="e">
        <f>AND(Bills!#REF!,"AAAAAH/8dCM=")</f>
        <v>#REF!</v>
      </c>
      <c r="AK153" t="e">
        <f>AND(Bills!#REF!,"AAAAAH/8dCQ=")</f>
        <v>#REF!</v>
      </c>
      <c r="AL153" t="e">
        <f>AND(Bills!AC606,"AAAAAH/8dCU=")</f>
        <v>#VALUE!</v>
      </c>
      <c r="AM153" t="e">
        <f>AND(Bills!AD606,"AAAAAH/8dCY=")</f>
        <v>#VALUE!</v>
      </c>
      <c r="AN153" t="e">
        <f>AND(Bills!#REF!,"AAAAAH/8dCc=")</f>
        <v>#REF!</v>
      </c>
      <c r="AO153">
        <f>IF(Bills!607:607,"AAAAAH/8dCg=",0)</f>
        <v>0</v>
      </c>
      <c r="AP153" t="e">
        <f>AND(Bills!B607,"AAAAAH/8dCk=")</f>
        <v>#VALUE!</v>
      </c>
      <c r="AQ153" t="e">
        <f>AND(Bills!#REF!,"AAAAAH/8dCo=")</f>
        <v>#REF!</v>
      </c>
      <c r="AR153" t="e">
        <f>AND(Bills!C607,"AAAAAH/8dCs=")</f>
        <v>#VALUE!</v>
      </c>
      <c r="AS153" t="e">
        <f>AND(Bills!D607,"AAAAAH/8dCw=")</f>
        <v>#VALUE!</v>
      </c>
      <c r="AT153" t="e">
        <f>AND(Bills!E607,"AAAAAH/8dC0=")</f>
        <v>#VALUE!</v>
      </c>
      <c r="AU153" t="e">
        <f>AND(Bills!#REF!,"AAAAAH/8dC4=")</f>
        <v>#REF!</v>
      </c>
      <c r="AV153" t="e">
        <f>AND(Bills!#REF!,"AAAAAH/8dC8=")</f>
        <v>#REF!</v>
      </c>
      <c r="AW153" t="e">
        <f>AND(Bills!#REF!,"AAAAAH/8dDA=")</f>
        <v>#REF!</v>
      </c>
      <c r="AX153" t="e">
        <f>AND(Bills!F607,"AAAAAH/8dDE=")</f>
        <v>#VALUE!</v>
      </c>
      <c r="AY153" t="e">
        <f>AND(Bills!#REF!,"AAAAAH/8dDI=")</f>
        <v>#REF!</v>
      </c>
      <c r="AZ153" t="e">
        <f>AND(Bills!G607,"AAAAAH/8dDM=")</f>
        <v>#VALUE!</v>
      </c>
      <c r="BA153" t="e">
        <f>AND(Bills!H607,"AAAAAH/8dDQ=")</f>
        <v>#VALUE!</v>
      </c>
      <c r="BB153" t="e">
        <f>AND(Bills!I607,"AAAAAH/8dDU=")</f>
        <v>#VALUE!</v>
      </c>
      <c r="BC153" t="e">
        <f>AND(Bills!J607,"AAAAAH/8dDY=")</f>
        <v>#VALUE!</v>
      </c>
      <c r="BD153" t="e">
        <f>AND(Bills!K607,"AAAAAH/8dDc=")</f>
        <v>#VALUE!</v>
      </c>
      <c r="BE153" t="e">
        <f>AND(Bills!L607,"AAAAAH/8dDg=")</f>
        <v>#VALUE!</v>
      </c>
      <c r="BF153" t="e">
        <f>AND(Bills!#REF!,"AAAAAH/8dDk=")</f>
        <v>#REF!</v>
      </c>
      <c r="BG153" t="e">
        <f>AND(Bills!M607,"AAAAAH/8dDo=")</f>
        <v>#VALUE!</v>
      </c>
      <c r="BH153" t="e">
        <f>AND(Bills!N607,"AAAAAH/8dDs=")</f>
        <v>#VALUE!</v>
      </c>
      <c r="BI153" t="e">
        <f>AND(Bills!O607,"AAAAAH/8dDw=")</f>
        <v>#VALUE!</v>
      </c>
      <c r="BJ153" t="e">
        <f>AND(Bills!P607,"AAAAAH/8dD0=")</f>
        <v>#VALUE!</v>
      </c>
      <c r="BK153" t="e">
        <f>AND(Bills!Q607,"AAAAAH/8dD4=")</f>
        <v>#VALUE!</v>
      </c>
      <c r="BL153" t="e">
        <f>AND(Bills!R607,"AAAAAH/8dD8=")</f>
        <v>#VALUE!</v>
      </c>
      <c r="BM153" t="e">
        <f>AND(Bills!S607,"AAAAAH/8dEA=")</f>
        <v>#VALUE!</v>
      </c>
      <c r="BN153" t="e">
        <f>AND(Bills!T607,"AAAAAH/8dEE=")</f>
        <v>#VALUE!</v>
      </c>
      <c r="BO153" t="e">
        <f>AND(Bills!#REF!,"AAAAAH/8dEI=")</f>
        <v>#REF!</v>
      </c>
      <c r="BP153" t="e">
        <f>AND(Bills!U607,"AAAAAH/8dEM=")</f>
        <v>#VALUE!</v>
      </c>
      <c r="BQ153" t="e">
        <f>AND(Bills!V607,"AAAAAH/8dEQ=")</f>
        <v>#VALUE!</v>
      </c>
      <c r="BR153" t="e">
        <f>AND(Bills!W607,"AAAAAH/8dEU=")</f>
        <v>#VALUE!</v>
      </c>
      <c r="BS153" t="e">
        <f>AND(Bills!#REF!,"AAAAAH/8dEY=")</f>
        <v>#REF!</v>
      </c>
      <c r="BT153" t="e">
        <f>AND(Bills!#REF!,"AAAAAH/8dEc=")</f>
        <v>#REF!</v>
      </c>
      <c r="BU153" t="e">
        <f>AND(Bills!Y607,"AAAAAH/8dEg=")</f>
        <v>#VALUE!</v>
      </c>
      <c r="BV153" t="e">
        <f>AND(Bills!Z607,"AAAAAH/8dEk=")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AND(Bills!AA607,"AAAAAH/8dFM=")</f>
        <v>#VALUE!</v>
      </c>
      <c r="CG153" t="e">
        <f>AND(Bills!AB607,"AAAAAH/8dFQ=")</f>
        <v>#VALUE!</v>
      </c>
      <c r="CH153" t="e">
        <f>AND(Bills!#REF!,"AAAAAH/8dFU=")</f>
        <v>#REF!</v>
      </c>
      <c r="CI153" t="e">
        <f>AND(Bills!#REF!,"AAAAAH/8dFY=")</f>
        <v>#REF!</v>
      </c>
      <c r="CJ153" t="e">
        <f>AND(Bills!#REF!,"AAAAAH/8dFc=")</f>
        <v>#REF!</v>
      </c>
      <c r="CK153" t="e">
        <f>AND(Bills!AC607,"AAAAAH/8dFg=")</f>
        <v>#VALUE!</v>
      </c>
      <c r="CL153" t="e">
        <f>AND(Bills!AD607,"AAAAAH/8dFk=")</f>
        <v>#VALUE!</v>
      </c>
      <c r="CM153" t="e">
        <f>AND(Bills!#REF!,"AAAAAH/8dFo=")</f>
        <v>#REF!</v>
      </c>
      <c r="CN153">
        <f>IF(Bills!608:608,"AAAAAH/8dFs=",0)</f>
        <v>0</v>
      </c>
      <c r="CO153" t="e">
        <f>AND(Bills!B608,"AAAAAH/8dFw=")</f>
        <v>#VALUE!</v>
      </c>
      <c r="CP153" t="e">
        <f>AND(Bills!#REF!,"AAAAAH/8dF0=")</f>
        <v>#REF!</v>
      </c>
      <c r="CQ153" t="e">
        <f>AND(Bills!C608,"AAAAAH/8dF4=")</f>
        <v>#VALUE!</v>
      </c>
      <c r="CR153" t="e">
        <f>AND(Bills!D608,"AAAAAH/8dF8=")</f>
        <v>#VALUE!</v>
      </c>
      <c r="CS153" t="e">
        <f>AND(Bills!E608,"AAAAAH/8dGA=")</f>
        <v>#VALUE!</v>
      </c>
      <c r="CT153" t="e">
        <f>AND(Bills!#REF!,"AAAAAH/8dGE=")</f>
        <v>#REF!</v>
      </c>
      <c r="CU153" t="e">
        <f>AND(Bills!#REF!,"AAAAAH/8dGI=")</f>
        <v>#REF!</v>
      </c>
      <c r="CV153" t="e">
        <f>AND(Bills!#REF!,"AAAAAH/8dGM=")</f>
        <v>#REF!</v>
      </c>
      <c r="CW153" t="e">
        <f>AND(Bills!F608,"AAAAAH/8dGQ=")</f>
        <v>#VALUE!</v>
      </c>
      <c r="CX153" t="e">
        <f>AND(Bills!#REF!,"AAAAAH/8dGU=")</f>
        <v>#REF!</v>
      </c>
      <c r="CY153" t="e">
        <f>AND(Bills!G608,"AAAAAH/8dGY=")</f>
        <v>#VALUE!</v>
      </c>
      <c r="CZ153" t="e">
        <f>AND(Bills!H608,"AAAAAH/8dGc=")</f>
        <v>#VALUE!</v>
      </c>
      <c r="DA153" t="e">
        <f>AND(Bills!I608,"AAAAAH/8dGg=")</f>
        <v>#VALUE!</v>
      </c>
      <c r="DB153" t="e">
        <f>AND(Bills!J608,"AAAAAH/8dGk=")</f>
        <v>#VALUE!</v>
      </c>
      <c r="DC153" t="e">
        <f>AND(Bills!K608,"AAAAAH/8dGo=")</f>
        <v>#VALUE!</v>
      </c>
      <c r="DD153" t="e">
        <f>AND(Bills!L608,"AAAAAH/8dGs=")</f>
        <v>#VALUE!</v>
      </c>
      <c r="DE153" t="e">
        <f>AND(Bills!#REF!,"AAAAAH/8dGw=")</f>
        <v>#REF!</v>
      </c>
      <c r="DF153" t="e">
        <f>AND(Bills!M608,"AAAAAH/8dG0=")</f>
        <v>#VALUE!</v>
      </c>
      <c r="DG153" t="e">
        <f>AND(Bills!N608,"AAAAAH/8dG4=")</f>
        <v>#VALUE!</v>
      </c>
      <c r="DH153" t="e">
        <f>AND(Bills!O608,"AAAAAH/8dG8=")</f>
        <v>#VALUE!</v>
      </c>
      <c r="DI153" t="e">
        <f>AND(Bills!P608,"AAAAAH/8dHA=")</f>
        <v>#VALUE!</v>
      </c>
      <c r="DJ153" t="e">
        <f>AND(Bills!Q608,"AAAAAH/8dHE=")</f>
        <v>#VALUE!</v>
      </c>
      <c r="DK153" t="e">
        <f>AND(Bills!R608,"AAAAAH/8dHI=")</f>
        <v>#VALUE!</v>
      </c>
      <c r="DL153" t="e">
        <f>AND(Bills!S608,"AAAAAH/8dHM=")</f>
        <v>#VALUE!</v>
      </c>
      <c r="DM153" t="e">
        <f>AND(Bills!T608,"AAAAAH/8dHQ=")</f>
        <v>#VALUE!</v>
      </c>
      <c r="DN153" t="e">
        <f>AND(Bills!#REF!,"AAAAAH/8dHU=")</f>
        <v>#REF!</v>
      </c>
      <c r="DO153" t="e">
        <f>AND(Bills!U608,"AAAAAH/8dHY=")</f>
        <v>#VALUE!</v>
      </c>
      <c r="DP153" t="e">
        <f>AND(Bills!V608,"AAAAAH/8dHc=")</f>
        <v>#VALUE!</v>
      </c>
      <c r="DQ153" t="e">
        <f>AND(Bills!W608,"AAAAAH/8dHg=")</f>
        <v>#VALUE!</v>
      </c>
      <c r="DR153" t="e">
        <f>AND(Bills!#REF!,"AAAAAH/8dHk=")</f>
        <v>#REF!</v>
      </c>
      <c r="DS153" t="e">
        <f>AND(Bills!#REF!,"AAAAAH/8dHo=")</f>
        <v>#REF!</v>
      </c>
      <c r="DT153" t="e">
        <f>AND(Bills!Y608,"AAAAAH/8dHs=")</f>
        <v>#VALUE!</v>
      </c>
      <c r="DU153" t="e">
        <f>AND(Bills!Z608,"AAAAAH/8dHw=")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AND(Bills!AA608,"AAAAAH/8dIY=")</f>
        <v>#VALUE!</v>
      </c>
      <c r="EF153" t="e">
        <f>AND(Bills!AB608,"AAAAAH/8dIc=")</f>
        <v>#VALUE!</v>
      </c>
      <c r="EG153" t="e">
        <f>AND(Bills!#REF!,"AAAAAH/8dIg=")</f>
        <v>#REF!</v>
      </c>
      <c r="EH153" t="e">
        <f>AND(Bills!#REF!,"AAAAAH/8dIk=")</f>
        <v>#REF!</v>
      </c>
      <c r="EI153" t="e">
        <f>AND(Bills!#REF!,"AAAAAH/8dIo=")</f>
        <v>#REF!</v>
      </c>
      <c r="EJ153" t="e">
        <f>AND(Bills!AC608,"AAAAAH/8dIs=")</f>
        <v>#VALUE!</v>
      </c>
      <c r="EK153" t="e">
        <f>AND(Bills!AD608,"AAAAAH/8dIw=")</f>
        <v>#VALUE!</v>
      </c>
      <c r="EL153" t="e">
        <f>AND(Bills!#REF!,"AAAAAH/8dI0=")</f>
        <v>#REF!</v>
      </c>
      <c r="EM153">
        <f>IF(Bills!609:609,"AAAAAH/8dI4=",0)</f>
        <v>0</v>
      </c>
      <c r="EN153" t="e">
        <f>AND(Bills!B609,"AAAAAH/8dI8=")</f>
        <v>#VALUE!</v>
      </c>
      <c r="EO153" t="e">
        <f>AND(Bills!#REF!,"AAAAAH/8dJA=")</f>
        <v>#REF!</v>
      </c>
      <c r="EP153" t="e">
        <f>AND(Bills!C609,"AAAAAH/8dJE=")</f>
        <v>#VALUE!</v>
      </c>
      <c r="EQ153" t="e">
        <f>AND(Bills!D609,"AAAAAH/8dJI=")</f>
        <v>#VALUE!</v>
      </c>
      <c r="ER153" t="e">
        <f>AND(Bills!E609,"AAAAAH/8dJM=")</f>
        <v>#VALUE!</v>
      </c>
      <c r="ES153" t="e">
        <f>AND(Bills!#REF!,"AAAAAH/8dJQ=")</f>
        <v>#REF!</v>
      </c>
      <c r="ET153" t="e">
        <f>AND(Bills!#REF!,"AAAAAH/8dJU=")</f>
        <v>#REF!</v>
      </c>
      <c r="EU153" t="e">
        <f>AND(Bills!#REF!,"AAAAAH/8dJY=")</f>
        <v>#REF!</v>
      </c>
      <c r="EV153" t="e">
        <f>AND(Bills!F609,"AAAAAH/8dJc=")</f>
        <v>#VALUE!</v>
      </c>
      <c r="EW153" t="e">
        <f>AND(Bills!#REF!,"AAAAAH/8dJg=")</f>
        <v>#REF!</v>
      </c>
      <c r="EX153" t="e">
        <f>AND(Bills!G609,"AAAAAH/8dJk=")</f>
        <v>#VALUE!</v>
      </c>
      <c r="EY153" t="e">
        <f>AND(Bills!H609,"AAAAAH/8dJo=")</f>
        <v>#VALUE!</v>
      </c>
      <c r="EZ153" t="e">
        <f>AND(Bills!I609,"AAAAAH/8dJs=")</f>
        <v>#VALUE!</v>
      </c>
      <c r="FA153" t="e">
        <f>AND(Bills!J609,"AAAAAH/8dJw=")</f>
        <v>#VALUE!</v>
      </c>
      <c r="FB153" t="e">
        <f>AND(Bills!K609,"AAAAAH/8dJ0=")</f>
        <v>#VALUE!</v>
      </c>
      <c r="FC153" t="e">
        <f>AND(Bills!L609,"AAAAAH/8dJ4=")</f>
        <v>#VALUE!</v>
      </c>
      <c r="FD153" t="e">
        <f>AND(Bills!#REF!,"AAAAAH/8dJ8=")</f>
        <v>#REF!</v>
      </c>
      <c r="FE153" t="e">
        <f>AND(Bills!M609,"AAAAAH/8dKA=")</f>
        <v>#VALUE!</v>
      </c>
      <c r="FF153" t="e">
        <f>AND(Bills!N609,"AAAAAH/8dKE=")</f>
        <v>#VALUE!</v>
      </c>
      <c r="FG153" t="e">
        <f>AND(Bills!O609,"AAAAAH/8dKI=")</f>
        <v>#VALUE!</v>
      </c>
      <c r="FH153" t="e">
        <f>AND(Bills!P609,"AAAAAH/8dKM=")</f>
        <v>#VALUE!</v>
      </c>
      <c r="FI153" t="e">
        <f>AND(Bills!Q609,"AAAAAH/8dKQ=")</f>
        <v>#VALUE!</v>
      </c>
      <c r="FJ153" t="e">
        <f>AND(Bills!R609,"AAAAAH/8dKU=")</f>
        <v>#VALUE!</v>
      </c>
      <c r="FK153" t="e">
        <f>AND(Bills!S609,"AAAAAH/8dKY=")</f>
        <v>#VALUE!</v>
      </c>
      <c r="FL153" t="e">
        <f>AND(Bills!T609,"AAAAAH/8dKc=")</f>
        <v>#VALUE!</v>
      </c>
      <c r="FM153" t="e">
        <f>AND(Bills!#REF!,"AAAAAH/8dKg=")</f>
        <v>#REF!</v>
      </c>
      <c r="FN153" t="e">
        <f>AND(Bills!U609,"AAAAAH/8dKk=")</f>
        <v>#VALUE!</v>
      </c>
      <c r="FO153" t="e">
        <f>AND(Bills!V609,"AAAAAH/8dKo=")</f>
        <v>#VALUE!</v>
      </c>
      <c r="FP153" t="e">
        <f>AND(Bills!W609,"AAAAAH/8dKs=")</f>
        <v>#VALUE!</v>
      </c>
      <c r="FQ153" t="e">
        <f>AND(Bills!#REF!,"AAAAAH/8dKw=")</f>
        <v>#REF!</v>
      </c>
      <c r="FR153" t="e">
        <f>AND(Bills!#REF!,"AAAAAH/8dK0=")</f>
        <v>#REF!</v>
      </c>
      <c r="FS153" t="e">
        <f>AND(Bills!Y609,"AAAAAH/8dK4=")</f>
        <v>#VALUE!</v>
      </c>
      <c r="FT153" t="e">
        <f>AND(Bills!Z609,"AAAAAH/8dK8=")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AND(Bills!AA609,"AAAAAH/8dLk=")</f>
        <v>#VALUE!</v>
      </c>
      <c r="GE153" t="e">
        <f>AND(Bills!AB609,"AAAAAH/8dLo=")</f>
        <v>#VALUE!</v>
      </c>
      <c r="GF153" t="e">
        <f>AND(Bills!#REF!,"AAAAAH/8dLs=")</f>
        <v>#REF!</v>
      </c>
      <c r="GG153" t="e">
        <f>AND(Bills!#REF!,"AAAAAH/8dLw=")</f>
        <v>#REF!</v>
      </c>
      <c r="GH153" t="e">
        <f>AND(Bills!#REF!,"AAAAAH/8dL0=")</f>
        <v>#REF!</v>
      </c>
      <c r="GI153" t="e">
        <f>AND(Bills!AC609,"AAAAAH/8dL4=")</f>
        <v>#VALUE!</v>
      </c>
      <c r="GJ153" t="e">
        <f>AND(Bills!AD609,"AAAAAH/8dL8=")</f>
        <v>#VALUE!</v>
      </c>
      <c r="GK153" t="e">
        <f>AND(Bills!#REF!,"AAAAAH/8dMA=")</f>
        <v>#REF!</v>
      </c>
      <c r="GL153">
        <f>IF(Bills!610:610,"AAAAAH/8dME=",0)</f>
        <v>0</v>
      </c>
      <c r="GM153" t="e">
        <f>AND(Bills!B610,"AAAAAH/8dMI=")</f>
        <v>#VALUE!</v>
      </c>
      <c r="GN153" t="e">
        <f>AND(Bills!#REF!,"AAAAAH/8dMM=")</f>
        <v>#REF!</v>
      </c>
      <c r="GO153" t="e">
        <f>AND(Bills!C610,"AAAAAH/8dMQ=")</f>
        <v>#VALUE!</v>
      </c>
      <c r="GP153" t="e">
        <f>AND(Bills!D610,"AAAAAH/8dMU=")</f>
        <v>#VALUE!</v>
      </c>
      <c r="GQ153" t="e">
        <f>AND(Bills!E610,"AAAAAH/8dMY=")</f>
        <v>#VALUE!</v>
      </c>
      <c r="GR153" t="e">
        <f>AND(Bills!#REF!,"AAAAAH/8dMc=")</f>
        <v>#REF!</v>
      </c>
      <c r="GS153" t="e">
        <f>AND(Bills!#REF!,"AAAAAH/8dMg=")</f>
        <v>#REF!</v>
      </c>
      <c r="GT153" t="e">
        <f>AND(Bills!#REF!,"AAAAAH/8dMk=")</f>
        <v>#REF!</v>
      </c>
      <c r="GU153" t="e">
        <f>AND(Bills!F610,"AAAAAH/8dMo=")</f>
        <v>#VALUE!</v>
      </c>
      <c r="GV153" t="e">
        <f>AND(Bills!#REF!,"AAAAAH/8dMs=")</f>
        <v>#REF!</v>
      </c>
      <c r="GW153" t="e">
        <f>AND(Bills!G610,"AAAAAH/8dMw=")</f>
        <v>#VALUE!</v>
      </c>
      <c r="GX153" t="e">
        <f>AND(Bills!H610,"AAAAAH/8dM0=")</f>
        <v>#VALUE!</v>
      </c>
      <c r="GY153" t="e">
        <f>AND(Bills!I610,"AAAAAH/8dM4=")</f>
        <v>#VALUE!</v>
      </c>
      <c r="GZ153" t="e">
        <f>AND(Bills!J610,"AAAAAH/8dM8=")</f>
        <v>#VALUE!</v>
      </c>
      <c r="HA153" t="e">
        <f>AND(Bills!K610,"AAAAAH/8dNA=")</f>
        <v>#VALUE!</v>
      </c>
      <c r="HB153" t="e">
        <f>AND(Bills!L610,"AAAAAH/8dNE=")</f>
        <v>#VALUE!</v>
      </c>
      <c r="HC153" t="e">
        <f>AND(Bills!#REF!,"AAAAAH/8dNI=")</f>
        <v>#REF!</v>
      </c>
      <c r="HD153" t="e">
        <f>AND(Bills!M610,"AAAAAH/8dNM=")</f>
        <v>#VALUE!</v>
      </c>
      <c r="HE153" t="e">
        <f>AND(Bills!N610,"AAAAAH/8dNQ=")</f>
        <v>#VALUE!</v>
      </c>
      <c r="HF153" t="e">
        <f>AND(Bills!O610,"AAAAAH/8dNU=")</f>
        <v>#VALUE!</v>
      </c>
      <c r="HG153" t="e">
        <f>AND(Bills!P610,"AAAAAH/8dNY=")</f>
        <v>#VALUE!</v>
      </c>
      <c r="HH153" t="e">
        <f>AND(Bills!Q610,"AAAAAH/8dNc=")</f>
        <v>#VALUE!</v>
      </c>
      <c r="HI153" t="e">
        <f>AND(Bills!R610,"AAAAAH/8dNg=")</f>
        <v>#VALUE!</v>
      </c>
      <c r="HJ153" t="e">
        <f>AND(Bills!S610,"AAAAAH/8dNk=")</f>
        <v>#VALUE!</v>
      </c>
      <c r="HK153" t="e">
        <f>AND(Bills!T610,"AAAAAH/8dNo=")</f>
        <v>#VALUE!</v>
      </c>
      <c r="HL153" t="e">
        <f>AND(Bills!#REF!,"AAAAAH/8dNs=")</f>
        <v>#REF!</v>
      </c>
      <c r="HM153" t="e">
        <f>AND(Bills!U610,"AAAAAH/8dNw=")</f>
        <v>#VALUE!</v>
      </c>
      <c r="HN153" t="e">
        <f>AND(Bills!V610,"AAAAAH/8dN0=")</f>
        <v>#VALUE!</v>
      </c>
      <c r="HO153" t="e">
        <f>AND(Bills!W610,"AAAAAH/8dN4=")</f>
        <v>#VALUE!</v>
      </c>
      <c r="HP153" t="e">
        <f>AND(Bills!#REF!,"AAAAAH/8dN8=")</f>
        <v>#REF!</v>
      </c>
      <c r="HQ153" t="e">
        <f>AND(Bills!#REF!,"AAAAAH/8dOA=")</f>
        <v>#REF!</v>
      </c>
      <c r="HR153" t="e">
        <f>AND(Bills!Y610,"AAAAAH/8dOE=")</f>
        <v>#VALUE!</v>
      </c>
      <c r="HS153" t="e">
        <f>AND(Bills!Z610,"AAAAAH/8dOI=")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AND(Bills!AA610,"AAAAAH/8dOw=")</f>
        <v>#VALUE!</v>
      </c>
      <c r="ID153" t="e">
        <f>AND(Bills!AB610,"AAAAAH/8dO0=")</f>
        <v>#VALUE!</v>
      </c>
      <c r="IE153" t="e">
        <f>AND(Bills!#REF!,"AAAAAH/8dO4=")</f>
        <v>#REF!</v>
      </c>
      <c r="IF153" t="e">
        <f>AND(Bills!#REF!,"AAAAAH/8dO8=")</f>
        <v>#REF!</v>
      </c>
      <c r="IG153" t="e">
        <f>AND(Bills!#REF!,"AAAAAH/8dPA=")</f>
        <v>#REF!</v>
      </c>
      <c r="IH153" t="e">
        <f>AND(Bills!AC610,"AAAAAH/8dPE=")</f>
        <v>#VALUE!</v>
      </c>
      <c r="II153" t="e">
        <f>AND(Bills!AD610,"AAAAAH/8dPI=")</f>
        <v>#VALUE!</v>
      </c>
      <c r="IJ153" t="e">
        <f>AND(Bills!#REF!,"AAAAAH/8dPM=")</f>
        <v>#REF!</v>
      </c>
      <c r="IK153">
        <f>IF(Bills!611:611,"AAAAAH/8dPQ=",0)</f>
        <v>0</v>
      </c>
      <c r="IL153" t="e">
        <f>AND(Bills!B611,"AAAAAH/8dPU=")</f>
        <v>#VALUE!</v>
      </c>
      <c r="IM153" t="e">
        <f>AND(Bills!#REF!,"AAAAAH/8dPY=")</f>
        <v>#REF!</v>
      </c>
      <c r="IN153" t="e">
        <f>AND(Bills!C611,"AAAAAH/8dPc=")</f>
        <v>#VALUE!</v>
      </c>
      <c r="IO153" t="e">
        <f>AND(Bills!D611,"AAAAAH/8dPg=")</f>
        <v>#VALUE!</v>
      </c>
      <c r="IP153" t="e">
        <f>AND(Bills!E611,"AAAAAH/8dPk=")</f>
        <v>#VALUE!</v>
      </c>
      <c r="IQ153" t="e">
        <f>AND(Bills!#REF!,"AAAAAH/8dPo=")</f>
        <v>#REF!</v>
      </c>
      <c r="IR153" t="e">
        <f>AND(Bills!#REF!,"AAAAAH/8dPs=")</f>
        <v>#REF!</v>
      </c>
      <c r="IS153" t="e">
        <f>AND(Bills!#REF!,"AAAAAH/8dPw=")</f>
        <v>#REF!</v>
      </c>
      <c r="IT153" t="e">
        <f>AND(Bills!F611,"AAAAAH/8dP0=")</f>
        <v>#VALUE!</v>
      </c>
      <c r="IU153" t="e">
        <f>AND(Bills!#REF!,"AAAAAH/8dP4=")</f>
        <v>#REF!</v>
      </c>
      <c r="IV153" t="e">
        <f>AND(Bills!G611,"AAAAAH/8dP8=")</f>
        <v>#VALUE!</v>
      </c>
    </row>
    <row r="154" spans="1:256">
      <c r="A154" t="e">
        <f>AND(Bills!H611,"AAAAAFGzPgA=")</f>
        <v>#VALUE!</v>
      </c>
      <c r="B154" t="e">
        <f>AND(Bills!I611,"AAAAAFGzPgE=")</f>
        <v>#VALUE!</v>
      </c>
      <c r="C154" t="e">
        <f>AND(Bills!J611,"AAAAAFGzPgI=")</f>
        <v>#VALUE!</v>
      </c>
      <c r="D154" t="e">
        <f>AND(Bills!K611,"AAAAAFGzPgM=")</f>
        <v>#VALUE!</v>
      </c>
      <c r="E154" t="e">
        <f>AND(Bills!L611,"AAAAAFGzPgQ=")</f>
        <v>#VALUE!</v>
      </c>
      <c r="F154" t="e">
        <f>AND(Bills!#REF!,"AAAAAFGzPgU=")</f>
        <v>#REF!</v>
      </c>
      <c r="G154" t="e">
        <f>AND(Bills!M611,"AAAAAFGzPgY=")</f>
        <v>#VALUE!</v>
      </c>
      <c r="H154" t="e">
        <f>AND(Bills!N611,"AAAAAFGzPgc=")</f>
        <v>#VALUE!</v>
      </c>
      <c r="I154" t="e">
        <f>AND(Bills!O611,"AAAAAFGzPgg=")</f>
        <v>#VALUE!</v>
      </c>
      <c r="J154" t="e">
        <f>AND(Bills!P611,"AAAAAFGzPgk=")</f>
        <v>#VALUE!</v>
      </c>
      <c r="K154" t="e">
        <f>AND(Bills!Q611,"AAAAAFGzPgo=")</f>
        <v>#VALUE!</v>
      </c>
      <c r="L154" t="e">
        <f>AND(Bills!R611,"AAAAAFGzPgs=")</f>
        <v>#VALUE!</v>
      </c>
      <c r="M154" t="e">
        <f>AND(Bills!S611,"AAAAAFGzPgw=")</f>
        <v>#VALUE!</v>
      </c>
      <c r="N154" t="e">
        <f>AND(Bills!T611,"AAAAAFGzPg0=")</f>
        <v>#VALUE!</v>
      </c>
      <c r="O154" t="e">
        <f>AND(Bills!#REF!,"AAAAAFGzPg4=")</f>
        <v>#REF!</v>
      </c>
      <c r="P154" t="e">
        <f>AND(Bills!U611,"AAAAAFGzPg8=")</f>
        <v>#VALUE!</v>
      </c>
      <c r="Q154" t="e">
        <f>AND(Bills!V611,"AAAAAFGzPhA=")</f>
        <v>#VALUE!</v>
      </c>
      <c r="R154" t="e">
        <f>AND(Bills!W611,"AAAAAFGzPhE=")</f>
        <v>#VALUE!</v>
      </c>
      <c r="S154" t="e">
        <f>AND(Bills!#REF!,"AAAAAFGzPhI=")</f>
        <v>#REF!</v>
      </c>
      <c r="T154" t="e">
        <f>AND(Bills!#REF!,"AAAAAFGzPhM=")</f>
        <v>#REF!</v>
      </c>
      <c r="U154" t="e">
        <f>AND(Bills!Y611,"AAAAAFGzPhQ=")</f>
        <v>#VALUE!</v>
      </c>
      <c r="V154" t="e">
        <f>AND(Bills!Z611,"AAAAAFGzPhU=")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AND(Bills!AA611,"AAAAAFGzPh8=")</f>
        <v>#VALUE!</v>
      </c>
      <c r="AG154" t="e">
        <f>AND(Bills!AB611,"AAAAAFGzPiA=")</f>
        <v>#VALUE!</v>
      </c>
      <c r="AH154" t="e">
        <f>AND(Bills!#REF!,"AAAAAFGzPiE=")</f>
        <v>#REF!</v>
      </c>
      <c r="AI154" t="e">
        <f>AND(Bills!#REF!,"AAAAAFGzPiI=")</f>
        <v>#REF!</v>
      </c>
      <c r="AJ154" t="e">
        <f>AND(Bills!#REF!,"AAAAAFGzPiM=")</f>
        <v>#REF!</v>
      </c>
      <c r="AK154" t="e">
        <f>AND(Bills!AC611,"AAAAAFGzPiQ=")</f>
        <v>#VALUE!</v>
      </c>
      <c r="AL154" t="e">
        <f>AND(Bills!AD611,"AAAAAFGzPiU=")</f>
        <v>#VALUE!</v>
      </c>
      <c r="AM154" t="e">
        <f>AND(Bills!#REF!,"AAAAAFGzPiY=")</f>
        <v>#REF!</v>
      </c>
      <c r="AN154">
        <f>IF(Bills!612:612,"AAAAAFGzPic=",0)</f>
        <v>0</v>
      </c>
      <c r="AO154" t="e">
        <f>AND(Bills!B612,"AAAAAFGzPig=")</f>
        <v>#VALUE!</v>
      </c>
      <c r="AP154" t="e">
        <f>AND(Bills!#REF!,"AAAAAFGzPik=")</f>
        <v>#REF!</v>
      </c>
      <c r="AQ154" t="e">
        <f>AND(Bills!C612,"AAAAAFGzPio=")</f>
        <v>#VALUE!</v>
      </c>
      <c r="AR154" t="e">
        <f>AND(Bills!D612,"AAAAAFGzPis=")</f>
        <v>#VALUE!</v>
      </c>
      <c r="AS154" t="e">
        <f>AND(Bills!E612,"AAAAAFGzPiw=")</f>
        <v>#VALUE!</v>
      </c>
      <c r="AT154" t="e">
        <f>AND(Bills!#REF!,"AAAAAFGzPi0=")</f>
        <v>#REF!</v>
      </c>
      <c r="AU154" t="e">
        <f>AND(Bills!#REF!,"AAAAAFGzPi4=")</f>
        <v>#REF!</v>
      </c>
      <c r="AV154" t="e">
        <f>AND(Bills!#REF!,"AAAAAFGzPi8=")</f>
        <v>#REF!</v>
      </c>
      <c r="AW154" t="e">
        <f>AND(Bills!F612,"AAAAAFGzPjA=")</f>
        <v>#VALUE!</v>
      </c>
      <c r="AX154" t="e">
        <f>AND(Bills!#REF!,"AAAAAFGzPjE=")</f>
        <v>#REF!</v>
      </c>
      <c r="AY154" t="e">
        <f>AND(Bills!G612,"AAAAAFGzPjI=")</f>
        <v>#VALUE!</v>
      </c>
      <c r="AZ154" t="e">
        <f>AND(Bills!H612,"AAAAAFGzPjM=")</f>
        <v>#VALUE!</v>
      </c>
      <c r="BA154" t="e">
        <f>AND(Bills!I612,"AAAAAFGzPjQ=")</f>
        <v>#VALUE!</v>
      </c>
      <c r="BB154" t="e">
        <f>AND(Bills!J612,"AAAAAFGzPjU=")</f>
        <v>#VALUE!</v>
      </c>
      <c r="BC154" t="e">
        <f>AND(Bills!K612,"AAAAAFGzPjY=")</f>
        <v>#VALUE!</v>
      </c>
      <c r="BD154" t="e">
        <f>AND(Bills!L612,"AAAAAFGzPjc=")</f>
        <v>#VALUE!</v>
      </c>
      <c r="BE154" t="e">
        <f>AND(Bills!#REF!,"AAAAAFGzPjg=")</f>
        <v>#REF!</v>
      </c>
      <c r="BF154" t="e">
        <f>AND(Bills!M612,"AAAAAFGzPjk=")</f>
        <v>#VALUE!</v>
      </c>
      <c r="BG154" t="e">
        <f>AND(Bills!N612,"AAAAAFGzPjo=")</f>
        <v>#VALUE!</v>
      </c>
      <c r="BH154" t="e">
        <f>AND(Bills!O612,"AAAAAFGzPjs=")</f>
        <v>#VALUE!</v>
      </c>
      <c r="BI154" t="e">
        <f>AND(Bills!P612,"AAAAAFGzPjw=")</f>
        <v>#VALUE!</v>
      </c>
      <c r="BJ154" t="e">
        <f>AND(Bills!Q612,"AAAAAFGzPj0=")</f>
        <v>#VALUE!</v>
      </c>
      <c r="BK154" t="e">
        <f>AND(Bills!R612,"AAAAAFGzPj4=")</f>
        <v>#VALUE!</v>
      </c>
      <c r="BL154" t="e">
        <f>AND(Bills!S612,"AAAAAFGzPj8=")</f>
        <v>#VALUE!</v>
      </c>
      <c r="BM154" t="e">
        <f>AND(Bills!T612,"AAAAAFGzPkA=")</f>
        <v>#VALUE!</v>
      </c>
      <c r="BN154" t="e">
        <f>AND(Bills!#REF!,"AAAAAFGzPkE=")</f>
        <v>#REF!</v>
      </c>
      <c r="BO154" t="e">
        <f>AND(Bills!U612,"AAAAAFGzPkI=")</f>
        <v>#VALUE!</v>
      </c>
      <c r="BP154" t="e">
        <f>AND(Bills!V612,"AAAAAFGzPkM=")</f>
        <v>#VALUE!</v>
      </c>
      <c r="BQ154" t="e">
        <f>AND(Bills!W612,"AAAAAFGzPkQ=")</f>
        <v>#VALUE!</v>
      </c>
      <c r="BR154" t="e">
        <f>AND(Bills!#REF!,"AAAAAFGzPkU=")</f>
        <v>#REF!</v>
      </c>
      <c r="BS154" t="e">
        <f>AND(Bills!#REF!,"AAAAAFGzPkY=")</f>
        <v>#REF!</v>
      </c>
      <c r="BT154" t="e">
        <f>AND(Bills!Y612,"AAAAAFGzPkc=")</f>
        <v>#VALUE!</v>
      </c>
      <c r="BU154" t="e">
        <f>AND(Bills!Z612,"AAAAAFGzPkg=")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AND(Bills!AA612,"AAAAAFGzPlI=")</f>
        <v>#VALUE!</v>
      </c>
      <c r="CF154" t="e">
        <f>AND(Bills!AB612,"AAAAAFGzPlM=")</f>
        <v>#VALUE!</v>
      </c>
      <c r="CG154" t="e">
        <f>AND(Bills!#REF!,"AAAAAFGzPlQ=")</f>
        <v>#REF!</v>
      </c>
      <c r="CH154" t="e">
        <f>AND(Bills!#REF!,"AAAAAFGzPlU=")</f>
        <v>#REF!</v>
      </c>
      <c r="CI154" t="e">
        <f>AND(Bills!#REF!,"AAAAAFGzPlY=")</f>
        <v>#REF!</v>
      </c>
      <c r="CJ154" t="e">
        <f>AND(Bills!AC612,"AAAAAFGzPlc=")</f>
        <v>#VALUE!</v>
      </c>
      <c r="CK154" t="e">
        <f>AND(Bills!AD612,"AAAAAFGzPlg=")</f>
        <v>#VALUE!</v>
      </c>
      <c r="CL154" t="e">
        <f>AND(Bills!#REF!,"AAAAAFGzPlk=")</f>
        <v>#REF!</v>
      </c>
      <c r="CM154">
        <f>IF(Bills!613:613,"AAAAAFGzPlo=",0)</f>
        <v>0</v>
      </c>
      <c r="CN154" t="e">
        <f>AND(Bills!B613,"AAAAAFGzPls=")</f>
        <v>#VALUE!</v>
      </c>
      <c r="CO154" t="e">
        <f>AND(Bills!#REF!,"AAAAAFGzPlw=")</f>
        <v>#REF!</v>
      </c>
      <c r="CP154" t="e">
        <f>AND(Bills!C613,"AAAAAFGzPl0=")</f>
        <v>#VALUE!</v>
      </c>
      <c r="CQ154" t="e">
        <f>AND(Bills!D613,"AAAAAFGzPl4=")</f>
        <v>#VALUE!</v>
      </c>
      <c r="CR154" t="e">
        <f>AND(Bills!E613,"AAAAAFGzPl8=")</f>
        <v>#VALUE!</v>
      </c>
      <c r="CS154" t="e">
        <f>AND(Bills!#REF!,"AAAAAFGzPmA=")</f>
        <v>#REF!</v>
      </c>
      <c r="CT154" t="e">
        <f>AND(Bills!#REF!,"AAAAAFGzPmE=")</f>
        <v>#REF!</v>
      </c>
      <c r="CU154" t="e">
        <f>AND(Bills!#REF!,"AAAAAFGzPmI=")</f>
        <v>#REF!</v>
      </c>
      <c r="CV154" t="e">
        <f>AND(Bills!F613,"AAAAAFGzPmM=")</f>
        <v>#VALUE!</v>
      </c>
      <c r="CW154" t="e">
        <f>AND(Bills!#REF!,"AAAAAFGzPmQ=")</f>
        <v>#REF!</v>
      </c>
      <c r="CX154" t="e">
        <f>AND(Bills!G613,"AAAAAFGzPmU=")</f>
        <v>#VALUE!</v>
      </c>
      <c r="CY154" t="e">
        <f>AND(Bills!H613,"AAAAAFGzPmY=")</f>
        <v>#VALUE!</v>
      </c>
      <c r="CZ154" t="e">
        <f>AND(Bills!I613,"AAAAAFGzPmc=")</f>
        <v>#VALUE!</v>
      </c>
      <c r="DA154" t="e">
        <f>AND(Bills!J613,"AAAAAFGzPmg=")</f>
        <v>#VALUE!</v>
      </c>
      <c r="DB154" t="e">
        <f>AND(Bills!K613,"AAAAAFGzPmk=")</f>
        <v>#VALUE!</v>
      </c>
      <c r="DC154" t="e">
        <f>AND(Bills!L613,"AAAAAFGzPmo=")</f>
        <v>#VALUE!</v>
      </c>
      <c r="DD154" t="e">
        <f>AND(Bills!#REF!,"AAAAAFGzPms=")</f>
        <v>#REF!</v>
      </c>
      <c r="DE154" t="e">
        <f>AND(Bills!M613,"AAAAAFGzPmw=")</f>
        <v>#VALUE!</v>
      </c>
      <c r="DF154" t="e">
        <f>AND(Bills!N613,"AAAAAFGzPm0=")</f>
        <v>#VALUE!</v>
      </c>
      <c r="DG154" t="e">
        <f>AND(Bills!O613,"AAAAAFGzPm4=")</f>
        <v>#VALUE!</v>
      </c>
      <c r="DH154" t="e">
        <f>AND(Bills!P613,"AAAAAFGzPm8=")</f>
        <v>#VALUE!</v>
      </c>
      <c r="DI154" t="e">
        <f>AND(Bills!Q613,"AAAAAFGzPnA=")</f>
        <v>#VALUE!</v>
      </c>
      <c r="DJ154" t="e">
        <f>AND(Bills!R613,"AAAAAFGzPnE=")</f>
        <v>#VALUE!</v>
      </c>
      <c r="DK154" t="e">
        <f>AND(Bills!S613,"AAAAAFGzPnI=")</f>
        <v>#VALUE!</v>
      </c>
      <c r="DL154" t="e">
        <f>AND(Bills!T613,"AAAAAFGzPnM=")</f>
        <v>#VALUE!</v>
      </c>
      <c r="DM154" t="e">
        <f>AND(Bills!#REF!,"AAAAAFGzPnQ=")</f>
        <v>#REF!</v>
      </c>
      <c r="DN154" t="e">
        <f>AND(Bills!U613,"AAAAAFGzPnU=")</f>
        <v>#VALUE!</v>
      </c>
      <c r="DO154" t="e">
        <f>AND(Bills!V613,"AAAAAFGzPnY=")</f>
        <v>#VALUE!</v>
      </c>
      <c r="DP154" t="e">
        <f>AND(Bills!W613,"AAAAAFGzPnc=")</f>
        <v>#VALUE!</v>
      </c>
      <c r="DQ154" t="e">
        <f>AND(Bills!#REF!,"AAAAAFGzPng=")</f>
        <v>#REF!</v>
      </c>
      <c r="DR154" t="e">
        <f>AND(Bills!#REF!,"AAAAAFGzPnk=")</f>
        <v>#REF!</v>
      </c>
      <c r="DS154" t="e">
        <f>AND(Bills!Y613,"AAAAAFGzPno=")</f>
        <v>#VALUE!</v>
      </c>
      <c r="DT154" t="e">
        <f>AND(Bills!Z613,"AAAAAFGzPns=")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AND(Bills!AA613,"AAAAAFGzPoU=")</f>
        <v>#VALUE!</v>
      </c>
      <c r="EE154" t="e">
        <f>AND(Bills!AB613,"AAAAAFGzPoY=")</f>
        <v>#VALUE!</v>
      </c>
      <c r="EF154" t="e">
        <f>AND(Bills!#REF!,"AAAAAFGzPoc=")</f>
        <v>#REF!</v>
      </c>
      <c r="EG154" t="e">
        <f>AND(Bills!#REF!,"AAAAAFGzPog=")</f>
        <v>#REF!</v>
      </c>
      <c r="EH154" t="e">
        <f>AND(Bills!#REF!,"AAAAAFGzPok=")</f>
        <v>#REF!</v>
      </c>
      <c r="EI154" t="e">
        <f>AND(Bills!AC613,"AAAAAFGzPoo=")</f>
        <v>#VALUE!</v>
      </c>
      <c r="EJ154" t="e">
        <f>AND(Bills!AD613,"AAAAAFGzPos=")</f>
        <v>#VALUE!</v>
      </c>
      <c r="EK154" t="e">
        <f>AND(Bills!#REF!,"AAAAAFGzPow=")</f>
        <v>#REF!</v>
      </c>
      <c r="EL154">
        <f>IF(Bills!614:614,"AAAAAFGzPo0=",0)</f>
        <v>0</v>
      </c>
      <c r="EM154" t="e">
        <f>AND(Bills!B614,"AAAAAFGzPo4=")</f>
        <v>#VALUE!</v>
      </c>
      <c r="EN154" t="e">
        <f>AND(Bills!#REF!,"AAAAAFGzPo8=")</f>
        <v>#REF!</v>
      </c>
      <c r="EO154" t="e">
        <f>AND(Bills!C614,"AAAAAFGzPpA=")</f>
        <v>#VALUE!</v>
      </c>
      <c r="EP154" t="e">
        <f>AND(Bills!D614,"AAAAAFGzPpE=")</f>
        <v>#VALUE!</v>
      </c>
      <c r="EQ154" t="e">
        <f>AND(Bills!E614,"AAAAAFGzPpI=")</f>
        <v>#VALUE!</v>
      </c>
      <c r="ER154" t="e">
        <f>AND(Bills!#REF!,"AAAAAFGzPpM=")</f>
        <v>#REF!</v>
      </c>
      <c r="ES154" t="e">
        <f>AND(Bills!#REF!,"AAAAAFGzPpQ=")</f>
        <v>#REF!</v>
      </c>
      <c r="ET154" t="e">
        <f>AND(Bills!#REF!,"AAAAAFGzPpU=")</f>
        <v>#REF!</v>
      </c>
      <c r="EU154" t="e">
        <f>AND(Bills!F614,"AAAAAFGzPpY=")</f>
        <v>#VALUE!</v>
      </c>
      <c r="EV154" t="e">
        <f>AND(Bills!#REF!,"AAAAAFGzPpc=")</f>
        <v>#REF!</v>
      </c>
      <c r="EW154" t="e">
        <f>AND(Bills!G614,"AAAAAFGzPpg=")</f>
        <v>#VALUE!</v>
      </c>
      <c r="EX154" t="e">
        <f>AND(Bills!H614,"AAAAAFGzPpk=")</f>
        <v>#VALUE!</v>
      </c>
      <c r="EY154" t="e">
        <f>AND(Bills!I614,"AAAAAFGzPpo=")</f>
        <v>#VALUE!</v>
      </c>
      <c r="EZ154" t="e">
        <f>AND(Bills!J614,"AAAAAFGzPps=")</f>
        <v>#VALUE!</v>
      </c>
      <c r="FA154" t="e">
        <f>AND(Bills!K614,"AAAAAFGzPpw=")</f>
        <v>#VALUE!</v>
      </c>
      <c r="FB154" t="e">
        <f>AND(Bills!L614,"AAAAAFGzPp0=")</f>
        <v>#VALUE!</v>
      </c>
      <c r="FC154" t="e">
        <f>AND(Bills!#REF!,"AAAAAFGzPp4=")</f>
        <v>#REF!</v>
      </c>
      <c r="FD154" t="e">
        <f>AND(Bills!M614,"AAAAAFGzPp8=")</f>
        <v>#VALUE!</v>
      </c>
      <c r="FE154" t="e">
        <f>AND(Bills!N614,"AAAAAFGzPqA=")</f>
        <v>#VALUE!</v>
      </c>
      <c r="FF154" t="e">
        <f>AND(Bills!O614,"AAAAAFGzPqE=")</f>
        <v>#VALUE!</v>
      </c>
      <c r="FG154" t="e">
        <f>AND(Bills!P614,"AAAAAFGzPqI=")</f>
        <v>#VALUE!</v>
      </c>
      <c r="FH154" t="e">
        <f>AND(Bills!Q614,"AAAAAFGzPqM=")</f>
        <v>#VALUE!</v>
      </c>
      <c r="FI154" t="e">
        <f>AND(Bills!R614,"AAAAAFGzPqQ=")</f>
        <v>#VALUE!</v>
      </c>
      <c r="FJ154" t="e">
        <f>AND(Bills!S614,"AAAAAFGzPqU=")</f>
        <v>#VALUE!</v>
      </c>
      <c r="FK154" t="e">
        <f>AND(Bills!T614,"AAAAAFGzPqY=")</f>
        <v>#VALUE!</v>
      </c>
      <c r="FL154" t="e">
        <f>AND(Bills!#REF!,"AAAAAFGzPqc=")</f>
        <v>#REF!</v>
      </c>
      <c r="FM154" t="e">
        <f>AND(Bills!U614,"AAAAAFGzPqg=")</f>
        <v>#VALUE!</v>
      </c>
      <c r="FN154" t="e">
        <f>AND(Bills!V614,"AAAAAFGzPqk=")</f>
        <v>#VALUE!</v>
      </c>
      <c r="FO154" t="e">
        <f>AND(Bills!W614,"AAAAAFGzPqo=")</f>
        <v>#VALUE!</v>
      </c>
      <c r="FP154" t="e">
        <f>AND(Bills!#REF!,"AAAAAFGzPqs=")</f>
        <v>#REF!</v>
      </c>
      <c r="FQ154" t="e">
        <f>AND(Bills!#REF!,"AAAAAFGzPqw=")</f>
        <v>#REF!</v>
      </c>
      <c r="FR154" t="e">
        <f>AND(Bills!Y614,"AAAAAFGzPq0=")</f>
        <v>#VALUE!</v>
      </c>
      <c r="FS154" t="e">
        <f>AND(Bills!Z614,"AAAAAFGzPq4=")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AND(Bills!AA614,"AAAAAFGzPrg=")</f>
        <v>#VALUE!</v>
      </c>
      <c r="GD154" t="e">
        <f>AND(Bills!AB614,"AAAAAFGzPrk=")</f>
        <v>#VALUE!</v>
      </c>
      <c r="GE154" t="e">
        <f>AND(Bills!#REF!,"AAAAAFGzPro=")</f>
        <v>#REF!</v>
      </c>
      <c r="GF154" t="e">
        <f>AND(Bills!#REF!,"AAAAAFGzPrs=")</f>
        <v>#REF!</v>
      </c>
      <c r="GG154" t="e">
        <f>AND(Bills!#REF!,"AAAAAFGzPrw=")</f>
        <v>#REF!</v>
      </c>
      <c r="GH154" t="e">
        <f>AND(Bills!AC614,"AAAAAFGzPr0=")</f>
        <v>#VALUE!</v>
      </c>
      <c r="GI154" t="e">
        <f>AND(Bills!AD614,"AAAAAFGzPr4=")</f>
        <v>#VALUE!</v>
      </c>
      <c r="GJ154" t="e">
        <f>AND(Bills!#REF!,"AAAAAFGzPr8=")</f>
        <v>#REF!</v>
      </c>
      <c r="GK154">
        <f>IF(Bills!615:615,"AAAAAFGzPsA=",0)</f>
        <v>0</v>
      </c>
      <c r="GL154" t="e">
        <f>AND(Bills!B615,"AAAAAFGzPsE=")</f>
        <v>#VALUE!</v>
      </c>
      <c r="GM154" t="e">
        <f>AND(Bills!#REF!,"AAAAAFGzPsI=")</f>
        <v>#REF!</v>
      </c>
      <c r="GN154" t="e">
        <f>AND(Bills!C615,"AAAAAFGzPsM=")</f>
        <v>#VALUE!</v>
      </c>
      <c r="GO154" t="e">
        <f>AND(Bills!D615,"AAAAAFGzPsQ=")</f>
        <v>#VALUE!</v>
      </c>
      <c r="GP154" t="e">
        <f>AND(Bills!E615,"AAAAAFGzPsU=")</f>
        <v>#VALUE!</v>
      </c>
      <c r="GQ154" t="e">
        <f>AND(Bills!#REF!,"AAAAAFGzPsY=")</f>
        <v>#REF!</v>
      </c>
      <c r="GR154" t="e">
        <f>AND(Bills!#REF!,"AAAAAFGzPsc=")</f>
        <v>#REF!</v>
      </c>
      <c r="GS154" t="e">
        <f>AND(Bills!#REF!,"AAAAAFGzPsg=")</f>
        <v>#REF!</v>
      </c>
      <c r="GT154" t="e">
        <f>AND(Bills!F615,"AAAAAFGzPsk=")</f>
        <v>#VALUE!</v>
      </c>
      <c r="GU154" t="e">
        <f>AND(Bills!#REF!,"AAAAAFGzPso=")</f>
        <v>#REF!</v>
      </c>
      <c r="GV154" t="e">
        <f>AND(Bills!G615,"AAAAAFGzPss=")</f>
        <v>#VALUE!</v>
      </c>
      <c r="GW154" t="e">
        <f>AND(Bills!H615,"AAAAAFGzPsw=")</f>
        <v>#VALUE!</v>
      </c>
      <c r="GX154" t="e">
        <f>AND(Bills!I615,"AAAAAFGzPs0=")</f>
        <v>#VALUE!</v>
      </c>
      <c r="GY154" t="e">
        <f>AND(Bills!J615,"AAAAAFGzPs4=")</f>
        <v>#VALUE!</v>
      </c>
      <c r="GZ154" t="e">
        <f>AND(Bills!K615,"AAAAAFGzPs8=")</f>
        <v>#VALUE!</v>
      </c>
      <c r="HA154" t="e">
        <f>AND(Bills!L615,"AAAAAFGzPtA=")</f>
        <v>#VALUE!</v>
      </c>
      <c r="HB154" t="e">
        <f>AND(Bills!#REF!,"AAAAAFGzPtE=")</f>
        <v>#REF!</v>
      </c>
      <c r="HC154" t="e">
        <f>AND(Bills!M615,"AAAAAFGzPtI=")</f>
        <v>#VALUE!</v>
      </c>
      <c r="HD154" t="e">
        <f>AND(Bills!N615,"AAAAAFGzPtM=")</f>
        <v>#VALUE!</v>
      </c>
      <c r="HE154" t="e">
        <f>AND(Bills!O615,"AAAAAFGzPtQ=")</f>
        <v>#VALUE!</v>
      </c>
      <c r="HF154" t="e">
        <f>AND(Bills!P615,"AAAAAFGzPtU=")</f>
        <v>#VALUE!</v>
      </c>
      <c r="HG154" t="e">
        <f>AND(Bills!Q615,"AAAAAFGzPtY=")</f>
        <v>#VALUE!</v>
      </c>
      <c r="HH154" t="e">
        <f>AND(Bills!R615,"AAAAAFGzPtc=")</f>
        <v>#VALUE!</v>
      </c>
      <c r="HI154" t="e">
        <f>AND(Bills!S615,"AAAAAFGzPtg=")</f>
        <v>#VALUE!</v>
      </c>
      <c r="HJ154" t="e">
        <f>AND(Bills!T615,"AAAAAFGzPtk=")</f>
        <v>#VALUE!</v>
      </c>
      <c r="HK154" t="e">
        <f>AND(Bills!#REF!,"AAAAAFGzPto=")</f>
        <v>#REF!</v>
      </c>
      <c r="HL154" t="e">
        <f>AND(Bills!U615,"AAAAAFGzPts=")</f>
        <v>#VALUE!</v>
      </c>
      <c r="HM154" t="e">
        <f>AND(Bills!V615,"AAAAAFGzPtw=")</f>
        <v>#VALUE!</v>
      </c>
      <c r="HN154" t="e">
        <f>AND(Bills!W615,"AAAAAFGzPt0=")</f>
        <v>#VALUE!</v>
      </c>
      <c r="HO154" t="e">
        <f>AND(Bills!#REF!,"AAAAAFGzPt4=")</f>
        <v>#REF!</v>
      </c>
      <c r="HP154" t="e">
        <f>AND(Bills!#REF!,"AAAAAFGzPt8=")</f>
        <v>#REF!</v>
      </c>
      <c r="HQ154" t="e">
        <f>AND(Bills!Y615,"AAAAAFGzPuA=")</f>
        <v>#VALUE!</v>
      </c>
      <c r="HR154" t="e">
        <f>AND(Bills!Z615,"AAAAAFGzPuE=")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AND(Bills!AA615,"AAAAAFGzPus=")</f>
        <v>#VALUE!</v>
      </c>
      <c r="IC154" t="e">
        <f>AND(Bills!AB615,"AAAAAFGzPuw=")</f>
        <v>#VALUE!</v>
      </c>
      <c r="ID154" t="e">
        <f>AND(Bills!#REF!,"AAAAAFGzPu0=")</f>
        <v>#REF!</v>
      </c>
      <c r="IE154" t="e">
        <f>AND(Bills!#REF!,"AAAAAFGzPu4=")</f>
        <v>#REF!</v>
      </c>
      <c r="IF154" t="e">
        <f>AND(Bills!#REF!,"AAAAAFGzPu8=")</f>
        <v>#REF!</v>
      </c>
      <c r="IG154" t="e">
        <f>AND(Bills!AC615,"AAAAAFGzPvA=")</f>
        <v>#VALUE!</v>
      </c>
      <c r="IH154" t="e">
        <f>AND(Bills!AD615,"AAAAAFGzPvE=")</f>
        <v>#VALUE!</v>
      </c>
      <c r="II154" t="e">
        <f>AND(Bills!#REF!,"AAAAAFGzPvI=")</f>
        <v>#REF!</v>
      </c>
      <c r="IJ154">
        <f>IF(Bills!616:616,"AAAAAFGzPvM=",0)</f>
        <v>0</v>
      </c>
      <c r="IK154" t="e">
        <f>AND(Bills!B616,"AAAAAFGzPvQ=")</f>
        <v>#VALUE!</v>
      </c>
      <c r="IL154" t="e">
        <f>AND(Bills!#REF!,"AAAAAFGzPvU=")</f>
        <v>#REF!</v>
      </c>
      <c r="IM154" t="e">
        <f>AND(Bills!C616,"AAAAAFGzPvY=")</f>
        <v>#VALUE!</v>
      </c>
      <c r="IN154" t="e">
        <f>AND(Bills!D616,"AAAAAFGzPvc=")</f>
        <v>#VALUE!</v>
      </c>
      <c r="IO154" t="e">
        <f>AND(Bills!E616,"AAAAAFGzPvg=")</f>
        <v>#VALUE!</v>
      </c>
      <c r="IP154" t="e">
        <f>AND(Bills!#REF!,"AAAAAFGzPvk=")</f>
        <v>#REF!</v>
      </c>
      <c r="IQ154" t="e">
        <f>AND(Bills!#REF!,"AAAAAFGzPvo=")</f>
        <v>#REF!</v>
      </c>
      <c r="IR154" t="e">
        <f>AND(Bills!#REF!,"AAAAAFGzPvs=")</f>
        <v>#REF!</v>
      </c>
      <c r="IS154" t="e">
        <f>AND(Bills!F616,"AAAAAFGzPvw=")</f>
        <v>#VALUE!</v>
      </c>
      <c r="IT154" t="e">
        <f>AND(Bills!#REF!,"AAAAAFGzPv0=")</f>
        <v>#REF!</v>
      </c>
      <c r="IU154" t="e">
        <f>AND(Bills!G616,"AAAAAFGzPv4=")</f>
        <v>#VALUE!</v>
      </c>
      <c r="IV154" t="e">
        <f>AND(Bills!H616,"AAAAAFGzPv8=")</f>
        <v>#VALUE!</v>
      </c>
    </row>
    <row r="155" spans="1:256">
      <c r="A155" t="e">
        <f>AND(Bills!I616,"AAAAAH/Z5wA=")</f>
        <v>#VALUE!</v>
      </c>
      <c r="B155" t="e">
        <f>AND(Bills!J616,"AAAAAH/Z5wE=")</f>
        <v>#VALUE!</v>
      </c>
      <c r="C155" t="e">
        <f>AND(Bills!K616,"AAAAAH/Z5wI=")</f>
        <v>#VALUE!</v>
      </c>
      <c r="D155" t="e">
        <f>AND(Bills!L616,"AAAAAH/Z5wM=")</f>
        <v>#VALUE!</v>
      </c>
      <c r="E155" t="e">
        <f>AND(Bills!#REF!,"AAAAAH/Z5wQ=")</f>
        <v>#REF!</v>
      </c>
      <c r="F155" t="e">
        <f>AND(Bills!M616,"AAAAAH/Z5wU=")</f>
        <v>#VALUE!</v>
      </c>
      <c r="G155" t="e">
        <f>AND(Bills!N616,"AAAAAH/Z5wY=")</f>
        <v>#VALUE!</v>
      </c>
      <c r="H155" t="e">
        <f>AND(Bills!O616,"AAAAAH/Z5wc=")</f>
        <v>#VALUE!</v>
      </c>
      <c r="I155" t="e">
        <f>AND(Bills!P616,"AAAAAH/Z5wg=")</f>
        <v>#VALUE!</v>
      </c>
      <c r="J155" t="e">
        <f>AND(Bills!Q616,"AAAAAH/Z5wk=")</f>
        <v>#VALUE!</v>
      </c>
      <c r="K155" t="e">
        <f>AND(Bills!R616,"AAAAAH/Z5wo=")</f>
        <v>#VALUE!</v>
      </c>
      <c r="L155" t="e">
        <f>AND(Bills!S616,"AAAAAH/Z5ws=")</f>
        <v>#VALUE!</v>
      </c>
      <c r="M155" t="e">
        <f>AND(Bills!T616,"AAAAAH/Z5ww=")</f>
        <v>#VALUE!</v>
      </c>
      <c r="N155" t="e">
        <f>AND(Bills!#REF!,"AAAAAH/Z5w0=")</f>
        <v>#REF!</v>
      </c>
      <c r="O155" t="e">
        <f>AND(Bills!U616,"AAAAAH/Z5w4=")</f>
        <v>#VALUE!</v>
      </c>
      <c r="P155" t="e">
        <f>AND(Bills!V616,"AAAAAH/Z5w8=")</f>
        <v>#VALUE!</v>
      </c>
      <c r="Q155" t="e">
        <f>AND(Bills!W616,"AAAAAH/Z5xA=")</f>
        <v>#VALUE!</v>
      </c>
      <c r="R155" t="e">
        <f>AND(Bills!#REF!,"AAAAAH/Z5xE=")</f>
        <v>#REF!</v>
      </c>
      <c r="S155" t="e">
        <f>AND(Bills!#REF!,"AAAAAH/Z5xI=")</f>
        <v>#REF!</v>
      </c>
      <c r="T155" t="e">
        <f>AND(Bills!Y616,"AAAAAH/Z5xM=")</f>
        <v>#VALUE!</v>
      </c>
      <c r="U155" t="e">
        <f>AND(Bills!Z616,"AAAAAH/Z5xQ=")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AND(Bills!AA616,"AAAAAH/Z5x4=")</f>
        <v>#VALUE!</v>
      </c>
      <c r="AF155" t="e">
        <f>AND(Bills!AB616,"AAAAAH/Z5x8=")</f>
        <v>#VALUE!</v>
      </c>
      <c r="AG155" t="e">
        <f>AND(Bills!#REF!,"AAAAAH/Z5yA=")</f>
        <v>#REF!</v>
      </c>
      <c r="AH155" t="e">
        <f>AND(Bills!#REF!,"AAAAAH/Z5yE=")</f>
        <v>#REF!</v>
      </c>
      <c r="AI155" t="e">
        <f>AND(Bills!#REF!,"AAAAAH/Z5yI=")</f>
        <v>#REF!</v>
      </c>
      <c r="AJ155" t="e">
        <f>AND(Bills!AC616,"AAAAAH/Z5yM=")</f>
        <v>#VALUE!</v>
      </c>
      <c r="AK155" t="e">
        <f>AND(Bills!AD616,"AAAAAH/Z5yQ=")</f>
        <v>#VALUE!</v>
      </c>
      <c r="AL155" t="e">
        <f>AND(Bills!#REF!,"AAAAAH/Z5yU=")</f>
        <v>#REF!</v>
      </c>
      <c r="AM155">
        <f>IF(Bills!617:617,"AAAAAH/Z5yY=",0)</f>
        <v>0</v>
      </c>
      <c r="AN155" t="e">
        <f>AND(Bills!B617,"AAAAAH/Z5yc=")</f>
        <v>#VALUE!</v>
      </c>
      <c r="AO155" t="e">
        <f>AND(Bills!#REF!,"AAAAAH/Z5yg=")</f>
        <v>#REF!</v>
      </c>
      <c r="AP155" t="e">
        <f>AND(Bills!C617,"AAAAAH/Z5yk=")</f>
        <v>#VALUE!</v>
      </c>
      <c r="AQ155" t="e">
        <f>AND(Bills!D617,"AAAAAH/Z5yo=")</f>
        <v>#VALUE!</v>
      </c>
      <c r="AR155" t="e">
        <f>AND(Bills!E617,"AAAAAH/Z5ys=")</f>
        <v>#VALUE!</v>
      </c>
      <c r="AS155" t="e">
        <f>AND(Bills!#REF!,"AAAAAH/Z5yw=")</f>
        <v>#REF!</v>
      </c>
      <c r="AT155" t="e">
        <f>AND(Bills!#REF!,"AAAAAH/Z5y0=")</f>
        <v>#REF!</v>
      </c>
      <c r="AU155" t="e">
        <f>AND(Bills!#REF!,"AAAAAH/Z5y4=")</f>
        <v>#REF!</v>
      </c>
      <c r="AV155" t="e">
        <f>AND(Bills!F617,"AAAAAH/Z5y8=")</f>
        <v>#VALUE!</v>
      </c>
      <c r="AW155" t="e">
        <f>AND(Bills!#REF!,"AAAAAH/Z5zA=")</f>
        <v>#REF!</v>
      </c>
      <c r="AX155" t="e">
        <f>AND(Bills!G617,"AAAAAH/Z5zE=")</f>
        <v>#VALUE!</v>
      </c>
      <c r="AY155" t="e">
        <f>AND(Bills!H617,"AAAAAH/Z5zI=")</f>
        <v>#VALUE!</v>
      </c>
      <c r="AZ155" t="e">
        <f>AND(Bills!I617,"AAAAAH/Z5zM=")</f>
        <v>#VALUE!</v>
      </c>
      <c r="BA155" t="e">
        <f>AND(Bills!J617,"AAAAAH/Z5zQ=")</f>
        <v>#VALUE!</v>
      </c>
      <c r="BB155" t="e">
        <f>AND(Bills!K617,"AAAAAH/Z5zU=")</f>
        <v>#VALUE!</v>
      </c>
      <c r="BC155" t="e">
        <f>AND(Bills!L617,"AAAAAH/Z5zY=")</f>
        <v>#VALUE!</v>
      </c>
      <c r="BD155" t="e">
        <f>AND(Bills!#REF!,"AAAAAH/Z5zc=")</f>
        <v>#REF!</v>
      </c>
      <c r="BE155" t="e">
        <f>AND(Bills!M617,"AAAAAH/Z5zg=")</f>
        <v>#VALUE!</v>
      </c>
      <c r="BF155" t="e">
        <f>AND(Bills!N617,"AAAAAH/Z5zk=")</f>
        <v>#VALUE!</v>
      </c>
      <c r="BG155" t="e">
        <f>AND(Bills!O617,"AAAAAH/Z5zo=")</f>
        <v>#VALUE!</v>
      </c>
      <c r="BH155" t="e">
        <f>AND(Bills!P617,"AAAAAH/Z5zs=")</f>
        <v>#VALUE!</v>
      </c>
      <c r="BI155" t="e">
        <f>AND(Bills!Q617,"AAAAAH/Z5zw=")</f>
        <v>#VALUE!</v>
      </c>
      <c r="BJ155" t="e">
        <f>AND(Bills!R617,"AAAAAH/Z5z0=")</f>
        <v>#VALUE!</v>
      </c>
      <c r="BK155" t="e">
        <f>AND(Bills!S617,"AAAAAH/Z5z4=")</f>
        <v>#VALUE!</v>
      </c>
      <c r="BL155" t="e">
        <f>AND(Bills!T617,"AAAAAH/Z5z8=")</f>
        <v>#VALUE!</v>
      </c>
      <c r="BM155" t="e">
        <f>AND(Bills!#REF!,"AAAAAH/Z50A=")</f>
        <v>#REF!</v>
      </c>
      <c r="BN155" t="e">
        <f>AND(Bills!U617,"AAAAAH/Z50E=")</f>
        <v>#VALUE!</v>
      </c>
      <c r="BO155" t="e">
        <f>AND(Bills!V617,"AAAAAH/Z50I=")</f>
        <v>#VALUE!</v>
      </c>
      <c r="BP155" t="e">
        <f>AND(Bills!W617,"AAAAAH/Z50M=")</f>
        <v>#VALUE!</v>
      </c>
      <c r="BQ155" t="e">
        <f>AND(Bills!#REF!,"AAAAAH/Z50Q=")</f>
        <v>#REF!</v>
      </c>
      <c r="BR155" t="e">
        <f>AND(Bills!#REF!,"AAAAAH/Z50U=")</f>
        <v>#REF!</v>
      </c>
      <c r="BS155" t="e">
        <f>AND(Bills!Y617,"AAAAAH/Z50Y=")</f>
        <v>#VALUE!</v>
      </c>
      <c r="BT155" t="e">
        <f>AND(Bills!Z617,"AAAAAH/Z50c=")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AND(Bills!AA617,"AAAAAH/Z51E=")</f>
        <v>#VALUE!</v>
      </c>
      <c r="CE155" t="e">
        <f>AND(Bills!AB617,"AAAAAH/Z51I=")</f>
        <v>#VALUE!</v>
      </c>
      <c r="CF155" t="e">
        <f>AND(Bills!#REF!,"AAAAAH/Z51M=")</f>
        <v>#REF!</v>
      </c>
      <c r="CG155" t="e">
        <f>AND(Bills!#REF!,"AAAAAH/Z51Q=")</f>
        <v>#REF!</v>
      </c>
      <c r="CH155" t="e">
        <f>AND(Bills!#REF!,"AAAAAH/Z51U=")</f>
        <v>#REF!</v>
      </c>
      <c r="CI155" t="e">
        <f>AND(Bills!AC617,"AAAAAH/Z51Y=")</f>
        <v>#VALUE!</v>
      </c>
      <c r="CJ155" t="e">
        <f>AND(Bills!AD617,"AAAAAH/Z51c=")</f>
        <v>#VALUE!</v>
      </c>
      <c r="CK155" t="e">
        <f>AND(Bills!#REF!,"AAAAAH/Z51g=")</f>
        <v>#REF!</v>
      </c>
      <c r="CL155">
        <f>IF(Bills!618:618,"AAAAAH/Z51k=",0)</f>
        <v>0</v>
      </c>
      <c r="CM155" t="e">
        <f>AND(Bills!B618,"AAAAAH/Z51o=")</f>
        <v>#VALUE!</v>
      </c>
      <c r="CN155" t="e">
        <f>AND(Bills!#REF!,"AAAAAH/Z51s=")</f>
        <v>#REF!</v>
      </c>
      <c r="CO155" t="e">
        <f>AND(Bills!C618,"AAAAAH/Z51w=")</f>
        <v>#VALUE!</v>
      </c>
      <c r="CP155" t="e">
        <f>AND(Bills!D618,"AAAAAH/Z510=")</f>
        <v>#VALUE!</v>
      </c>
      <c r="CQ155" t="e">
        <f>AND(Bills!E618,"AAAAAH/Z514=")</f>
        <v>#VALUE!</v>
      </c>
      <c r="CR155" t="e">
        <f>AND(Bills!#REF!,"AAAAAH/Z518=")</f>
        <v>#REF!</v>
      </c>
      <c r="CS155" t="e">
        <f>AND(Bills!#REF!,"AAAAAH/Z52A=")</f>
        <v>#REF!</v>
      </c>
      <c r="CT155" t="e">
        <f>AND(Bills!#REF!,"AAAAAH/Z52E=")</f>
        <v>#REF!</v>
      </c>
      <c r="CU155" t="e">
        <f>AND(Bills!F618,"AAAAAH/Z52I=")</f>
        <v>#VALUE!</v>
      </c>
      <c r="CV155" t="e">
        <f>AND(Bills!#REF!,"AAAAAH/Z52M=")</f>
        <v>#REF!</v>
      </c>
      <c r="CW155" t="e">
        <f>AND(Bills!G618,"AAAAAH/Z52Q=")</f>
        <v>#VALUE!</v>
      </c>
      <c r="CX155" t="e">
        <f>AND(Bills!H618,"AAAAAH/Z52U=")</f>
        <v>#VALUE!</v>
      </c>
      <c r="CY155" t="e">
        <f>AND(Bills!I618,"AAAAAH/Z52Y=")</f>
        <v>#VALUE!</v>
      </c>
      <c r="CZ155" t="e">
        <f>AND(Bills!J618,"AAAAAH/Z52c=")</f>
        <v>#VALUE!</v>
      </c>
      <c r="DA155" t="e">
        <f>AND(Bills!K618,"AAAAAH/Z52g=")</f>
        <v>#VALUE!</v>
      </c>
      <c r="DB155" t="e">
        <f>AND(Bills!L618,"AAAAAH/Z52k=")</f>
        <v>#VALUE!</v>
      </c>
      <c r="DC155" t="e">
        <f>AND(Bills!#REF!,"AAAAAH/Z52o=")</f>
        <v>#REF!</v>
      </c>
      <c r="DD155" t="e">
        <f>AND(Bills!M618,"AAAAAH/Z52s=")</f>
        <v>#VALUE!</v>
      </c>
      <c r="DE155" t="e">
        <f>AND(Bills!N618,"AAAAAH/Z52w=")</f>
        <v>#VALUE!</v>
      </c>
      <c r="DF155" t="e">
        <f>AND(Bills!O618,"AAAAAH/Z520=")</f>
        <v>#VALUE!</v>
      </c>
      <c r="DG155" t="e">
        <f>AND(Bills!P618,"AAAAAH/Z524=")</f>
        <v>#VALUE!</v>
      </c>
      <c r="DH155" t="e">
        <f>AND(Bills!Q618,"AAAAAH/Z528=")</f>
        <v>#VALUE!</v>
      </c>
      <c r="DI155" t="e">
        <f>AND(Bills!R618,"AAAAAH/Z53A=")</f>
        <v>#VALUE!</v>
      </c>
      <c r="DJ155" t="e">
        <f>AND(Bills!S618,"AAAAAH/Z53E=")</f>
        <v>#VALUE!</v>
      </c>
      <c r="DK155" t="e">
        <f>AND(Bills!T618,"AAAAAH/Z53I=")</f>
        <v>#VALUE!</v>
      </c>
      <c r="DL155" t="e">
        <f>AND(Bills!#REF!,"AAAAAH/Z53M=")</f>
        <v>#REF!</v>
      </c>
      <c r="DM155" t="e">
        <f>AND(Bills!U618,"AAAAAH/Z53Q=")</f>
        <v>#VALUE!</v>
      </c>
      <c r="DN155" t="e">
        <f>AND(Bills!V618,"AAAAAH/Z53U=")</f>
        <v>#VALUE!</v>
      </c>
      <c r="DO155" t="e">
        <f>AND(Bills!W618,"AAAAAH/Z53Y=")</f>
        <v>#VALUE!</v>
      </c>
      <c r="DP155" t="e">
        <f>AND(Bills!#REF!,"AAAAAH/Z53c=")</f>
        <v>#REF!</v>
      </c>
      <c r="DQ155" t="e">
        <f>AND(Bills!#REF!,"AAAAAH/Z53g=")</f>
        <v>#REF!</v>
      </c>
      <c r="DR155" t="e">
        <f>AND(Bills!Y618,"AAAAAH/Z53k=")</f>
        <v>#VALUE!</v>
      </c>
      <c r="DS155" t="e">
        <f>AND(Bills!Z618,"AAAAAH/Z53o=")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AND(Bills!AA618,"AAAAAH/Z54Q=")</f>
        <v>#VALUE!</v>
      </c>
      <c r="ED155" t="e">
        <f>AND(Bills!AB618,"AAAAAH/Z54U=")</f>
        <v>#VALUE!</v>
      </c>
      <c r="EE155" t="e">
        <f>AND(Bills!#REF!,"AAAAAH/Z54Y=")</f>
        <v>#REF!</v>
      </c>
      <c r="EF155" t="e">
        <f>AND(Bills!#REF!,"AAAAAH/Z54c=")</f>
        <v>#REF!</v>
      </c>
      <c r="EG155" t="e">
        <f>AND(Bills!#REF!,"AAAAAH/Z54g=")</f>
        <v>#REF!</v>
      </c>
      <c r="EH155" t="e">
        <f>AND(Bills!AC618,"AAAAAH/Z54k=")</f>
        <v>#VALUE!</v>
      </c>
      <c r="EI155" t="e">
        <f>AND(Bills!AD618,"AAAAAH/Z54o=")</f>
        <v>#VALUE!</v>
      </c>
      <c r="EJ155" t="e">
        <f>AND(Bills!#REF!,"AAAAAH/Z54s=")</f>
        <v>#REF!</v>
      </c>
      <c r="EK155">
        <f>IF(Bills!619:619,"AAAAAH/Z54w=",0)</f>
        <v>0</v>
      </c>
      <c r="EL155" t="e">
        <f>AND(Bills!B619,"AAAAAH/Z540=")</f>
        <v>#VALUE!</v>
      </c>
      <c r="EM155" t="e">
        <f>AND(Bills!#REF!,"AAAAAH/Z544=")</f>
        <v>#REF!</v>
      </c>
      <c r="EN155" t="e">
        <f>AND(Bills!C619,"AAAAAH/Z548=")</f>
        <v>#VALUE!</v>
      </c>
      <c r="EO155" t="e">
        <f>AND(Bills!D619,"AAAAAH/Z55A=")</f>
        <v>#VALUE!</v>
      </c>
      <c r="EP155" t="e">
        <f>AND(Bills!E619,"AAAAAH/Z55E=")</f>
        <v>#VALUE!</v>
      </c>
      <c r="EQ155" t="e">
        <f>AND(Bills!#REF!,"AAAAAH/Z55I=")</f>
        <v>#REF!</v>
      </c>
      <c r="ER155" t="e">
        <f>AND(Bills!#REF!,"AAAAAH/Z55M=")</f>
        <v>#REF!</v>
      </c>
      <c r="ES155" t="e">
        <f>AND(Bills!#REF!,"AAAAAH/Z55Q=")</f>
        <v>#REF!</v>
      </c>
      <c r="ET155" t="e">
        <f>AND(Bills!F619,"AAAAAH/Z55U=")</f>
        <v>#VALUE!</v>
      </c>
      <c r="EU155" t="e">
        <f>AND(Bills!#REF!,"AAAAAH/Z55Y=")</f>
        <v>#REF!</v>
      </c>
      <c r="EV155" t="e">
        <f>AND(Bills!G619,"AAAAAH/Z55c=")</f>
        <v>#VALUE!</v>
      </c>
      <c r="EW155" t="e">
        <f>AND(Bills!H619,"AAAAAH/Z55g=")</f>
        <v>#VALUE!</v>
      </c>
      <c r="EX155" t="e">
        <f>AND(Bills!I619,"AAAAAH/Z55k=")</f>
        <v>#VALUE!</v>
      </c>
      <c r="EY155" t="e">
        <f>AND(Bills!J619,"AAAAAH/Z55o=")</f>
        <v>#VALUE!</v>
      </c>
      <c r="EZ155" t="e">
        <f>AND(Bills!K619,"AAAAAH/Z55s=")</f>
        <v>#VALUE!</v>
      </c>
      <c r="FA155" t="e">
        <f>AND(Bills!L619,"AAAAAH/Z55w=")</f>
        <v>#VALUE!</v>
      </c>
      <c r="FB155" t="e">
        <f>AND(Bills!#REF!,"AAAAAH/Z550=")</f>
        <v>#REF!</v>
      </c>
      <c r="FC155" t="e">
        <f>AND(Bills!M619,"AAAAAH/Z554=")</f>
        <v>#VALUE!</v>
      </c>
      <c r="FD155" t="e">
        <f>AND(Bills!N619,"AAAAAH/Z558=")</f>
        <v>#VALUE!</v>
      </c>
      <c r="FE155" t="e">
        <f>AND(Bills!O619,"AAAAAH/Z56A=")</f>
        <v>#VALUE!</v>
      </c>
      <c r="FF155" t="e">
        <f>AND(Bills!P619,"AAAAAH/Z56E=")</f>
        <v>#VALUE!</v>
      </c>
      <c r="FG155" t="e">
        <f>AND(Bills!Q619,"AAAAAH/Z56I=")</f>
        <v>#VALUE!</v>
      </c>
      <c r="FH155" t="e">
        <f>AND(Bills!R619,"AAAAAH/Z56M=")</f>
        <v>#VALUE!</v>
      </c>
      <c r="FI155" t="e">
        <f>AND(Bills!S619,"AAAAAH/Z56Q=")</f>
        <v>#VALUE!</v>
      </c>
      <c r="FJ155" t="e">
        <f>AND(Bills!T619,"AAAAAH/Z56U=")</f>
        <v>#VALUE!</v>
      </c>
      <c r="FK155" t="e">
        <f>AND(Bills!#REF!,"AAAAAH/Z56Y=")</f>
        <v>#REF!</v>
      </c>
      <c r="FL155" t="e">
        <f>AND(Bills!U619,"AAAAAH/Z56c=")</f>
        <v>#VALUE!</v>
      </c>
      <c r="FM155" t="e">
        <f>AND(Bills!V619,"AAAAAH/Z56g=")</f>
        <v>#VALUE!</v>
      </c>
      <c r="FN155" t="e">
        <f>AND(Bills!W619,"AAAAAH/Z56k=")</f>
        <v>#VALUE!</v>
      </c>
      <c r="FO155" t="e">
        <f>AND(Bills!#REF!,"AAAAAH/Z56o=")</f>
        <v>#REF!</v>
      </c>
      <c r="FP155" t="e">
        <f>AND(Bills!#REF!,"AAAAAH/Z56s=")</f>
        <v>#REF!</v>
      </c>
      <c r="FQ155" t="e">
        <f>AND(Bills!Y619,"AAAAAH/Z56w=")</f>
        <v>#VALUE!</v>
      </c>
      <c r="FR155" t="e">
        <f>AND(Bills!Z619,"AAAAAH/Z560=")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AND(Bills!AA619,"AAAAAH/Z57c=")</f>
        <v>#VALUE!</v>
      </c>
      <c r="GC155" t="e">
        <f>AND(Bills!AB619,"AAAAAH/Z57g=")</f>
        <v>#VALUE!</v>
      </c>
      <c r="GD155" t="e">
        <f>AND(Bills!#REF!,"AAAAAH/Z57k=")</f>
        <v>#REF!</v>
      </c>
      <c r="GE155" t="e">
        <f>AND(Bills!#REF!,"AAAAAH/Z57o=")</f>
        <v>#REF!</v>
      </c>
      <c r="GF155" t="e">
        <f>AND(Bills!#REF!,"AAAAAH/Z57s=")</f>
        <v>#REF!</v>
      </c>
      <c r="GG155" t="e">
        <f>AND(Bills!AC619,"AAAAAH/Z57w=")</f>
        <v>#VALUE!</v>
      </c>
      <c r="GH155" t="e">
        <f>AND(Bills!AD619,"AAAAAH/Z570=")</f>
        <v>#VALUE!</v>
      </c>
      <c r="GI155" t="e">
        <f>AND(Bills!#REF!,"AAAAAH/Z574=")</f>
        <v>#REF!</v>
      </c>
      <c r="GJ155">
        <f>IF(Bills!620:620,"AAAAAH/Z578=",0)</f>
        <v>0</v>
      </c>
      <c r="GK155" t="e">
        <f>AND(Bills!B620,"AAAAAH/Z58A=")</f>
        <v>#VALUE!</v>
      </c>
      <c r="GL155" t="e">
        <f>AND(Bills!#REF!,"AAAAAH/Z58E=")</f>
        <v>#REF!</v>
      </c>
      <c r="GM155" t="e">
        <f>AND(Bills!C620,"AAAAAH/Z58I=")</f>
        <v>#VALUE!</v>
      </c>
      <c r="GN155" t="e">
        <f>AND(Bills!D620,"AAAAAH/Z58M=")</f>
        <v>#VALUE!</v>
      </c>
      <c r="GO155" t="e">
        <f>AND(Bills!E620,"AAAAAH/Z58Q=")</f>
        <v>#VALUE!</v>
      </c>
      <c r="GP155" t="e">
        <f>AND(Bills!#REF!,"AAAAAH/Z58U=")</f>
        <v>#REF!</v>
      </c>
      <c r="GQ155" t="e">
        <f>AND(Bills!#REF!,"AAAAAH/Z58Y=")</f>
        <v>#REF!</v>
      </c>
      <c r="GR155" t="e">
        <f>AND(Bills!#REF!,"AAAAAH/Z58c=")</f>
        <v>#REF!</v>
      </c>
      <c r="GS155" t="e">
        <f>AND(Bills!F620,"AAAAAH/Z58g=")</f>
        <v>#VALUE!</v>
      </c>
      <c r="GT155" t="e">
        <f>AND(Bills!#REF!,"AAAAAH/Z58k=")</f>
        <v>#REF!</v>
      </c>
      <c r="GU155" t="e">
        <f>AND(Bills!G620,"AAAAAH/Z58o=")</f>
        <v>#VALUE!</v>
      </c>
      <c r="GV155" t="e">
        <f>AND(Bills!H620,"AAAAAH/Z58s=")</f>
        <v>#VALUE!</v>
      </c>
      <c r="GW155" t="e">
        <f>AND(Bills!I620,"AAAAAH/Z58w=")</f>
        <v>#VALUE!</v>
      </c>
      <c r="GX155" t="e">
        <f>AND(Bills!J620,"AAAAAH/Z580=")</f>
        <v>#VALUE!</v>
      </c>
      <c r="GY155" t="e">
        <f>AND(Bills!K620,"AAAAAH/Z584=")</f>
        <v>#VALUE!</v>
      </c>
      <c r="GZ155" t="e">
        <f>AND(Bills!L620,"AAAAAH/Z588=")</f>
        <v>#VALUE!</v>
      </c>
      <c r="HA155" t="e">
        <f>AND(Bills!#REF!,"AAAAAH/Z59A=")</f>
        <v>#REF!</v>
      </c>
      <c r="HB155" t="e">
        <f>AND(Bills!M620,"AAAAAH/Z59E=")</f>
        <v>#VALUE!</v>
      </c>
      <c r="HC155" t="e">
        <f>AND(Bills!N620,"AAAAAH/Z59I=")</f>
        <v>#VALUE!</v>
      </c>
      <c r="HD155" t="e">
        <f>AND(Bills!O620,"AAAAAH/Z59M=")</f>
        <v>#VALUE!</v>
      </c>
      <c r="HE155" t="e">
        <f>AND(Bills!P620,"AAAAAH/Z59Q=")</f>
        <v>#VALUE!</v>
      </c>
      <c r="HF155" t="e">
        <f>AND(Bills!Q620,"AAAAAH/Z59U=")</f>
        <v>#VALUE!</v>
      </c>
      <c r="HG155" t="e">
        <f>AND(Bills!R620,"AAAAAH/Z59Y=")</f>
        <v>#VALUE!</v>
      </c>
      <c r="HH155" t="e">
        <f>AND(Bills!S620,"AAAAAH/Z59c=")</f>
        <v>#VALUE!</v>
      </c>
      <c r="HI155" t="e">
        <f>AND(Bills!T620,"AAAAAH/Z59g=")</f>
        <v>#VALUE!</v>
      </c>
      <c r="HJ155" t="e">
        <f>AND(Bills!#REF!,"AAAAAH/Z59k=")</f>
        <v>#REF!</v>
      </c>
      <c r="HK155" t="e">
        <f>AND(Bills!U620,"AAAAAH/Z59o=")</f>
        <v>#VALUE!</v>
      </c>
      <c r="HL155" t="e">
        <f>AND(Bills!V620,"AAAAAH/Z59s=")</f>
        <v>#VALUE!</v>
      </c>
      <c r="HM155" t="e">
        <f>AND(Bills!W620,"AAAAAH/Z59w=")</f>
        <v>#VALUE!</v>
      </c>
      <c r="HN155" t="e">
        <f>AND(Bills!#REF!,"AAAAAH/Z590=")</f>
        <v>#REF!</v>
      </c>
      <c r="HO155" t="e">
        <f>AND(Bills!#REF!,"AAAAAH/Z594=")</f>
        <v>#REF!</v>
      </c>
      <c r="HP155" t="e">
        <f>AND(Bills!Y620,"AAAAAH/Z598=")</f>
        <v>#VALUE!</v>
      </c>
      <c r="HQ155" t="e">
        <f>AND(Bills!Z620,"AAAAAH/Z5+A=")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AND(Bills!AA620,"AAAAAH/Z5+o=")</f>
        <v>#VALUE!</v>
      </c>
      <c r="IB155" t="e">
        <f>AND(Bills!AB620,"AAAAAH/Z5+s=")</f>
        <v>#VALUE!</v>
      </c>
      <c r="IC155" t="e">
        <f>AND(Bills!#REF!,"AAAAAH/Z5+w=")</f>
        <v>#REF!</v>
      </c>
      <c r="ID155" t="e">
        <f>AND(Bills!#REF!,"AAAAAH/Z5+0=")</f>
        <v>#REF!</v>
      </c>
      <c r="IE155" t="e">
        <f>AND(Bills!#REF!,"AAAAAH/Z5+4=")</f>
        <v>#REF!</v>
      </c>
      <c r="IF155" t="e">
        <f>AND(Bills!AC620,"AAAAAH/Z5+8=")</f>
        <v>#VALUE!</v>
      </c>
      <c r="IG155" t="e">
        <f>AND(Bills!AD620,"AAAAAH/Z5/A=")</f>
        <v>#VALUE!</v>
      </c>
      <c r="IH155" t="e">
        <f>AND(Bills!#REF!,"AAAAAH/Z5/E=")</f>
        <v>#REF!</v>
      </c>
      <c r="II155">
        <f>IF(Bills!621:621,"AAAAAH/Z5/I=",0)</f>
        <v>0</v>
      </c>
      <c r="IJ155" t="e">
        <f>AND(Bills!B621,"AAAAAH/Z5/M=")</f>
        <v>#VALUE!</v>
      </c>
      <c r="IK155" t="e">
        <f>AND(Bills!#REF!,"AAAAAH/Z5/Q=")</f>
        <v>#REF!</v>
      </c>
      <c r="IL155" t="e">
        <f>AND(Bills!C621,"AAAAAH/Z5/U=")</f>
        <v>#VALUE!</v>
      </c>
      <c r="IM155" t="e">
        <f>AND(Bills!D621,"AAAAAH/Z5/Y=")</f>
        <v>#VALUE!</v>
      </c>
      <c r="IN155" t="e">
        <f>AND(Bills!E621,"AAAAAH/Z5/c=")</f>
        <v>#VALUE!</v>
      </c>
      <c r="IO155" t="e">
        <f>AND(Bills!#REF!,"AAAAAH/Z5/g=")</f>
        <v>#REF!</v>
      </c>
      <c r="IP155" t="e">
        <f>AND(Bills!#REF!,"AAAAAH/Z5/k=")</f>
        <v>#REF!</v>
      </c>
      <c r="IQ155" t="e">
        <f>AND(Bills!#REF!,"AAAAAH/Z5/o=")</f>
        <v>#REF!</v>
      </c>
      <c r="IR155" t="e">
        <f>AND(Bills!F621,"AAAAAH/Z5/s=")</f>
        <v>#VALUE!</v>
      </c>
      <c r="IS155" t="e">
        <f>AND(Bills!#REF!,"AAAAAH/Z5/w=")</f>
        <v>#REF!</v>
      </c>
      <c r="IT155" t="e">
        <f>AND(Bills!G621,"AAAAAH/Z5/0=")</f>
        <v>#VALUE!</v>
      </c>
      <c r="IU155" t="e">
        <f>AND(Bills!H621,"AAAAAH/Z5/4=")</f>
        <v>#VALUE!</v>
      </c>
      <c r="IV155" t="e">
        <f>AND(Bills!I621,"AAAAAH/Z5/8=")</f>
        <v>#VALUE!</v>
      </c>
    </row>
    <row r="156" spans="1:256">
      <c r="A156" t="e">
        <f>AND(Bills!J621,"AAAAAE3/4wA=")</f>
        <v>#VALUE!</v>
      </c>
      <c r="B156" t="e">
        <f>AND(Bills!K621,"AAAAAE3/4wE=")</f>
        <v>#VALUE!</v>
      </c>
      <c r="C156" t="e">
        <f>AND(Bills!L621,"AAAAAE3/4wI=")</f>
        <v>#VALUE!</v>
      </c>
      <c r="D156" t="e">
        <f>AND(Bills!#REF!,"AAAAAE3/4wM=")</f>
        <v>#REF!</v>
      </c>
      <c r="E156" t="e">
        <f>AND(Bills!M621,"AAAAAE3/4wQ=")</f>
        <v>#VALUE!</v>
      </c>
      <c r="F156" t="e">
        <f>AND(Bills!N621,"AAAAAE3/4wU=")</f>
        <v>#VALUE!</v>
      </c>
      <c r="G156" t="e">
        <f>AND(Bills!O621,"AAAAAE3/4wY=")</f>
        <v>#VALUE!</v>
      </c>
      <c r="H156" t="e">
        <f>AND(Bills!P621,"AAAAAE3/4wc=")</f>
        <v>#VALUE!</v>
      </c>
      <c r="I156" t="e">
        <f>AND(Bills!Q621,"AAAAAE3/4wg=")</f>
        <v>#VALUE!</v>
      </c>
      <c r="J156" t="e">
        <f>AND(Bills!R621,"AAAAAE3/4wk=")</f>
        <v>#VALUE!</v>
      </c>
      <c r="K156" t="e">
        <f>AND(Bills!S621,"AAAAAE3/4wo=")</f>
        <v>#VALUE!</v>
      </c>
      <c r="L156" t="e">
        <f>AND(Bills!T621,"AAAAAE3/4ws=")</f>
        <v>#VALUE!</v>
      </c>
      <c r="M156" t="e">
        <f>AND(Bills!#REF!,"AAAAAE3/4ww=")</f>
        <v>#REF!</v>
      </c>
      <c r="N156" t="e">
        <f>AND(Bills!U621,"AAAAAE3/4w0=")</f>
        <v>#VALUE!</v>
      </c>
      <c r="O156" t="e">
        <f>AND(Bills!V621,"AAAAAE3/4w4=")</f>
        <v>#VALUE!</v>
      </c>
      <c r="P156" t="e">
        <f>AND(Bills!W621,"AAAAAE3/4w8=")</f>
        <v>#VALUE!</v>
      </c>
      <c r="Q156" t="e">
        <f>AND(Bills!#REF!,"AAAAAE3/4xA=")</f>
        <v>#REF!</v>
      </c>
      <c r="R156" t="e">
        <f>AND(Bills!#REF!,"AAAAAE3/4xE=")</f>
        <v>#REF!</v>
      </c>
      <c r="S156" t="e">
        <f>AND(Bills!Y621,"AAAAAE3/4xI=")</f>
        <v>#VALUE!</v>
      </c>
      <c r="T156" t="e">
        <f>AND(Bills!Z621,"AAAAAE3/4xM=")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AND(Bills!AA621,"AAAAAE3/4x0=")</f>
        <v>#VALUE!</v>
      </c>
      <c r="AE156" t="e">
        <f>AND(Bills!AB621,"AAAAAE3/4x4=")</f>
        <v>#VALUE!</v>
      </c>
      <c r="AF156" t="e">
        <f>AND(Bills!#REF!,"AAAAAE3/4x8=")</f>
        <v>#REF!</v>
      </c>
      <c r="AG156" t="e">
        <f>AND(Bills!#REF!,"AAAAAE3/4yA=")</f>
        <v>#REF!</v>
      </c>
      <c r="AH156" t="e">
        <f>AND(Bills!#REF!,"AAAAAE3/4yE=")</f>
        <v>#REF!</v>
      </c>
      <c r="AI156" t="e">
        <f>AND(Bills!AC621,"AAAAAE3/4yI=")</f>
        <v>#VALUE!</v>
      </c>
      <c r="AJ156" t="e">
        <f>AND(Bills!AD621,"AAAAAE3/4yM=")</f>
        <v>#VALUE!</v>
      </c>
      <c r="AK156" t="e">
        <f>AND(Bills!#REF!,"AAAAAE3/4yQ=")</f>
        <v>#REF!</v>
      </c>
      <c r="AL156">
        <f>IF(Bills!622:622,"AAAAAE3/4yU=",0)</f>
        <v>0</v>
      </c>
      <c r="AM156" t="e">
        <f>AND(Bills!B622,"AAAAAE3/4yY=")</f>
        <v>#VALUE!</v>
      </c>
      <c r="AN156" t="e">
        <f>AND(Bills!#REF!,"AAAAAE3/4yc=")</f>
        <v>#REF!</v>
      </c>
      <c r="AO156" t="e">
        <f>AND(Bills!C622,"AAAAAE3/4yg=")</f>
        <v>#VALUE!</v>
      </c>
      <c r="AP156" t="e">
        <f>AND(Bills!D622,"AAAAAE3/4yk=")</f>
        <v>#VALUE!</v>
      </c>
      <c r="AQ156" t="e">
        <f>AND(Bills!E622,"AAAAAE3/4yo=")</f>
        <v>#VALUE!</v>
      </c>
      <c r="AR156" t="e">
        <f>AND(Bills!#REF!,"AAAAAE3/4ys=")</f>
        <v>#REF!</v>
      </c>
      <c r="AS156" t="e">
        <f>AND(Bills!#REF!,"AAAAAE3/4yw=")</f>
        <v>#REF!</v>
      </c>
      <c r="AT156" t="e">
        <f>AND(Bills!#REF!,"AAAAAE3/4y0=")</f>
        <v>#REF!</v>
      </c>
      <c r="AU156" t="e">
        <f>AND(Bills!F622,"AAAAAE3/4y4=")</f>
        <v>#VALUE!</v>
      </c>
      <c r="AV156" t="e">
        <f>AND(Bills!#REF!,"AAAAAE3/4y8=")</f>
        <v>#REF!</v>
      </c>
      <c r="AW156" t="e">
        <f>AND(Bills!G622,"AAAAAE3/4zA=")</f>
        <v>#VALUE!</v>
      </c>
      <c r="AX156" t="e">
        <f>AND(Bills!H622,"AAAAAE3/4zE=")</f>
        <v>#VALUE!</v>
      </c>
      <c r="AY156" t="e">
        <f>AND(Bills!I622,"AAAAAE3/4zI=")</f>
        <v>#VALUE!</v>
      </c>
      <c r="AZ156" t="e">
        <f>AND(Bills!J622,"AAAAAE3/4zM=")</f>
        <v>#VALUE!</v>
      </c>
      <c r="BA156" t="e">
        <f>AND(Bills!K622,"AAAAAE3/4zQ=")</f>
        <v>#VALUE!</v>
      </c>
      <c r="BB156" t="e">
        <f>AND(Bills!L622,"AAAAAE3/4zU=")</f>
        <v>#VALUE!</v>
      </c>
      <c r="BC156" t="e">
        <f>AND(Bills!#REF!,"AAAAAE3/4zY=")</f>
        <v>#REF!</v>
      </c>
      <c r="BD156" t="e">
        <f>AND(Bills!M622,"AAAAAE3/4zc=")</f>
        <v>#VALUE!</v>
      </c>
      <c r="BE156" t="e">
        <f>AND(Bills!N622,"AAAAAE3/4zg=")</f>
        <v>#VALUE!</v>
      </c>
      <c r="BF156" t="e">
        <f>AND(Bills!O622,"AAAAAE3/4zk=")</f>
        <v>#VALUE!</v>
      </c>
      <c r="BG156" t="e">
        <f>AND(Bills!P622,"AAAAAE3/4zo=")</f>
        <v>#VALUE!</v>
      </c>
      <c r="BH156" t="e">
        <f>AND(Bills!Q622,"AAAAAE3/4zs=")</f>
        <v>#VALUE!</v>
      </c>
      <c r="BI156" t="e">
        <f>AND(Bills!R622,"AAAAAE3/4zw=")</f>
        <v>#VALUE!</v>
      </c>
      <c r="BJ156" t="e">
        <f>AND(Bills!S622,"AAAAAE3/4z0=")</f>
        <v>#VALUE!</v>
      </c>
      <c r="BK156" t="e">
        <f>AND(Bills!T622,"AAAAAE3/4z4=")</f>
        <v>#VALUE!</v>
      </c>
      <c r="BL156" t="e">
        <f>AND(Bills!#REF!,"AAAAAE3/4z8=")</f>
        <v>#REF!</v>
      </c>
      <c r="BM156" t="e">
        <f>AND(Bills!U622,"AAAAAE3/40A=")</f>
        <v>#VALUE!</v>
      </c>
      <c r="BN156" t="e">
        <f>AND(Bills!V622,"AAAAAE3/40E=")</f>
        <v>#VALUE!</v>
      </c>
      <c r="BO156" t="e">
        <f>AND(Bills!W622,"AAAAAE3/40I=")</f>
        <v>#VALUE!</v>
      </c>
      <c r="BP156" t="e">
        <f>AND(Bills!#REF!,"AAAAAE3/40M=")</f>
        <v>#REF!</v>
      </c>
      <c r="BQ156" t="e">
        <f>AND(Bills!#REF!,"AAAAAE3/40Q=")</f>
        <v>#REF!</v>
      </c>
      <c r="BR156" t="e">
        <f>AND(Bills!Y622,"AAAAAE3/40U=")</f>
        <v>#VALUE!</v>
      </c>
      <c r="BS156" t="e">
        <f>AND(Bills!Z622,"AAAAAE3/40Y=")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AND(Bills!AA622,"AAAAAE3/41A=")</f>
        <v>#VALUE!</v>
      </c>
      <c r="CD156" t="e">
        <f>AND(Bills!AB622,"AAAAAE3/41E=")</f>
        <v>#VALUE!</v>
      </c>
      <c r="CE156" t="e">
        <f>AND(Bills!#REF!,"AAAAAE3/41I=")</f>
        <v>#REF!</v>
      </c>
      <c r="CF156" t="e">
        <f>AND(Bills!#REF!,"AAAAAE3/41M=")</f>
        <v>#REF!</v>
      </c>
      <c r="CG156" t="e">
        <f>AND(Bills!#REF!,"AAAAAE3/41Q=")</f>
        <v>#REF!</v>
      </c>
      <c r="CH156" t="e">
        <f>AND(Bills!AC622,"AAAAAE3/41U=")</f>
        <v>#VALUE!</v>
      </c>
      <c r="CI156" t="e">
        <f>AND(Bills!AD622,"AAAAAE3/41Y=")</f>
        <v>#VALUE!</v>
      </c>
      <c r="CJ156" t="e">
        <f>AND(Bills!#REF!,"AAAAAE3/41c=")</f>
        <v>#REF!</v>
      </c>
      <c r="CK156">
        <f>IF(Bills!623:623,"AAAAAE3/41g=",0)</f>
        <v>0</v>
      </c>
      <c r="CL156" t="e">
        <f>AND(Bills!B623,"AAAAAE3/41k=")</f>
        <v>#VALUE!</v>
      </c>
      <c r="CM156" t="e">
        <f>AND(Bills!#REF!,"AAAAAE3/41o=")</f>
        <v>#REF!</v>
      </c>
      <c r="CN156" t="e">
        <f>AND(Bills!C623,"AAAAAE3/41s=")</f>
        <v>#VALUE!</v>
      </c>
      <c r="CO156" t="e">
        <f>AND(Bills!D623,"AAAAAE3/41w=")</f>
        <v>#VALUE!</v>
      </c>
      <c r="CP156" t="e">
        <f>AND(Bills!E623,"AAAAAE3/410=")</f>
        <v>#VALUE!</v>
      </c>
      <c r="CQ156" t="e">
        <f>AND(Bills!#REF!,"AAAAAE3/414=")</f>
        <v>#REF!</v>
      </c>
      <c r="CR156" t="e">
        <f>AND(Bills!#REF!,"AAAAAE3/418=")</f>
        <v>#REF!</v>
      </c>
      <c r="CS156" t="e">
        <f>AND(Bills!#REF!,"AAAAAE3/42A=")</f>
        <v>#REF!</v>
      </c>
      <c r="CT156" t="e">
        <f>AND(Bills!F623,"AAAAAE3/42E=")</f>
        <v>#VALUE!</v>
      </c>
      <c r="CU156" t="e">
        <f>AND(Bills!#REF!,"AAAAAE3/42I=")</f>
        <v>#REF!</v>
      </c>
      <c r="CV156" t="e">
        <f>AND(Bills!G623,"AAAAAE3/42M=")</f>
        <v>#VALUE!</v>
      </c>
      <c r="CW156" t="e">
        <f>AND(Bills!H623,"AAAAAE3/42Q=")</f>
        <v>#VALUE!</v>
      </c>
      <c r="CX156" t="e">
        <f>AND(Bills!I623,"AAAAAE3/42U=")</f>
        <v>#VALUE!</v>
      </c>
      <c r="CY156" t="e">
        <f>AND(Bills!J623,"AAAAAE3/42Y=")</f>
        <v>#VALUE!</v>
      </c>
      <c r="CZ156" t="e">
        <f>AND(Bills!K623,"AAAAAE3/42c=")</f>
        <v>#VALUE!</v>
      </c>
      <c r="DA156" t="e">
        <f>AND(Bills!L623,"AAAAAE3/42g=")</f>
        <v>#VALUE!</v>
      </c>
      <c r="DB156" t="e">
        <f>AND(Bills!#REF!,"AAAAAE3/42k=")</f>
        <v>#REF!</v>
      </c>
      <c r="DC156" t="e">
        <f>AND(Bills!M623,"AAAAAE3/42o=")</f>
        <v>#VALUE!</v>
      </c>
      <c r="DD156" t="e">
        <f>AND(Bills!N623,"AAAAAE3/42s=")</f>
        <v>#VALUE!</v>
      </c>
      <c r="DE156" t="e">
        <f>AND(Bills!O623,"AAAAAE3/42w=")</f>
        <v>#VALUE!</v>
      </c>
      <c r="DF156" t="e">
        <f>AND(Bills!P623,"AAAAAE3/420=")</f>
        <v>#VALUE!</v>
      </c>
      <c r="DG156" t="e">
        <f>AND(Bills!Q623,"AAAAAE3/424=")</f>
        <v>#VALUE!</v>
      </c>
      <c r="DH156" t="e">
        <f>AND(Bills!R623,"AAAAAE3/428=")</f>
        <v>#VALUE!</v>
      </c>
      <c r="DI156" t="e">
        <f>AND(Bills!S623,"AAAAAE3/43A=")</f>
        <v>#VALUE!</v>
      </c>
      <c r="DJ156" t="e">
        <f>AND(Bills!T623,"AAAAAE3/43E=")</f>
        <v>#VALUE!</v>
      </c>
      <c r="DK156" t="e">
        <f>AND(Bills!#REF!,"AAAAAE3/43I=")</f>
        <v>#REF!</v>
      </c>
      <c r="DL156" t="e">
        <f>AND(Bills!U623,"AAAAAE3/43M=")</f>
        <v>#VALUE!</v>
      </c>
      <c r="DM156" t="e">
        <f>AND(Bills!V623,"AAAAAE3/43Q=")</f>
        <v>#VALUE!</v>
      </c>
      <c r="DN156" t="e">
        <f>AND(Bills!W623,"AAAAAE3/43U=")</f>
        <v>#VALUE!</v>
      </c>
      <c r="DO156" t="e">
        <f>AND(Bills!#REF!,"AAAAAE3/43Y=")</f>
        <v>#REF!</v>
      </c>
      <c r="DP156" t="e">
        <f>AND(Bills!#REF!,"AAAAAE3/43c=")</f>
        <v>#REF!</v>
      </c>
      <c r="DQ156" t="e">
        <f>AND(Bills!Y623,"AAAAAE3/43g=")</f>
        <v>#VALUE!</v>
      </c>
      <c r="DR156" t="e">
        <f>AND(Bills!Z623,"AAAAAE3/43k=")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AND(Bills!AA623,"AAAAAE3/44M=")</f>
        <v>#VALUE!</v>
      </c>
      <c r="EC156" t="e">
        <f>AND(Bills!AB623,"AAAAAE3/44Q=")</f>
        <v>#VALUE!</v>
      </c>
      <c r="ED156" t="e">
        <f>AND(Bills!#REF!,"AAAAAE3/44U=")</f>
        <v>#REF!</v>
      </c>
      <c r="EE156" t="e">
        <f>AND(Bills!#REF!,"AAAAAE3/44Y=")</f>
        <v>#REF!</v>
      </c>
      <c r="EF156" t="e">
        <f>AND(Bills!#REF!,"AAAAAE3/44c=")</f>
        <v>#REF!</v>
      </c>
      <c r="EG156" t="e">
        <f>AND(Bills!AC623,"AAAAAE3/44g=")</f>
        <v>#VALUE!</v>
      </c>
      <c r="EH156" t="e">
        <f>AND(Bills!AD623,"AAAAAE3/44k=")</f>
        <v>#VALUE!</v>
      </c>
      <c r="EI156" t="e">
        <f>AND(Bills!#REF!,"AAAAAE3/44o=")</f>
        <v>#REF!</v>
      </c>
      <c r="EJ156">
        <f>IF(Bills!624:624,"AAAAAE3/44s=",0)</f>
        <v>0</v>
      </c>
      <c r="EK156" t="e">
        <f>AND(Bills!B624,"AAAAAE3/44w=")</f>
        <v>#VALUE!</v>
      </c>
      <c r="EL156" t="e">
        <f>AND(Bills!#REF!,"AAAAAE3/440=")</f>
        <v>#REF!</v>
      </c>
      <c r="EM156" t="e">
        <f>AND(Bills!C624,"AAAAAE3/444=")</f>
        <v>#VALUE!</v>
      </c>
      <c r="EN156" t="e">
        <f>AND(Bills!D624,"AAAAAE3/448=")</f>
        <v>#VALUE!</v>
      </c>
      <c r="EO156" t="e">
        <f>AND(Bills!E624,"AAAAAE3/45A=")</f>
        <v>#VALUE!</v>
      </c>
      <c r="EP156" t="e">
        <f>AND(Bills!#REF!,"AAAAAE3/45E=")</f>
        <v>#REF!</v>
      </c>
      <c r="EQ156" t="e">
        <f>AND(Bills!#REF!,"AAAAAE3/45I=")</f>
        <v>#REF!</v>
      </c>
      <c r="ER156" t="e">
        <f>AND(Bills!#REF!,"AAAAAE3/45M=")</f>
        <v>#REF!</v>
      </c>
      <c r="ES156" t="e">
        <f>AND(Bills!F624,"AAAAAE3/45Q=")</f>
        <v>#VALUE!</v>
      </c>
      <c r="ET156" t="e">
        <f>AND(Bills!#REF!,"AAAAAE3/45U=")</f>
        <v>#REF!</v>
      </c>
      <c r="EU156" t="e">
        <f>AND(Bills!G624,"AAAAAE3/45Y=")</f>
        <v>#VALUE!</v>
      </c>
      <c r="EV156" t="e">
        <f>AND(Bills!H624,"AAAAAE3/45c=")</f>
        <v>#VALUE!</v>
      </c>
      <c r="EW156" t="e">
        <f>AND(Bills!I624,"AAAAAE3/45g=")</f>
        <v>#VALUE!</v>
      </c>
      <c r="EX156" t="e">
        <f>AND(Bills!J624,"AAAAAE3/45k=")</f>
        <v>#VALUE!</v>
      </c>
      <c r="EY156" t="e">
        <f>AND(Bills!K624,"AAAAAE3/45o=")</f>
        <v>#VALUE!</v>
      </c>
      <c r="EZ156" t="e">
        <f>AND(Bills!L624,"AAAAAE3/45s=")</f>
        <v>#VALUE!</v>
      </c>
      <c r="FA156" t="e">
        <f>AND(Bills!#REF!,"AAAAAE3/45w=")</f>
        <v>#REF!</v>
      </c>
      <c r="FB156" t="e">
        <f>AND(Bills!M624,"AAAAAE3/450=")</f>
        <v>#VALUE!</v>
      </c>
      <c r="FC156" t="e">
        <f>AND(Bills!N624,"AAAAAE3/454=")</f>
        <v>#VALUE!</v>
      </c>
      <c r="FD156" t="e">
        <f>AND(Bills!O624,"AAAAAE3/458=")</f>
        <v>#VALUE!</v>
      </c>
      <c r="FE156" t="e">
        <f>AND(Bills!P624,"AAAAAE3/46A=")</f>
        <v>#VALUE!</v>
      </c>
      <c r="FF156" t="e">
        <f>AND(Bills!Q624,"AAAAAE3/46E=")</f>
        <v>#VALUE!</v>
      </c>
      <c r="FG156" t="e">
        <f>AND(Bills!R624,"AAAAAE3/46I=")</f>
        <v>#VALUE!</v>
      </c>
      <c r="FH156" t="e">
        <f>AND(Bills!S624,"AAAAAE3/46M=")</f>
        <v>#VALUE!</v>
      </c>
      <c r="FI156" t="e">
        <f>AND(Bills!T624,"AAAAAE3/46Q=")</f>
        <v>#VALUE!</v>
      </c>
      <c r="FJ156" t="e">
        <f>AND(Bills!#REF!,"AAAAAE3/46U=")</f>
        <v>#REF!</v>
      </c>
      <c r="FK156" t="e">
        <f>AND(Bills!U624,"AAAAAE3/46Y=")</f>
        <v>#VALUE!</v>
      </c>
      <c r="FL156" t="e">
        <f>AND(Bills!V624,"AAAAAE3/46c=")</f>
        <v>#VALUE!</v>
      </c>
      <c r="FM156" t="e">
        <f>AND(Bills!W624,"AAAAAE3/46g=")</f>
        <v>#VALUE!</v>
      </c>
      <c r="FN156" t="e">
        <f>AND(Bills!#REF!,"AAAAAE3/46k=")</f>
        <v>#REF!</v>
      </c>
      <c r="FO156" t="e">
        <f>AND(Bills!#REF!,"AAAAAE3/46o=")</f>
        <v>#REF!</v>
      </c>
      <c r="FP156" t="e">
        <f>AND(Bills!Y624,"AAAAAE3/46s=")</f>
        <v>#VALUE!</v>
      </c>
      <c r="FQ156" t="e">
        <f>AND(Bills!Z624,"AAAAAE3/46w=")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AND(Bills!AA624,"AAAAAE3/47Y=")</f>
        <v>#VALUE!</v>
      </c>
      <c r="GB156" t="e">
        <f>AND(Bills!AB624,"AAAAAE3/47c=")</f>
        <v>#VALUE!</v>
      </c>
      <c r="GC156" t="e">
        <f>AND(Bills!#REF!,"AAAAAE3/47g=")</f>
        <v>#REF!</v>
      </c>
      <c r="GD156" t="e">
        <f>AND(Bills!#REF!,"AAAAAE3/47k=")</f>
        <v>#REF!</v>
      </c>
      <c r="GE156" t="e">
        <f>AND(Bills!#REF!,"AAAAAE3/47o=")</f>
        <v>#REF!</v>
      </c>
      <c r="GF156" t="e">
        <f>AND(Bills!AC624,"AAAAAE3/47s=")</f>
        <v>#VALUE!</v>
      </c>
      <c r="GG156" t="e">
        <f>AND(Bills!AD624,"AAAAAE3/47w=")</f>
        <v>#VALUE!</v>
      </c>
      <c r="GH156" t="e">
        <f>AND(Bills!#REF!,"AAAAAE3/470=")</f>
        <v>#REF!</v>
      </c>
      <c r="GI156">
        <f>IF(Bills!625:625,"AAAAAE3/474=",0)</f>
        <v>0</v>
      </c>
      <c r="GJ156" t="e">
        <f>AND(Bills!B625,"AAAAAE3/478=")</f>
        <v>#VALUE!</v>
      </c>
      <c r="GK156" t="e">
        <f>AND(Bills!#REF!,"AAAAAE3/48A=")</f>
        <v>#REF!</v>
      </c>
      <c r="GL156" t="e">
        <f>AND(Bills!C625,"AAAAAE3/48E=")</f>
        <v>#VALUE!</v>
      </c>
      <c r="GM156" t="e">
        <f>AND(Bills!D625,"AAAAAE3/48I=")</f>
        <v>#VALUE!</v>
      </c>
      <c r="GN156" t="e">
        <f>AND(Bills!E625,"AAAAAE3/48M=")</f>
        <v>#VALUE!</v>
      </c>
      <c r="GO156" t="e">
        <f>AND(Bills!#REF!,"AAAAAE3/48Q=")</f>
        <v>#REF!</v>
      </c>
      <c r="GP156" t="e">
        <f>AND(Bills!#REF!,"AAAAAE3/48U=")</f>
        <v>#REF!</v>
      </c>
      <c r="GQ156" t="e">
        <f>AND(Bills!#REF!,"AAAAAE3/48Y=")</f>
        <v>#REF!</v>
      </c>
      <c r="GR156" t="e">
        <f>AND(Bills!F625,"AAAAAE3/48c=")</f>
        <v>#VALUE!</v>
      </c>
      <c r="GS156" t="e">
        <f>AND(Bills!#REF!,"AAAAAE3/48g=")</f>
        <v>#REF!</v>
      </c>
      <c r="GT156" t="e">
        <f>AND(Bills!G625,"AAAAAE3/48k=")</f>
        <v>#VALUE!</v>
      </c>
      <c r="GU156" t="e">
        <f>AND(Bills!H625,"AAAAAE3/48o=")</f>
        <v>#VALUE!</v>
      </c>
      <c r="GV156" t="e">
        <f>AND(Bills!I625,"AAAAAE3/48s=")</f>
        <v>#VALUE!</v>
      </c>
      <c r="GW156" t="e">
        <f>AND(Bills!J625,"AAAAAE3/48w=")</f>
        <v>#VALUE!</v>
      </c>
      <c r="GX156" t="e">
        <f>AND(Bills!K625,"AAAAAE3/480=")</f>
        <v>#VALUE!</v>
      </c>
      <c r="GY156" t="e">
        <f>AND(Bills!L625,"AAAAAE3/484=")</f>
        <v>#VALUE!</v>
      </c>
      <c r="GZ156" t="e">
        <f>AND(Bills!#REF!,"AAAAAE3/488=")</f>
        <v>#REF!</v>
      </c>
      <c r="HA156" t="e">
        <f>AND(Bills!M625,"AAAAAE3/49A=")</f>
        <v>#VALUE!</v>
      </c>
      <c r="HB156" t="e">
        <f>AND(Bills!N625,"AAAAAE3/49E=")</f>
        <v>#VALUE!</v>
      </c>
      <c r="HC156" t="e">
        <f>AND(Bills!O625,"AAAAAE3/49I=")</f>
        <v>#VALUE!</v>
      </c>
      <c r="HD156" t="e">
        <f>AND(Bills!P625,"AAAAAE3/49M=")</f>
        <v>#VALUE!</v>
      </c>
      <c r="HE156" t="e">
        <f>AND(Bills!Q625,"AAAAAE3/49Q=")</f>
        <v>#VALUE!</v>
      </c>
      <c r="HF156" t="e">
        <f>AND(Bills!R625,"AAAAAE3/49U=")</f>
        <v>#VALUE!</v>
      </c>
      <c r="HG156" t="e">
        <f>AND(Bills!S625,"AAAAAE3/49Y=")</f>
        <v>#VALUE!</v>
      </c>
      <c r="HH156" t="e">
        <f>AND(Bills!T625,"AAAAAE3/49c=")</f>
        <v>#VALUE!</v>
      </c>
      <c r="HI156" t="e">
        <f>AND(Bills!#REF!,"AAAAAE3/49g=")</f>
        <v>#REF!</v>
      </c>
      <c r="HJ156" t="e">
        <f>AND(Bills!U625,"AAAAAE3/49k=")</f>
        <v>#VALUE!</v>
      </c>
      <c r="HK156" t="e">
        <f>AND(Bills!V625,"AAAAAE3/49o=")</f>
        <v>#VALUE!</v>
      </c>
      <c r="HL156" t="e">
        <f>AND(Bills!W625,"AAAAAE3/49s=")</f>
        <v>#VALUE!</v>
      </c>
      <c r="HM156" t="e">
        <f>AND(Bills!#REF!,"AAAAAE3/49w=")</f>
        <v>#REF!</v>
      </c>
      <c r="HN156" t="e">
        <f>AND(Bills!#REF!,"AAAAAE3/490=")</f>
        <v>#REF!</v>
      </c>
      <c r="HO156" t="e">
        <f>AND(Bills!Y625,"AAAAAE3/494=")</f>
        <v>#VALUE!</v>
      </c>
      <c r="HP156" t="e">
        <f>AND(Bills!Z625,"AAAAAE3/498=")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AND(Bills!AA625,"AAAAAE3/4+k=")</f>
        <v>#VALUE!</v>
      </c>
      <c r="IA156" t="e">
        <f>AND(Bills!AB625,"AAAAAE3/4+o=")</f>
        <v>#VALUE!</v>
      </c>
      <c r="IB156" t="e">
        <f>AND(Bills!#REF!,"AAAAAE3/4+s=")</f>
        <v>#REF!</v>
      </c>
      <c r="IC156" t="e">
        <f>AND(Bills!#REF!,"AAAAAE3/4+w=")</f>
        <v>#REF!</v>
      </c>
      <c r="ID156" t="e">
        <f>AND(Bills!#REF!,"AAAAAE3/4+0=")</f>
        <v>#REF!</v>
      </c>
      <c r="IE156" t="e">
        <f>AND(Bills!AC625,"AAAAAE3/4+4=")</f>
        <v>#VALUE!</v>
      </c>
      <c r="IF156" t="e">
        <f>AND(Bills!AD625,"AAAAAE3/4+8=")</f>
        <v>#VALUE!</v>
      </c>
      <c r="IG156" t="e">
        <f>AND(Bills!#REF!,"AAAAAE3/4/A=")</f>
        <v>#REF!</v>
      </c>
      <c r="IH156">
        <f>IF(Bills!626:626,"AAAAAE3/4/E=",0)</f>
        <v>0</v>
      </c>
      <c r="II156" t="e">
        <f>AND(Bills!B626,"AAAAAE3/4/I=")</f>
        <v>#VALUE!</v>
      </c>
      <c r="IJ156" t="e">
        <f>AND(Bills!#REF!,"AAAAAE3/4/M=")</f>
        <v>#REF!</v>
      </c>
      <c r="IK156" t="e">
        <f>AND(Bills!C626,"AAAAAE3/4/Q=")</f>
        <v>#VALUE!</v>
      </c>
      <c r="IL156" t="e">
        <f>AND(Bills!D626,"AAAAAE3/4/U=")</f>
        <v>#VALUE!</v>
      </c>
      <c r="IM156" t="e">
        <f>AND(Bills!E626,"AAAAAE3/4/Y=")</f>
        <v>#VALUE!</v>
      </c>
      <c r="IN156" t="e">
        <f>AND(Bills!#REF!,"AAAAAE3/4/c=")</f>
        <v>#REF!</v>
      </c>
      <c r="IO156" t="e">
        <f>AND(Bills!#REF!,"AAAAAE3/4/g=")</f>
        <v>#REF!</v>
      </c>
      <c r="IP156" t="e">
        <f>AND(Bills!#REF!,"AAAAAE3/4/k=")</f>
        <v>#REF!</v>
      </c>
      <c r="IQ156" t="e">
        <f>AND(Bills!F626,"AAAAAE3/4/o=")</f>
        <v>#VALUE!</v>
      </c>
      <c r="IR156" t="e">
        <f>AND(Bills!#REF!,"AAAAAE3/4/s=")</f>
        <v>#REF!</v>
      </c>
      <c r="IS156" t="e">
        <f>AND(Bills!G626,"AAAAAE3/4/w=")</f>
        <v>#VALUE!</v>
      </c>
      <c r="IT156" t="e">
        <f>AND(Bills!H626,"AAAAAE3/4/0=")</f>
        <v>#VALUE!</v>
      </c>
      <c r="IU156" t="e">
        <f>AND(Bills!I626,"AAAAAE3/4/4=")</f>
        <v>#VALUE!</v>
      </c>
      <c r="IV156" t="e">
        <f>AND(Bills!J626,"AAAAAE3/4/8=")</f>
        <v>#VALUE!</v>
      </c>
    </row>
    <row r="157" spans="1:256">
      <c r="A157" t="e">
        <f>AND(Bills!K626,"AAAAAFt29wA=")</f>
        <v>#VALUE!</v>
      </c>
      <c r="B157" t="e">
        <f>AND(Bills!L626,"AAAAAFt29wE=")</f>
        <v>#VALUE!</v>
      </c>
      <c r="C157" t="e">
        <f>AND(Bills!#REF!,"AAAAAFt29wI=")</f>
        <v>#REF!</v>
      </c>
      <c r="D157" t="e">
        <f>AND(Bills!M626,"AAAAAFt29wM=")</f>
        <v>#VALUE!</v>
      </c>
      <c r="E157" t="e">
        <f>AND(Bills!N626,"AAAAAFt29wQ=")</f>
        <v>#VALUE!</v>
      </c>
      <c r="F157" t="e">
        <f>AND(Bills!O626,"AAAAAFt29wU=")</f>
        <v>#VALUE!</v>
      </c>
      <c r="G157" t="e">
        <f>AND(Bills!P626,"AAAAAFt29wY=")</f>
        <v>#VALUE!</v>
      </c>
      <c r="H157" t="e">
        <f>AND(Bills!Q626,"AAAAAFt29wc=")</f>
        <v>#VALUE!</v>
      </c>
      <c r="I157" t="e">
        <f>AND(Bills!R626,"AAAAAFt29wg=")</f>
        <v>#VALUE!</v>
      </c>
      <c r="J157" t="e">
        <f>AND(Bills!S626,"AAAAAFt29wk=")</f>
        <v>#VALUE!</v>
      </c>
      <c r="K157" t="e">
        <f>AND(Bills!T626,"AAAAAFt29wo=")</f>
        <v>#VALUE!</v>
      </c>
      <c r="L157" t="e">
        <f>AND(Bills!#REF!,"AAAAAFt29ws=")</f>
        <v>#REF!</v>
      </c>
      <c r="M157" t="e">
        <f>AND(Bills!U626,"AAAAAFt29ww=")</f>
        <v>#VALUE!</v>
      </c>
      <c r="N157" t="e">
        <f>AND(Bills!V626,"AAAAAFt29w0=")</f>
        <v>#VALUE!</v>
      </c>
      <c r="O157" t="e">
        <f>AND(Bills!W626,"AAAAAFt29w4=")</f>
        <v>#VALUE!</v>
      </c>
      <c r="P157" t="e">
        <f>AND(Bills!#REF!,"AAAAAFt29w8=")</f>
        <v>#REF!</v>
      </c>
      <c r="Q157" t="e">
        <f>AND(Bills!#REF!,"AAAAAFt29xA=")</f>
        <v>#REF!</v>
      </c>
      <c r="R157" t="e">
        <f>AND(Bills!Y626,"AAAAAFt29xE=")</f>
        <v>#VALUE!</v>
      </c>
      <c r="S157" t="e">
        <f>AND(Bills!Z626,"AAAAAFt29xI=")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AND(Bills!AA626,"AAAAAFt29xw=")</f>
        <v>#VALUE!</v>
      </c>
      <c r="AD157" t="e">
        <f>AND(Bills!AB626,"AAAAAFt29x0=")</f>
        <v>#VALUE!</v>
      </c>
      <c r="AE157" t="e">
        <f>AND(Bills!#REF!,"AAAAAFt29x4=")</f>
        <v>#REF!</v>
      </c>
      <c r="AF157" t="e">
        <f>AND(Bills!#REF!,"AAAAAFt29x8=")</f>
        <v>#REF!</v>
      </c>
      <c r="AG157" t="e">
        <f>AND(Bills!#REF!,"AAAAAFt29yA=")</f>
        <v>#REF!</v>
      </c>
      <c r="AH157" t="e">
        <f>AND(Bills!AC626,"AAAAAFt29yE=")</f>
        <v>#VALUE!</v>
      </c>
      <c r="AI157" t="e">
        <f>AND(Bills!AD626,"AAAAAFt29yI=")</f>
        <v>#VALUE!</v>
      </c>
      <c r="AJ157" t="e">
        <f>AND(Bills!#REF!,"AAAAAFt29yM=")</f>
        <v>#REF!</v>
      </c>
      <c r="AK157">
        <f>IF(Bills!627:627,"AAAAAFt29yQ=",0)</f>
        <v>0</v>
      </c>
      <c r="AL157" t="e">
        <f>AND(Bills!B627,"AAAAAFt29yU=")</f>
        <v>#VALUE!</v>
      </c>
      <c r="AM157" t="e">
        <f>AND(Bills!#REF!,"AAAAAFt29yY=")</f>
        <v>#REF!</v>
      </c>
      <c r="AN157" t="e">
        <f>AND(Bills!C627,"AAAAAFt29yc=")</f>
        <v>#VALUE!</v>
      </c>
      <c r="AO157" t="e">
        <f>AND(Bills!D627,"AAAAAFt29yg=")</f>
        <v>#VALUE!</v>
      </c>
      <c r="AP157" t="e">
        <f>AND(Bills!E627,"AAAAAFt29yk=")</f>
        <v>#VALUE!</v>
      </c>
      <c r="AQ157" t="e">
        <f>AND(Bills!#REF!,"AAAAAFt29yo=")</f>
        <v>#REF!</v>
      </c>
      <c r="AR157" t="e">
        <f>AND(Bills!#REF!,"AAAAAFt29ys=")</f>
        <v>#REF!</v>
      </c>
      <c r="AS157" t="e">
        <f>AND(Bills!#REF!,"AAAAAFt29yw=")</f>
        <v>#REF!</v>
      </c>
      <c r="AT157" t="e">
        <f>AND(Bills!F627,"AAAAAFt29y0=")</f>
        <v>#VALUE!</v>
      </c>
      <c r="AU157" t="e">
        <f>AND(Bills!#REF!,"AAAAAFt29y4=")</f>
        <v>#REF!</v>
      </c>
      <c r="AV157" t="e">
        <f>AND(Bills!G627,"AAAAAFt29y8=")</f>
        <v>#VALUE!</v>
      </c>
      <c r="AW157" t="e">
        <f>AND(Bills!H627,"AAAAAFt29zA=")</f>
        <v>#VALUE!</v>
      </c>
      <c r="AX157" t="e">
        <f>AND(Bills!I627,"AAAAAFt29zE=")</f>
        <v>#VALUE!</v>
      </c>
      <c r="AY157" t="e">
        <f>AND(Bills!J627,"AAAAAFt29zI=")</f>
        <v>#VALUE!</v>
      </c>
      <c r="AZ157" t="e">
        <f>AND(Bills!K627,"AAAAAFt29zM=")</f>
        <v>#VALUE!</v>
      </c>
      <c r="BA157" t="e">
        <f>AND(Bills!L627,"AAAAAFt29zQ=")</f>
        <v>#VALUE!</v>
      </c>
      <c r="BB157" t="e">
        <f>AND(Bills!#REF!,"AAAAAFt29zU=")</f>
        <v>#REF!</v>
      </c>
      <c r="BC157" t="e">
        <f>AND(Bills!M627,"AAAAAFt29zY=")</f>
        <v>#VALUE!</v>
      </c>
      <c r="BD157" t="e">
        <f>AND(Bills!N627,"AAAAAFt29zc=")</f>
        <v>#VALUE!</v>
      </c>
      <c r="BE157" t="e">
        <f>AND(Bills!O627,"AAAAAFt29zg=")</f>
        <v>#VALUE!</v>
      </c>
      <c r="BF157" t="e">
        <f>AND(Bills!P627,"AAAAAFt29zk=")</f>
        <v>#VALUE!</v>
      </c>
      <c r="BG157" t="e">
        <f>AND(Bills!Q627,"AAAAAFt29zo=")</f>
        <v>#VALUE!</v>
      </c>
      <c r="BH157" t="e">
        <f>AND(Bills!R627,"AAAAAFt29zs=")</f>
        <v>#VALUE!</v>
      </c>
      <c r="BI157" t="e">
        <f>AND(Bills!S627,"AAAAAFt29zw=")</f>
        <v>#VALUE!</v>
      </c>
      <c r="BJ157" t="e">
        <f>AND(Bills!T627,"AAAAAFt29z0=")</f>
        <v>#VALUE!</v>
      </c>
      <c r="BK157" t="e">
        <f>AND(Bills!#REF!,"AAAAAFt29z4=")</f>
        <v>#REF!</v>
      </c>
      <c r="BL157" t="e">
        <f>AND(Bills!U627,"AAAAAFt29z8=")</f>
        <v>#VALUE!</v>
      </c>
      <c r="BM157" t="e">
        <f>AND(Bills!V627,"AAAAAFt290A=")</f>
        <v>#VALUE!</v>
      </c>
      <c r="BN157" t="e">
        <f>AND(Bills!W627,"AAAAAFt290E=")</f>
        <v>#VALUE!</v>
      </c>
      <c r="BO157" t="e">
        <f>AND(Bills!#REF!,"AAAAAFt290I=")</f>
        <v>#REF!</v>
      </c>
      <c r="BP157" t="e">
        <f>AND(Bills!#REF!,"AAAAAFt290M=")</f>
        <v>#REF!</v>
      </c>
      <c r="BQ157" t="e">
        <f>AND(Bills!Y627,"AAAAAFt290Q=")</f>
        <v>#VALUE!</v>
      </c>
      <c r="BR157" t="e">
        <f>AND(Bills!Z627,"AAAAAFt290U=")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AND(Bills!AA627,"AAAAAFt2908=")</f>
        <v>#VALUE!</v>
      </c>
      <c r="CC157" t="e">
        <f>AND(Bills!AB627,"AAAAAFt291A=")</f>
        <v>#VALUE!</v>
      </c>
      <c r="CD157" t="e">
        <f>AND(Bills!#REF!,"AAAAAFt291E=")</f>
        <v>#REF!</v>
      </c>
      <c r="CE157" t="e">
        <f>AND(Bills!#REF!,"AAAAAFt291I=")</f>
        <v>#REF!</v>
      </c>
      <c r="CF157" t="e">
        <f>AND(Bills!#REF!,"AAAAAFt291M=")</f>
        <v>#REF!</v>
      </c>
      <c r="CG157" t="e">
        <f>AND(Bills!AC627,"AAAAAFt291Q=")</f>
        <v>#VALUE!</v>
      </c>
      <c r="CH157" t="e">
        <f>AND(Bills!AD627,"AAAAAFt291U=")</f>
        <v>#VALUE!</v>
      </c>
      <c r="CI157" t="e">
        <f>AND(Bills!#REF!,"AAAAAFt291Y=")</f>
        <v>#REF!</v>
      </c>
      <c r="CJ157">
        <f>IF(Bills!628:628,"AAAAAFt291c=",0)</f>
        <v>0</v>
      </c>
      <c r="CK157" t="e">
        <f>AND(Bills!B628,"AAAAAFt291g=")</f>
        <v>#VALUE!</v>
      </c>
      <c r="CL157" t="e">
        <f>AND(Bills!#REF!,"AAAAAFt291k=")</f>
        <v>#REF!</v>
      </c>
      <c r="CM157" t="e">
        <f>AND(Bills!C628,"AAAAAFt291o=")</f>
        <v>#VALUE!</v>
      </c>
      <c r="CN157" t="e">
        <f>AND(Bills!D628,"AAAAAFt291s=")</f>
        <v>#VALUE!</v>
      </c>
      <c r="CO157" t="e">
        <f>AND(Bills!E628,"AAAAAFt291w=")</f>
        <v>#VALUE!</v>
      </c>
      <c r="CP157" t="e">
        <f>AND(Bills!#REF!,"AAAAAFt2910=")</f>
        <v>#REF!</v>
      </c>
      <c r="CQ157" t="e">
        <f>AND(Bills!#REF!,"AAAAAFt2914=")</f>
        <v>#REF!</v>
      </c>
      <c r="CR157" t="e">
        <f>AND(Bills!#REF!,"AAAAAFt2918=")</f>
        <v>#REF!</v>
      </c>
      <c r="CS157" t="e">
        <f>AND(Bills!F628,"AAAAAFt292A=")</f>
        <v>#VALUE!</v>
      </c>
      <c r="CT157" t="e">
        <f>AND(Bills!#REF!,"AAAAAFt292E=")</f>
        <v>#REF!</v>
      </c>
      <c r="CU157" t="e">
        <f>AND(Bills!G628,"AAAAAFt292I=")</f>
        <v>#VALUE!</v>
      </c>
      <c r="CV157" t="e">
        <f>AND(Bills!H628,"AAAAAFt292M=")</f>
        <v>#VALUE!</v>
      </c>
      <c r="CW157" t="e">
        <f>AND(Bills!I628,"AAAAAFt292Q=")</f>
        <v>#VALUE!</v>
      </c>
      <c r="CX157" t="e">
        <f>AND(Bills!J628,"AAAAAFt292U=")</f>
        <v>#VALUE!</v>
      </c>
      <c r="CY157" t="e">
        <f>AND(Bills!K628,"AAAAAFt292Y=")</f>
        <v>#VALUE!</v>
      </c>
      <c r="CZ157" t="e">
        <f>AND(Bills!L628,"AAAAAFt292c=")</f>
        <v>#VALUE!</v>
      </c>
      <c r="DA157" t="e">
        <f>AND(Bills!#REF!,"AAAAAFt292g=")</f>
        <v>#REF!</v>
      </c>
      <c r="DB157" t="e">
        <f>AND(Bills!M628,"AAAAAFt292k=")</f>
        <v>#VALUE!</v>
      </c>
      <c r="DC157" t="e">
        <f>AND(Bills!N628,"AAAAAFt292o=")</f>
        <v>#VALUE!</v>
      </c>
      <c r="DD157" t="e">
        <f>AND(Bills!O628,"AAAAAFt292s=")</f>
        <v>#VALUE!</v>
      </c>
      <c r="DE157" t="e">
        <f>AND(Bills!P628,"AAAAAFt292w=")</f>
        <v>#VALUE!</v>
      </c>
      <c r="DF157" t="e">
        <f>AND(Bills!Q628,"AAAAAFt2920=")</f>
        <v>#VALUE!</v>
      </c>
      <c r="DG157" t="e">
        <f>AND(Bills!R628,"AAAAAFt2924=")</f>
        <v>#VALUE!</v>
      </c>
      <c r="DH157" t="e">
        <f>AND(Bills!S628,"AAAAAFt2928=")</f>
        <v>#VALUE!</v>
      </c>
      <c r="DI157" t="e">
        <f>AND(Bills!T628,"AAAAAFt293A=")</f>
        <v>#VALUE!</v>
      </c>
      <c r="DJ157" t="e">
        <f>AND(Bills!#REF!,"AAAAAFt293E=")</f>
        <v>#REF!</v>
      </c>
      <c r="DK157" t="e">
        <f>AND(Bills!U628,"AAAAAFt293I=")</f>
        <v>#VALUE!</v>
      </c>
      <c r="DL157" t="e">
        <f>AND(Bills!V628,"AAAAAFt293M=")</f>
        <v>#VALUE!</v>
      </c>
      <c r="DM157" t="e">
        <f>AND(Bills!W628,"AAAAAFt293Q=")</f>
        <v>#VALUE!</v>
      </c>
      <c r="DN157" t="e">
        <f>AND(Bills!#REF!,"AAAAAFt293U=")</f>
        <v>#REF!</v>
      </c>
      <c r="DO157" t="e">
        <f>AND(Bills!#REF!,"AAAAAFt293Y=")</f>
        <v>#REF!</v>
      </c>
      <c r="DP157" t="e">
        <f>AND(Bills!Y628,"AAAAAFt293c=")</f>
        <v>#VALUE!</v>
      </c>
      <c r="DQ157" t="e">
        <f>AND(Bills!Z628,"AAAAAFt293g=")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AND(Bills!AA628,"AAAAAFt294I=")</f>
        <v>#VALUE!</v>
      </c>
      <c r="EB157" t="e">
        <f>AND(Bills!AB628,"AAAAAFt294M=")</f>
        <v>#VALUE!</v>
      </c>
      <c r="EC157" t="e">
        <f>AND(Bills!#REF!,"AAAAAFt294Q=")</f>
        <v>#REF!</v>
      </c>
      <c r="ED157" t="e">
        <f>AND(Bills!#REF!,"AAAAAFt294U=")</f>
        <v>#REF!</v>
      </c>
      <c r="EE157" t="e">
        <f>AND(Bills!#REF!,"AAAAAFt294Y=")</f>
        <v>#REF!</v>
      </c>
      <c r="EF157" t="e">
        <f>AND(Bills!AC628,"AAAAAFt294c=")</f>
        <v>#VALUE!</v>
      </c>
      <c r="EG157" t="e">
        <f>AND(Bills!AD628,"AAAAAFt294g=")</f>
        <v>#VALUE!</v>
      </c>
      <c r="EH157" t="e">
        <f>AND(Bills!#REF!,"AAAAAFt294k=")</f>
        <v>#REF!</v>
      </c>
      <c r="EI157">
        <f>IF(Bills!629:629,"AAAAAFt294o=",0)</f>
        <v>0</v>
      </c>
      <c r="EJ157" t="e">
        <f>AND(Bills!B629,"AAAAAFt294s=")</f>
        <v>#VALUE!</v>
      </c>
      <c r="EK157" t="e">
        <f>AND(Bills!#REF!,"AAAAAFt294w=")</f>
        <v>#REF!</v>
      </c>
      <c r="EL157" t="e">
        <f>AND(Bills!C629,"AAAAAFt2940=")</f>
        <v>#VALUE!</v>
      </c>
      <c r="EM157" t="e">
        <f>AND(Bills!D629,"AAAAAFt2944=")</f>
        <v>#VALUE!</v>
      </c>
      <c r="EN157" t="e">
        <f>AND(Bills!E629,"AAAAAFt2948=")</f>
        <v>#VALUE!</v>
      </c>
      <c r="EO157" t="e">
        <f>AND(Bills!#REF!,"AAAAAFt295A=")</f>
        <v>#REF!</v>
      </c>
      <c r="EP157" t="e">
        <f>AND(Bills!#REF!,"AAAAAFt295E=")</f>
        <v>#REF!</v>
      </c>
      <c r="EQ157" t="e">
        <f>AND(Bills!#REF!,"AAAAAFt295I=")</f>
        <v>#REF!</v>
      </c>
      <c r="ER157" t="e">
        <f>AND(Bills!F629,"AAAAAFt295M=")</f>
        <v>#VALUE!</v>
      </c>
      <c r="ES157" t="e">
        <f>AND(Bills!#REF!,"AAAAAFt295Q=")</f>
        <v>#REF!</v>
      </c>
      <c r="ET157" t="e">
        <f>AND(Bills!G629,"AAAAAFt295U=")</f>
        <v>#VALUE!</v>
      </c>
      <c r="EU157" t="e">
        <f>AND(Bills!H629,"AAAAAFt295Y=")</f>
        <v>#VALUE!</v>
      </c>
      <c r="EV157" t="e">
        <f>AND(Bills!I629,"AAAAAFt295c=")</f>
        <v>#VALUE!</v>
      </c>
      <c r="EW157" t="e">
        <f>AND(Bills!J629,"AAAAAFt295g=")</f>
        <v>#VALUE!</v>
      </c>
      <c r="EX157" t="e">
        <f>AND(Bills!K629,"AAAAAFt295k=")</f>
        <v>#VALUE!</v>
      </c>
      <c r="EY157" t="e">
        <f>AND(Bills!L629,"AAAAAFt295o=")</f>
        <v>#VALUE!</v>
      </c>
      <c r="EZ157" t="e">
        <f>AND(Bills!#REF!,"AAAAAFt295s=")</f>
        <v>#REF!</v>
      </c>
      <c r="FA157" t="e">
        <f>AND(Bills!M629,"AAAAAFt295w=")</f>
        <v>#VALUE!</v>
      </c>
      <c r="FB157" t="e">
        <f>AND(Bills!N629,"AAAAAFt2950=")</f>
        <v>#VALUE!</v>
      </c>
      <c r="FC157" t="e">
        <f>AND(Bills!O629,"AAAAAFt2954=")</f>
        <v>#VALUE!</v>
      </c>
      <c r="FD157" t="e">
        <f>AND(Bills!P629,"AAAAAFt2958=")</f>
        <v>#VALUE!</v>
      </c>
      <c r="FE157" t="e">
        <f>AND(Bills!Q629,"AAAAAFt296A=")</f>
        <v>#VALUE!</v>
      </c>
      <c r="FF157" t="e">
        <f>AND(Bills!R629,"AAAAAFt296E=")</f>
        <v>#VALUE!</v>
      </c>
      <c r="FG157" t="e">
        <f>AND(Bills!S629,"AAAAAFt296I=")</f>
        <v>#VALUE!</v>
      </c>
      <c r="FH157" t="e">
        <f>AND(Bills!T629,"AAAAAFt296M=")</f>
        <v>#VALUE!</v>
      </c>
      <c r="FI157" t="e">
        <f>AND(Bills!#REF!,"AAAAAFt296Q=")</f>
        <v>#REF!</v>
      </c>
      <c r="FJ157" t="e">
        <f>AND(Bills!U629,"AAAAAFt296U=")</f>
        <v>#VALUE!</v>
      </c>
      <c r="FK157" t="e">
        <f>AND(Bills!V629,"AAAAAFt296Y=")</f>
        <v>#VALUE!</v>
      </c>
      <c r="FL157" t="e">
        <f>AND(Bills!W629,"AAAAAFt296c=")</f>
        <v>#VALUE!</v>
      </c>
      <c r="FM157" t="e">
        <f>AND(Bills!#REF!,"AAAAAFt296g=")</f>
        <v>#REF!</v>
      </c>
      <c r="FN157" t="e">
        <f>AND(Bills!#REF!,"AAAAAFt296k=")</f>
        <v>#REF!</v>
      </c>
      <c r="FO157" t="e">
        <f>AND(Bills!Y629,"AAAAAFt296o=")</f>
        <v>#VALUE!</v>
      </c>
      <c r="FP157" t="e">
        <f>AND(Bills!Z629,"AAAAAFt296s=")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AND(Bills!AA629,"AAAAAFt297U=")</f>
        <v>#VALUE!</v>
      </c>
      <c r="GA157" t="e">
        <f>AND(Bills!AB629,"AAAAAFt297Y=")</f>
        <v>#VALUE!</v>
      </c>
      <c r="GB157" t="e">
        <f>AND(Bills!#REF!,"AAAAAFt297c=")</f>
        <v>#REF!</v>
      </c>
      <c r="GC157" t="e">
        <f>AND(Bills!#REF!,"AAAAAFt297g=")</f>
        <v>#REF!</v>
      </c>
      <c r="GD157" t="e">
        <f>AND(Bills!#REF!,"AAAAAFt297k=")</f>
        <v>#REF!</v>
      </c>
      <c r="GE157" t="e">
        <f>AND(Bills!AC629,"AAAAAFt297o=")</f>
        <v>#VALUE!</v>
      </c>
      <c r="GF157" t="e">
        <f>AND(Bills!AD629,"AAAAAFt297s=")</f>
        <v>#VALUE!</v>
      </c>
      <c r="GG157" t="e">
        <f>AND(Bills!#REF!,"AAAAAFt297w=")</f>
        <v>#REF!</v>
      </c>
      <c r="GH157">
        <f>IF(Bills!630:630,"AAAAAFt2970=",0)</f>
        <v>0</v>
      </c>
      <c r="GI157" t="e">
        <f>AND(Bills!B630,"AAAAAFt2974=")</f>
        <v>#VALUE!</v>
      </c>
      <c r="GJ157" t="e">
        <f>AND(Bills!#REF!,"AAAAAFt2978=")</f>
        <v>#REF!</v>
      </c>
      <c r="GK157" t="e">
        <f>AND(Bills!C630,"AAAAAFt298A=")</f>
        <v>#VALUE!</v>
      </c>
      <c r="GL157" t="e">
        <f>AND(Bills!D630,"AAAAAFt298E=")</f>
        <v>#VALUE!</v>
      </c>
      <c r="GM157" t="e">
        <f>AND(Bills!E630,"AAAAAFt298I=")</f>
        <v>#VALUE!</v>
      </c>
      <c r="GN157" t="e">
        <f>AND(Bills!#REF!,"AAAAAFt298M=")</f>
        <v>#REF!</v>
      </c>
      <c r="GO157" t="e">
        <f>AND(Bills!#REF!,"AAAAAFt298Q=")</f>
        <v>#REF!</v>
      </c>
      <c r="GP157" t="e">
        <f>AND(Bills!#REF!,"AAAAAFt298U=")</f>
        <v>#REF!</v>
      </c>
      <c r="GQ157" t="e">
        <f>AND(Bills!F630,"AAAAAFt298Y=")</f>
        <v>#VALUE!</v>
      </c>
      <c r="GR157" t="e">
        <f>AND(Bills!#REF!,"AAAAAFt298c=")</f>
        <v>#REF!</v>
      </c>
      <c r="GS157" t="e">
        <f>AND(Bills!G630,"AAAAAFt298g=")</f>
        <v>#VALUE!</v>
      </c>
      <c r="GT157" t="e">
        <f>AND(Bills!H630,"AAAAAFt298k=")</f>
        <v>#VALUE!</v>
      </c>
      <c r="GU157" t="e">
        <f>AND(Bills!I630,"AAAAAFt298o=")</f>
        <v>#VALUE!</v>
      </c>
      <c r="GV157" t="e">
        <f>AND(Bills!J630,"AAAAAFt298s=")</f>
        <v>#VALUE!</v>
      </c>
      <c r="GW157" t="e">
        <f>AND(Bills!K630,"AAAAAFt298w=")</f>
        <v>#VALUE!</v>
      </c>
      <c r="GX157" t="e">
        <f>AND(Bills!L630,"AAAAAFt2980=")</f>
        <v>#VALUE!</v>
      </c>
      <c r="GY157" t="e">
        <f>AND(Bills!#REF!,"AAAAAFt2984=")</f>
        <v>#REF!</v>
      </c>
      <c r="GZ157" t="e">
        <f>AND(Bills!M630,"AAAAAFt2988=")</f>
        <v>#VALUE!</v>
      </c>
      <c r="HA157" t="e">
        <f>AND(Bills!N630,"AAAAAFt299A=")</f>
        <v>#VALUE!</v>
      </c>
      <c r="HB157" t="e">
        <f>AND(Bills!O630,"AAAAAFt299E=")</f>
        <v>#VALUE!</v>
      </c>
      <c r="HC157" t="e">
        <f>AND(Bills!P630,"AAAAAFt299I=")</f>
        <v>#VALUE!</v>
      </c>
      <c r="HD157" t="e">
        <f>AND(Bills!Q630,"AAAAAFt299M=")</f>
        <v>#VALUE!</v>
      </c>
      <c r="HE157" t="e">
        <f>AND(Bills!R630,"AAAAAFt299Q=")</f>
        <v>#VALUE!</v>
      </c>
      <c r="HF157" t="e">
        <f>AND(Bills!S630,"AAAAAFt299U=")</f>
        <v>#VALUE!</v>
      </c>
      <c r="HG157" t="e">
        <f>AND(Bills!T630,"AAAAAFt299Y=")</f>
        <v>#VALUE!</v>
      </c>
      <c r="HH157" t="e">
        <f>AND(Bills!#REF!,"AAAAAFt299c=")</f>
        <v>#REF!</v>
      </c>
      <c r="HI157" t="e">
        <f>AND(Bills!U630,"AAAAAFt299g=")</f>
        <v>#VALUE!</v>
      </c>
      <c r="HJ157" t="e">
        <f>AND(Bills!V630,"AAAAAFt299k=")</f>
        <v>#VALUE!</v>
      </c>
      <c r="HK157" t="e">
        <f>AND(Bills!W630,"AAAAAFt299o=")</f>
        <v>#VALUE!</v>
      </c>
      <c r="HL157" t="e">
        <f>AND(Bills!#REF!,"AAAAAFt299s=")</f>
        <v>#REF!</v>
      </c>
      <c r="HM157" t="e">
        <f>AND(Bills!#REF!,"AAAAAFt299w=")</f>
        <v>#REF!</v>
      </c>
      <c r="HN157" t="e">
        <f>AND(Bills!Y630,"AAAAAFt2990=")</f>
        <v>#VALUE!</v>
      </c>
      <c r="HO157" t="e">
        <f>AND(Bills!Z630,"AAAAAFt2994=")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AND(Bills!AA630,"AAAAAFt29+g=")</f>
        <v>#VALUE!</v>
      </c>
      <c r="HZ157" t="e">
        <f>AND(Bills!AB630,"AAAAAFt29+k=")</f>
        <v>#VALUE!</v>
      </c>
      <c r="IA157" t="e">
        <f>AND(Bills!#REF!,"AAAAAFt29+o=")</f>
        <v>#REF!</v>
      </c>
      <c r="IB157" t="e">
        <f>AND(Bills!#REF!,"AAAAAFt29+s=")</f>
        <v>#REF!</v>
      </c>
      <c r="IC157" t="e">
        <f>AND(Bills!#REF!,"AAAAAFt29+w=")</f>
        <v>#REF!</v>
      </c>
      <c r="ID157" t="e">
        <f>AND(Bills!AC630,"AAAAAFt29+0=")</f>
        <v>#VALUE!</v>
      </c>
      <c r="IE157" t="e">
        <f>AND(Bills!AD630,"AAAAAFt29+4=")</f>
        <v>#VALUE!</v>
      </c>
      <c r="IF157" t="e">
        <f>AND(Bills!#REF!,"AAAAAFt29+8=")</f>
        <v>#REF!</v>
      </c>
      <c r="IG157">
        <f>IF(Bills!631:631,"AAAAAFt29/A=",0)</f>
        <v>0</v>
      </c>
      <c r="IH157" t="e">
        <f>AND(Bills!B631,"AAAAAFt29/E=")</f>
        <v>#VALUE!</v>
      </c>
      <c r="II157" t="e">
        <f>AND(Bills!#REF!,"AAAAAFt29/I=")</f>
        <v>#REF!</v>
      </c>
      <c r="IJ157" t="e">
        <f>AND(Bills!C631,"AAAAAFt29/M=")</f>
        <v>#VALUE!</v>
      </c>
      <c r="IK157" t="e">
        <f>AND(Bills!D631,"AAAAAFt29/Q=")</f>
        <v>#VALUE!</v>
      </c>
      <c r="IL157" t="e">
        <f>AND(Bills!E631,"AAAAAFt29/U=")</f>
        <v>#VALUE!</v>
      </c>
      <c r="IM157" t="e">
        <f>AND(Bills!#REF!,"AAAAAFt29/Y=")</f>
        <v>#REF!</v>
      </c>
      <c r="IN157" t="e">
        <f>AND(Bills!#REF!,"AAAAAFt29/c=")</f>
        <v>#REF!</v>
      </c>
      <c r="IO157" t="e">
        <f>AND(Bills!#REF!,"AAAAAFt29/g=")</f>
        <v>#REF!</v>
      </c>
      <c r="IP157" t="e">
        <f>AND(Bills!F631,"AAAAAFt29/k=")</f>
        <v>#VALUE!</v>
      </c>
      <c r="IQ157" t="e">
        <f>AND(Bills!#REF!,"AAAAAFt29/o=")</f>
        <v>#REF!</v>
      </c>
      <c r="IR157" t="e">
        <f>AND(Bills!G631,"AAAAAFt29/s=")</f>
        <v>#VALUE!</v>
      </c>
      <c r="IS157" t="e">
        <f>AND(Bills!H631,"AAAAAFt29/w=")</f>
        <v>#VALUE!</v>
      </c>
      <c r="IT157" t="e">
        <f>AND(Bills!I631,"AAAAAFt29/0=")</f>
        <v>#VALUE!</v>
      </c>
      <c r="IU157" t="e">
        <f>AND(Bills!J631,"AAAAAFt29/4=")</f>
        <v>#VALUE!</v>
      </c>
      <c r="IV157" t="e">
        <f>AND(Bills!K631,"AAAAAFt29/8=")</f>
        <v>#VALUE!</v>
      </c>
    </row>
    <row r="158" spans="1:256">
      <c r="A158" t="e">
        <f>AND(Bills!L631,"AAAAAH+1fwA=")</f>
        <v>#VALUE!</v>
      </c>
      <c r="B158" t="e">
        <f>AND(Bills!#REF!,"AAAAAH+1fwE=")</f>
        <v>#REF!</v>
      </c>
      <c r="C158" t="e">
        <f>AND(Bills!M631,"AAAAAH+1fwI=")</f>
        <v>#VALUE!</v>
      </c>
      <c r="D158" t="e">
        <f>AND(Bills!N631,"AAAAAH+1fwM=")</f>
        <v>#VALUE!</v>
      </c>
      <c r="E158" t="e">
        <f>AND(Bills!O631,"AAAAAH+1fwQ=")</f>
        <v>#VALUE!</v>
      </c>
      <c r="F158" t="e">
        <f>AND(Bills!P631,"AAAAAH+1fwU=")</f>
        <v>#VALUE!</v>
      </c>
      <c r="G158" t="e">
        <f>AND(Bills!Q631,"AAAAAH+1fwY=")</f>
        <v>#VALUE!</v>
      </c>
      <c r="H158" t="e">
        <f>AND(Bills!R631,"AAAAAH+1fwc=")</f>
        <v>#VALUE!</v>
      </c>
      <c r="I158" t="e">
        <f>AND(Bills!S631,"AAAAAH+1fwg=")</f>
        <v>#VALUE!</v>
      </c>
      <c r="J158" t="e">
        <f>AND(Bills!T631,"AAAAAH+1fwk=")</f>
        <v>#VALUE!</v>
      </c>
      <c r="K158" t="e">
        <f>AND(Bills!#REF!,"AAAAAH+1fwo=")</f>
        <v>#REF!</v>
      </c>
      <c r="L158" t="e">
        <f>AND(Bills!U631,"AAAAAH+1fws=")</f>
        <v>#VALUE!</v>
      </c>
      <c r="M158" t="e">
        <f>AND(Bills!V631,"AAAAAH+1fww=")</f>
        <v>#VALUE!</v>
      </c>
      <c r="N158" t="e">
        <f>AND(Bills!W631,"AAAAAH+1fw0=")</f>
        <v>#VALUE!</v>
      </c>
      <c r="O158" t="e">
        <f>AND(Bills!#REF!,"AAAAAH+1fw4=")</f>
        <v>#REF!</v>
      </c>
      <c r="P158" t="e">
        <f>AND(Bills!#REF!,"AAAAAH+1fw8=")</f>
        <v>#REF!</v>
      </c>
      <c r="Q158" t="e">
        <f>AND(Bills!Y631,"AAAAAH+1fxA=")</f>
        <v>#VALUE!</v>
      </c>
      <c r="R158" t="e">
        <f>AND(Bills!Z631,"AAAAAH+1fxE=")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AND(Bills!AA631,"AAAAAH+1fxs=")</f>
        <v>#VALUE!</v>
      </c>
      <c r="AC158" t="e">
        <f>AND(Bills!AB631,"AAAAAH+1fxw=")</f>
        <v>#VALUE!</v>
      </c>
      <c r="AD158" t="e">
        <f>AND(Bills!#REF!,"AAAAAH+1fx0=")</f>
        <v>#REF!</v>
      </c>
      <c r="AE158" t="e">
        <f>AND(Bills!#REF!,"AAAAAH+1fx4=")</f>
        <v>#REF!</v>
      </c>
      <c r="AF158" t="e">
        <f>AND(Bills!#REF!,"AAAAAH+1fx8=")</f>
        <v>#REF!</v>
      </c>
      <c r="AG158" t="e">
        <f>AND(Bills!AC631,"AAAAAH+1fyA=")</f>
        <v>#VALUE!</v>
      </c>
      <c r="AH158" t="e">
        <f>AND(Bills!AD631,"AAAAAH+1fyE=")</f>
        <v>#VALUE!</v>
      </c>
      <c r="AI158" t="e">
        <f>AND(Bills!#REF!,"AAAAAH+1fyI=")</f>
        <v>#REF!</v>
      </c>
      <c r="AJ158">
        <f>IF(Bills!632:632,"AAAAAH+1fyM=",0)</f>
        <v>0</v>
      </c>
      <c r="AK158" t="e">
        <f>AND(Bills!B632,"AAAAAH+1fyQ=")</f>
        <v>#VALUE!</v>
      </c>
      <c r="AL158" t="e">
        <f>AND(Bills!#REF!,"AAAAAH+1fyU=")</f>
        <v>#REF!</v>
      </c>
      <c r="AM158" t="e">
        <f>AND(Bills!C632,"AAAAAH+1fyY=")</f>
        <v>#VALUE!</v>
      </c>
      <c r="AN158" t="e">
        <f>AND(Bills!D632,"AAAAAH+1fyc=")</f>
        <v>#VALUE!</v>
      </c>
      <c r="AO158" t="e">
        <f>AND(Bills!E632,"AAAAAH+1fyg=")</f>
        <v>#VALUE!</v>
      </c>
      <c r="AP158" t="e">
        <f>AND(Bills!#REF!,"AAAAAH+1fyk=")</f>
        <v>#REF!</v>
      </c>
      <c r="AQ158" t="e">
        <f>AND(Bills!#REF!,"AAAAAH+1fyo=")</f>
        <v>#REF!</v>
      </c>
      <c r="AR158" t="e">
        <f>AND(Bills!#REF!,"AAAAAH+1fys=")</f>
        <v>#REF!</v>
      </c>
      <c r="AS158" t="e">
        <f>AND(Bills!F632,"AAAAAH+1fyw=")</f>
        <v>#VALUE!</v>
      </c>
      <c r="AT158" t="e">
        <f>AND(Bills!#REF!,"AAAAAH+1fy0=")</f>
        <v>#REF!</v>
      </c>
      <c r="AU158" t="e">
        <f>AND(Bills!G632,"AAAAAH+1fy4=")</f>
        <v>#VALUE!</v>
      </c>
      <c r="AV158" t="e">
        <f>AND(Bills!H632,"AAAAAH+1fy8=")</f>
        <v>#VALUE!</v>
      </c>
      <c r="AW158" t="e">
        <f>AND(Bills!I632,"AAAAAH+1fzA=")</f>
        <v>#VALUE!</v>
      </c>
      <c r="AX158" t="e">
        <f>AND(Bills!J632,"AAAAAH+1fzE=")</f>
        <v>#VALUE!</v>
      </c>
      <c r="AY158" t="e">
        <f>AND(Bills!K632,"AAAAAH+1fzI=")</f>
        <v>#VALUE!</v>
      </c>
      <c r="AZ158" t="e">
        <f>AND(Bills!L632,"AAAAAH+1fzM=")</f>
        <v>#VALUE!</v>
      </c>
      <c r="BA158" t="e">
        <f>AND(Bills!#REF!,"AAAAAH+1fzQ=")</f>
        <v>#REF!</v>
      </c>
      <c r="BB158" t="e">
        <f>AND(Bills!M632,"AAAAAH+1fzU=")</f>
        <v>#VALUE!</v>
      </c>
      <c r="BC158" t="e">
        <f>AND(Bills!N632,"AAAAAH+1fzY=")</f>
        <v>#VALUE!</v>
      </c>
      <c r="BD158" t="e">
        <f>AND(Bills!O632,"AAAAAH+1fzc=")</f>
        <v>#VALUE!</v>
      </c>
      <c r="BE158" t="e">
        <f>AND(Bills!P632,"AAAAAH+1fzg=")</f>
        <v>#VALUE!</v>
      </c>
      <c r="BF158" t="e">
        <f>AND(Bills!Q632,"AAAAAH+1fzk=")</f>
        <v>#VALUE!</v>
      </c>
      <c r="BG158" t="e">
        <f>AND(Bills!R632,"AAAAAH+1fzo=")</f>
        <v>#VALUE!</v>
      </c>
      <c r="BH158" t="e">
        <f>AND(Bills!S632,"AAAAAH+1fzs=")</f>
        <v>#VALUE!</v>
      </c>
      <c r="BI158" t="e">
        <f>AND(Bills!T632,"AAAAAH+1fzw=")</f>
        <v>#VALUE!</v>
      </c>
      <c r="BJ158" t="e">
        <f>AND(Bills!#REF!,"AAAAAH+1fz0=")</f>
        <v>#REF!</v>
      </c>
      <c r="BK158" t="e">
        <f>AND(Bills!U632,"AAAAAH+1fz4=")</f>
        <v>#VALUE!</v>
      </c>
      <c r="BL158" t="e">
        <f>AND(Bills!V632,"AAAAAH+1fz8=")</f>
        <v>#VALUE!</v>
      </c>
      <c r="BM158" t="e">
        <f>AND(Bills!W632,"AAAAAH+1f0A=")</f>
        <v>#VALUE!</v>
      </c>
      <c r="BN158" t="e">
        <f>AND(Bills!#REF!,"AAAAAH+1f0E=")</f>
        <v>#REF!</v>
      </c>
      <c r="BO158" t="e">
        <f>AND(Bills!#REF!,"AAAAAH+1f0I=")</f>
        <v>#REF!</v>
      </c>
      <c r="BP158" t="e">
        <f>AND(Bills!Y632,"AAAAAH+1f0M=")</f>
        <v>#VALUE!</v>
      </c>
      <c r="BQ158" t="e">
        <f>AND(Bills!Z632,"AAAAAH+1f0Q=")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AND(Bills!AA632,"AAAAAH+1f04=")</f>
        <v>#VALUE!</v>
      </c>
      <c r="CB158" t="e">
        <f>AND(Bills!AB632,"AAAAAH+1f08=")</f>
        <v>#VALUE!</v>
      </c>
      <c r="CC158" t="e">
        <f>AND(Bills!#REF!,"AAAAAH+1f1A=")</f>
        <v>#REF!</v>
      </c>
      <c r="CD158" t="e">
        <f>AND(Bills!#REF!,"AAAAAH+1f1E=")</f>
        <v>#REF!</v>
      </c>
      <c r="CE158" t="e">
        <f>AND(Bills!#REF!,"AAAAAH+1f1I=")</f>
        <v>#REF!</v>
      </c>
      <c r="CF158" t="e">
        <f>AND(Bills!AC632,"AAAAAH+1f1M=")</f>
        <v>#VALUE!</v>
      </c>
      <c r="CG158" t="e">
        <f>AND(Bills!AD632,"AAAAAH+1f1Q=")</f>
        <v>#VALUE!</v>
      </c>
      <c r="CH158" t="e">
        <f>AND(Bills!#REF!,"AAAAAH+1f1U=")</f>
        <v>#REF!</v>
      </c>
      <c r="CI158">
        <f>IF(Bills!633:633,"AAAAAH+1f1Y=",0)</f>
        <v>0</v>
      </c>
      <c r="CJ158" t="e">
        <f>AND(Bills!B633,"AAAAAH+1f1c=")</f>
        <v>#VALUE!</v>
      </c>
      <c r="CK158" t="e">
        <f>AND(Bills!#REF!,"AAAAAH+1f1g=")</f>
        <v>#REF!</v>
      </c>
      <c r="CL158" t="e">
        <f>AND(Bills!C633,"AAAAAH+1f1k=")</f>
        <v>#VALUE!</v>
      </c>
      <c r="CM158" t="e">
        <f>AND(Bills!D633,"AAAAAH+1f1o=")</f>
        <v>#VALUE!</v>
      </c>
      <c r="CN158" t="e">
        <f>AND(Bills!E633,"AAAAAH+1f1s=")</f>
        <v>#VALUE!</v>
      </c>
      <c r="CO158" t="e">
        <f>AND(Bills!#REF!,"AAAAAH+1f1w=")</f>
        <v>#REF!</v>
      </c>
      <c r="CP158" t="e">
        <f>AND(Bills!#REF!,"AAAAAH+1f10=")</f>
        <v>#REF!</v>
      </c>
      <c r="CQ158" t="e">
        <f>AND(Bills!#REF!,"AAAAAH+1f14=")</f>
        <v>#REF!</v>
      </c>
      <c r="CR158" t="e">
        <f>AND(Bills!F633,"AAAAAH+1f18=")</f>
        <v>#VALUE!</v>
      </c>
      <c r="CS158" t="e">
        <f>AND(Bills!#REF!,"AAAAAH+1f2A=")</f>
        <v>#REF!</v>
      </c>
      <c r="CT158" t="e">
        <f>AND(Bills!G633,"AAAAAH+1f2E=")</f>
        <v>#VALUE!</v>
      </c>
      <c r="CU158" t="e">
        <f>AND(Bills!H633,"AAAAAH+1f2I=")</f>
        <v>#VALUE!</v>
      </c>
      <c r="CV158" t="e">
        <f>AND(Bills!I633,"AAAAAH+1f2M=")</f>
        <v>#VALUE!</v>
      </c>
      <c r="CW158" t="e">
        <f>AND(Bills!J633,"AAAAAH+1f2Q=")</f>
        <v>#VALUE!</v>
      </c>
      <c r="CX158" t="e">
        <f>AND(Bills!K633,"AAAAAH+1f2U=")</f>
        <v>#VALUE!</v>
      </c>
      <c r="CY158" t="e">
        <f>AND(Bills!L633,"AAAAAH+1f2Y=")</f>
        <v>#VALUE!</v>
      </c>
      <c r="CZ158" t="e">
        <f>AND(Bills!#REF!,"AAAAAH+1f2c=")</f>
        <v>#REF!</v>
      </c>
      <c r="DA158" t="e">
        <f>AND(Bills!M633,"AAAAAH+1f2g=")</f>
        <v>#VALUE!</v>
      </c>
      <c r="DB158" t="e">
        <f>AND(Bills!N633,"AAAAAH+1f2k=")</f>
        <v>#VALUE!</v>
      </c>
      <c r="DC158" t="e">
        <f>AND(Bills!O633,"AAAAAH+1f2o=")</f>
        <v>#VALUE!</v>
      </c>
      <c r="DD158" t="e">
        <f>AND(Bills!P633,"AAAAAH+1f2s=")</f>
        <v>#VALUE!</v>
      </c>
      <c r="DE158" t="e">
        <f>AND(Bills!Q633,"AAAAAH+1f2w=")</f>
        <v>#VALUE!</v>
      </c>
      <c r="DF158" t="e">
        <f>AND(Bills!R633,"AAAAAH+1f20=")</f>
        <v>#VALUE!</v>
      </c>
      <c r="DG158" t="e">
        <f>AND(Bills!S633,"AAAAAH+1f24=")</f>
        <v>#VALUE!</v>
      </c>
      <c r="DH158" t="e">
        <f>AND(Bills!T633,"AAAAAH+1f28=")</f>
        <v>#VALUE!</v>
      </c>
      <c r="DI158" t="e">
        <f>AND(Bills!#REF!,"AAAAAH+1f3A=")</f>
        <v>#REF!</v>
      </c>
      <c r="DJ158" t="e">
        <f>AND(Bills!U633,"AAAAAH+1f3E=")</f>
        <v>#VALUE!</v>
      </c>
      <c r="DK158" t="e">
        <f>AND(Bills!V633,"AAAAAH+1f3I=")</f>
        <v>#VALUE!</v>
      </c>
      <c r="DL158" t="e">
        <f>AND(Bills!W633,"AAAAAH+1f3M=")</f>
        <v>#VALUE!</v>
      </c>
      <c r="DM158" t="e">
        <f>AND(Bills!#REF!,"AAAAAH+1f3Q=")</f>
        <v>#REF!</v>
      </c>
      <c r="DN158" t="e">
        <f>AND(Bills!#REF!,"AAAAAH+1f3U=")</f>
        <v>#REF!</v>
      </c>
      <c r="DO158" t="e">
        <f>AND(Bills!Y633,"AAAAAH+1f3Y=")</f>
        <v>#VALUE!</v>
      </c>
      <c r="DP158" t="e">
        <f>AND(Bills!Z633,"AAAAAH+1f3c=")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AND(Bills!AA633,"AAAAAH+1f4E=")</f>
        <v>#VALUE!</v>
      </c>
      <c r="EA158" t="e">
        <f>AND(Bills!AB633,"AAAAAH+1f4I=")</f>
        <v>#VALUE!</v>
      </c>
      <c r="EB158" t="e">
        <f>AND(Bills!#REF!,"AAAAAH+1f4M=")</f>
        <v>#REF!</v>
      </c>
      <c r="EC158" t="e">
        <f>AND(Bills!#REF!,"AAAAAH+1f4Q=")</f>
        <v>#REF!</v>
      </c>
      <c r="ED158" t="e">
        <f>AND(Bills!#REF!,"AAAAAH+1f4U=")</f>
        <v>#REF!</v>
      </c>
      <c r="EE158" t="e">
        <f>AND(Bills!AC633,"AAAAAH+1f4Y=")</f>
        <v>#VALUE!</v>
      </c>
      <c r="EF158" t="e">
        <f>AND(Bills!AD633,"AAAAAH+1f4c=")</f>
        <v>#VALUE!</v>
      </c>
      <c r="EG158" t="e">
        <f>AND(Bills!#REF!,"AAAAAH+1f4g=")</f>
        <v>#REF!</v>
      </c>
      <c r="EH158">
        <f>IF(Bills!634:634,"AAAAAH+1f4k=",0)</f>
        <v>0</v>
      </c>
      <c r="EI158" t="e">
        <f>AND(Bills!B634,"AAAAAH+1f4o=")</f>
        <v>#VALUE!</v>
      </c>
      <c r="EJ158" t="e">
        <f>AND(Bills!#REF!,"AAAAAH+1f4s=")</f>
        <v>#REF!</v>
      </c>
      <c r="EK158" t="e">
        <f>AND(Bills!C634,"AAAAAH+1f4w=")</f>
        <v>#VALUE!</v>
      </c>
      <c r="EL158" t="e">
        <f>AND(Bills!D634,"AAAAAH+1f40=")</f>
        <v>#VALUE!</v>
      </c>
      <c r="EM158" t="e">
        <f>AND(Bills!E634,"AAAAAH+1f44=")</f>
        <v>#VALUE!</v>
      </c>
      <c r="EN158" t="e">
        <f>AND(Bills!#REF!,"AAAAAH+1f48=")</f>
        <v>#REF!</v>
      </c>
      <c r="EO158" t="e">
        <f>AND(Bills!#REF!,"AAAAAH+1f5A=")</f>
        <v>#REF!</v>
      </c>
      <c r="EP158" t="e">
        <f>AND(Bills!#REF!,"AAAAAH+1f5E=")</f>
        <v>#REF!</v>
      </c>
      <c r="EQ158" t="e">
        <f>AND(Bills!F634,"AAAAAH+1f5I=")</f>
        <v>#VALUE!</v>
      </c>
      <c r="ER158" t="e">
        <f>AND(Bills!#REF!,"AAAAAH+1f5M=")</f>
        <v>#REF!</v>
      </c>
      <c r="ES158" t="e">
        <f>AND(Bills!G634,"AAAAAH+1f5Q=")</f>
        <v>#VALUE!</v>
      </c>
      <c r="ET158" t="e">
        <f>AND(Bills!H634,"AAAAAH+1f5U=")</f>
        <v>#VALUE!</v>
      </c>
      <c r="EU158" t="e">
        <f>AND(Bills!I634,"AAAAAH+1f5Y=")</f>
        <v>#VALUE!</v>
      </c>
      <c r="EV158" t="e">
        <f>AND(Bills!J634,"AAAAAH+1f5c=")</f>
        <v>#VALUE!</v>
      </c>
      <c r="EW158" t="e">
        <f>AND(Bills!K634,"AAAAAH+1f5g=")</f>
        <v>#VALUE!</v>
      </c>
      <c r="EX158" t="e">
        <f>AND(Bills!L634,"AAAAAH+1f5k=")</f>
        <v>#VALUE!</v>
      </c>
      <c r="EY158" t="e">
        <f>AND(Bills!#REF!,"AAAAAH+1f5o=")</f>
        <v>#REF!</v>
      </c>
      <c r="EZ158" t="e">
        <f>AND(Bills!M634,"AAAAAH+1f5s=")</f>
        <v>#VALUE!</v>
      </c>
      <c r="FA158" t="e">
        <f>AND(Bills!N634,"AAAAAH+1f5w=")</f>
        <v>#VALUE!</v>
      </c>
      <c r="FB158" t="e">
        <f>AND(Bills!O634,"AAAAAH+1f50=")</f>
        <v>#VALUE!</v>
      </c>
      <c r="FC158" t="e">
        <f>AND(Bills!P634,"AAAAAH+1f54=")</f>
        <v>#VALUE!</v>
      </c>
      <c r="FD158" t="e">
        <f>AND(Bills!Q634,"AAAAAH+1f58=")</f>
        <v>#VALUE!</v>
      </c>
      <c r="FE158" t="e">
        <f>AND(Bills!R634,"AAAAAH+1f6A=")</f>
        <v>#VALUE!</v>
      </c>
      <c r="FF158" t="e">
        <f>AND(Bills!S634,"AAAAAH+1f6E=")</f>
        <v>#VALUE!</v>
      </c>
      <c r="FG158" t="e">
        <f>AND(Bills!T634,"AAAAAH+1f6I=")</f>
        <v>#VALUE!</v>
      </c>
      <c r="FH158" t="e">
        <f>AND(Bills!#REF!,"AAAAAH+1f6M=")</f>
        <v>#REF!</v>
      </c>
      <c r="FI158" t="e">
        <f>AND(Bills!U634,"AAAAAH+1f6Q=")</f>
        <v>#VALUE!</v>
      </c>
      <c r="FJ158" t="e">
        <f>AND(Bills!V634,"AAAAAH+1f6U=")</f>
        <v>#VALUE!</v>
      </c>
      <c r="FK158" t="e">
        <f>AND(Bills!W634,"AAAAAH+1f6Y=")</f>
        <v>#VALUE!</v>
      </c>
      <c r="FL158" t="e">
        <f>AND(Bills!#REF!,"AAAAAH+1f6c=")</f>
        <v>#REF!</v>
      </c>
      <c r="FM158" t="e">
        <f>AND(Bills!#REF!,"AAAAAH+1f6g=")</f>
        <v>#REF!</v>
      </c>
      <c r="FN158" t="e">
        <f>AND(Bills!Y634,"AAAAAH+1f6k=")</f>
        <v>#VALUE!</v>
      </c>
      <c r="FO158" t="e">
        <f>AND(Bills!Z634,"AAAAAH+1f6o=")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AND(Bills!AA634,"AAAAAH+1f7Q=")</f>
        <v>#VALUE!</v>
      </c>
      <c r="FZ158" t="e">
        <f>AND(Bills!AB634,"AAAAAH+1f7U=")</f>
        <v>#VALUE!</v>
      </c>
      <c r="GA158" t="e">
        <f>AND(Bills!#REF!,"AAAAAH+1f7Y=")</f>
        <v>#REF!</v>
      </c>
      <c r="GB158" t="e">
        <f>AND(Bills!#REF!,"AAAAAH+1f7c=")</f>
        <v>#REF!</v>
      </c>
      <c r="GC158" t="e">
        <f>AND(Bills!#REF!,"AAAAAH+1f7g=")</f>
        <v>#REF!</v>
      </c>
      <c r="GD158" t="e">
        <f>AND(Bills!AC634,"AAAAAH+1f7k=")</f>
        <v>#VALUE!</v>
      </c>
      <c r="GE158" t="e">
        <f>AND(Bills!AD634,"AAAAAH+1f7o=")</f>
        <v>#VALUE!</v>
      </c>
      <c r="GF158" t="e">
        <f>AND(Bills!#REF!,"AAAAAH+1f7s=")</f>
        <v>#REF!</v>
      </c>
      <c r="GG158">
        <f>IF(Bills!635:635,"AAAAAH+1f7w=",0)</f>
        <v>0</v>
      </c>
      <c r="GH158" t="e">
        <f>AND(Bills!B635,"AAAAAH+1f70=")</f>
        <v>#VALUE!</v>
      </c>
      <c r="GI158" t="e">
        <f>AND(Bills!#REF!,"AAAAAH+1f74=")</f>
        <v>#REF!</v>
      </c>
      <c r="GJ158" t="e">
        <f>AND(Bills!C635,"AAAAAH+1f78=")</f>
        <v>#VALUE!</v>
      </c>
      <c r="GK158" t="e">
        <f>AND(Bills!D635,"AAAAAH+1f8A=")</f>
        <v>#VALUE!</v>
      </c>
      <c r="GL158" t="e">
        <f>AND(Bills!E635,"AAAAAH+1f8E=")</f>
        <v>#VALUE!</v>
      </c>
      <c r="GM158" t="e">
        <f>AND(Bills!#REF!,"AAAAAH+1f8I=")</f>
        <v>#REF!</v>
      </c>
      <c r="GN158" t="e">
        <f>AND(Bills!#REF!,"AAAAAH+1f8M=")</f>
        <v>#REF!</v>
      </c>
      <c r="GO158" t="e">
        <f>AND(Bills!#REF!,"AAAAAH+1f8Q=")</f>
        <v>#REF!</v>
      </c>
      <c r="GP158" t="e">
        <f>AND(Bills!F635,"AAAAAH+1f8U=")</f>
        <v>#VALUE!</v>
      </c>
      <c r="GQ158" t="e">
        <f>AND(Bills!#REF!,"AAAAAH+1f8Y=")</f>
        <v>#REF!</v>
      </c>
      <c r="GR158" t="e">
        <f>AND(Bills!G635,"AAAAAH+1f8c=")</f>
        <v>#VALUE!</v>
      </c>
      <c r="GS158" t="e">
        <f>AND(Bills!H635,"AAAAAH+1f8g=")</f>
        <v>#VALUE!</v>
      </c>
      <c r="GT158" t="e">
        <f>AND(Bills!I635,"AAAAAH+1f8k=")</f>
        <v>#VALUE!</v>
      </c>
      <c r="GU158" t="e">
        <f>AND(Bills!J635,"AAAAAH+1f8o=")</f>
        <v>#VALUE!</v>
      </c>
      <c r="GV158" t="e">
        <f>AND(Bills!K635,"AAAAAH+1f8s=")</f>
        <v>#VALUE!</v>
      </c>
      <c r="GW158" t="e">
        <f>AND(Bills!L635,"AAAAAH+1f8w=")</f>
        <v>#VALUE!</v>
      </c>
      <c r="GX158" t="e">
        <f>AND(Bills!#REF!,"AAAAAH+1f80=")</f>
        <v>#REF!</v>
      </c>
      <c r="GY158" t="e">
        <f>AND(Bills!M635,"AAAAAH+1f84=")</f>
        <v>#VALUE!</v>
      </c>
      <c r="GZ158" t="e">
        <f>AND(Bills!N635,"AAAAAH+1f88=")</f>
        <v>#VALUE!</v>
      </c>
      <c r="HA158" t="e">
        <f>AND(Bills!O635,"AAAAAH+1f9A=")</f>
        <v>#VALUE!</v>
      </c>
      <c r="HB158" t="e">
        <f>AND(Bills!P635,"AAAAAH+1f9E=")</f>
        <v>#VALUE!</v>
      </c>
      <c r="HC158" t="e">
        <f>AND(Bills!Q635,"AAAAAH+1f9I=")</f>
        <v>#VALUE!</v>
      </c>
      <c r="HD158" t="e">
        <f>AND(Bills!R635,"AAAAAH+1f9M=")</f>
        <v>#VALUE!</v>
      </c>
      <c r="HE158" t="e">
        <f>AND(Bills!S635,"AAAAAH+1f9Q=")</f>
        <v>#VALUE!</v>
      </c>
      <c r="HF158" t="e">
        <f>AND(Bills!T635,"AAAAAH+1f9U=")</f>
        <v>#VALUE!</v>
      </c>
      <c r="HG158" t="e">
        <f>AND(Bills!#REF!,"AAAAAH+1f9Y=")</f>
        <v>#REF!</v>
      </c>
      <c r="HH158" t="e">
        <f>AND(Bills!U635,"AAAAAH+1f9c=")</f>
        <v>#VALUE!</v>
      </c>
      <c r="HI158" t="e">
        <f>AND(Bills!V635,"AAAAAH+1f9g=")</f>
        <v>#VALUE!</v>
      </c>
      <c r="HJ158" t="e">
        <f>AND(Bills!W635,"AAAAAH+1f9k=")</f>
        <v>#VALUE!</v>
      </c>
      <c r="HK158" t="e">
        <f>AND(Bills!#REF!,"AAAAAH+1f9o=")</f>
        <v>#REF!</v>
      </c>
      <c r="HL158" t="e">
        <f>AND(Bills!#REF!,"AAAAAH+1f9s=")</f>
        <v>#REF!</v>
      </c>
      <c r="HM158" t="e">
        <f>AND(Bills!Y635,"AAAAAH+1f9w=")</f>
        <v>#VALUE!</v>
      </c>
      <c r="HN158" t="e">
        <f>AND(Bills!Z635,"AAAAAH+1f90=")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AND(Bills!AA635,"AAAAAH+1f+c=")</f>
        <v>#VALUE!</v>
      </c>
      <c r="HY158" t="e">
        <f>AND(Bills!AB635,"AAAAAH+1f+g=")</f>
        <v>#VALUE!</v>
      </c>
      <c r="HZ158" t="e">
        <f>AND(Bills!#REF!,"AAAAAH+1f+k=")</f>
        <v>#REF!</v>
      </c>
      <c r="IA158" t="e">
        <f>AND(Bills!#REF!,"AAAAAH+1f+o=")</f>
        <v>#REF!</v>
      </c>
      <c r="IB158" t="e">
        <f>AND(Bills!#REF!,"AAAAAH+1f+s=")</f>
        <v>#REF!</v>
      </c>
      <c r="IC158" t="e">
        <f>AND(Bills!AC635,"AAAAAH+1f+w=")</f>
        <v>#VALUE!</v>
      </c>
      <c r="ID158" t="e">
        <f>AND(Bills!AD635,"AAAAAH+1f+0=")</f>
        <v>#VALUE!</v>
      </c>
      <c r="IE158" t="e">
        <f>AND(Bills!#REF!,"AAAAAH+1f+4=")</f>
        <v>#REF!</v>
      </c>
      <c r="IF158">
        <f>IF(Bills!636:636,"AAAAAH+1f+8=",0)</f>
        <v>0</v>
      </c>
      <c r="IG158" t="e">
        <f>AND(Bills!B636,"AAAAAH+1f/A=")</f>
        <v>#VALUE!</v>
      </c>
      <c r="IH158" t="e">
        <f>AND(Bills!#REF!,"AAAAAH+1f/E=")</f>
        <v>#REF!</v>
      </c>
      <c r="II158" t="e">
        <f>AND(Bills!C636,"AAAAAH+1f/I=")</f>
        <v>#VALUE!</v>
      </c>
      <c r="IJ158" t="e">
        <f>AND(Bills!D636,"AAAAAH+1f/M=")</f>
        <v>#VALUE!</v>
      </c>
      <c r="IK158" t="e">
        <f>AND(Bills!E636,"AAAAAH+1f/Q=")</f>
        <v>#VALUE!</v>
      </c>
      <c r="IL158" t="e">
        <f>AND(Bills!#REF!,"AAAAAH+1f/U=")</f>
        <v>#REF!</v>
      </c>
      <c r="IM158" t="e">
        <f>AND(Bills!#REF!,"AAAAAH+1f/Y=")</f>
        <v>#REF!</v>
      </c>
      <c r="IN158" t="e">
        <f>AND(Bills!#REF!,"AAAAAH+1f/c=")</f>
        <v>#REF!</v>
      </c>
      <c r="IO158" t="e">
        <f>AND(Bills!F636,"AAAAAH+1f/g=")</f>
        <v>#VALUE!</v>
      </c>
      <c r="IP158" t="e">
        <f>AND(Bills!#REF!,"AAAAAH+1f/k=")</f>
        <v>#REF!</v>
      </c>
      <c r="IQ158" t="e">
        <f>AND(Bills!G636,"AAAAAH+1f/o=")</f>
        <v>#VALUE!</v>
      </c>
      <c r="IR158" t="e">
        <f>AND(Bills!H636,"AAAAAH+1f/s=")</f>
        <v>#VALUE!</v>
      </c>
      <c r="IS158" t="e">
        <f>AND(Bills!I636,"AAAAAH+1f/w=")</f>
        <v>#VALUE!</v>
      </c>
      <c r="IT158" t="e">
        <f>AND(Bills!J636,"AAAAAH+1f/0=")</f>
        <v>#VALUE!</v>
      </c>
      <c r="IU158" t="e">
        <f>AND(Bills!K636,"AAAAAH+1f/4=")</f>
        <v>#VALUE!</v>
      </c>
      <c r="IV158" t="e">
        <f>AND(Bills!L636,"AAAAAH+1f/8=")</f>
        <v>#VALUE!</v>
      </c>
    </row>
    <row r="159" spans="1:256">
      <c r="A159" t="e">
        <f>AND(Bills!#REF!,"AAAAAH97egA=")</f>
        <v>#REF!</v>
      </c>
      <c r="B159" t="e">
        <f>AND(Bills!M636,"AAAAAH97egE=")</f>
        <v>#VALUE!</v>
      </c>
      <c r="C159" t="e">
        <f>AND(Bills!N636,"AAAAAH97egI=")</f>
        <v>#VALUE!</v>
      </c>
      <c r="D159" t="e">
        <f>AND(Bills!O636,"AAAAAH97egM=")</f>
        <v>#VALUE!</v>
      </c>
      <c r="E159" t="e">
        <f>AND(Bills!P636,"AAAAAH97egQ=")</f>
        <v>#VALUE!</v>
      </c>
      <c r="F159" t="e">
        <f>AND(Bills!Q636,"AAAAAH97egU=")</f>
        <v>#VALUE!</v>
      </c>
      <c r="G159" t="e">
        <f>AND(Bills!R636,"AAAAAH97egY=")</f>
        <v>#VALUE!</v>
      </c>
      <c r="H159" t="e">
        <f>AND(Bills!S636,"AAAAAH97egc=")</f>
        <v>#VALUE!</v>
      </c>
      <c r="I159" t="e">
        <f>AND(Bills!T636,"AAAAAH97egg=")</f>
        <v>#VALUE!</v>
      </c>
      <c r="J159" t="e">
        <f>AND(Bills!#REF!,"AAAAAH97egk=")</f>
        <v>#REF!</v>
      </c>
      <c r="K159" t="e">
        <f>AND(Bills!U636,"AAAAAH97ego=")</f>
        <v>#VALUE!</v>
      </c>
      <c r="L159" t="e">
        <f>AND(Bills!V636,"AAAAAH97egs=")</f>
        <v>#VALUE!</v>
      </c>
      <c r="M159" t="e">
        <f>AND(Bills!W636,"AAAAAH97egw=")</f>
        <v>#VALUE!</v>
      </c>
      <c r="N159" t="e">
        <f>AND(Bills!#REF!,"AAAAAH97eg0=")</f>
        <v>#REF!</v>
      </c>
      <c r="O159" t="e">
        <f>AND(Bills!#REF!,"AAAAAH97eg4=")</f>
        <v>#REF!</v>
      </c>
      <c r="P159" t="e">
        <f>AND(Bills!Y636,"AAAAAH97eg8=")</f>
        <v>#VALUE!</v>
      </c>
      <c r="Q159" t="e">
        <f>AND(Bills!Z636,"AAAAAH97ehA=")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AND(Bills!AA636,"AAAAAH97eho=")</f>
        <v>#VALUE!</v>
      </c>
      <c r="AB159" t="e">
        <f>AND(Bills!AB636,"AAAAAH97ehs=")</f>
        <v>#VALUE!</v>
      </c>
      <c r="AC159" t="e">
        <f>AND(Bills!#REF!,"AAAAAH97ehw=")</f>
        <v>#REF!</v>
      </c>
      <c r="AD159" t="e">
        <f>AND(Bills!#REF!,"AAAAAH97eh0=")</f>
        <v>#REF!</v>
      </c>
      <c r="AE159" t="e">
        <f>AND(Bills!#REF!,"AAAAAH97eh4=")</f>
        <v>#REF!</v>
      </c>
      <c r="AF159" t="e">
        <f>AND(Bills!AC636,"AAAAAH97eh8=")</f>
        <v>#VALUE!</v>
      </c>
      <c r="AG159" t="e">
        <f>AND(Bills!AD636,"AAAAAH97eiA=")</f>
        <v>#VALUE!</v>
      </c>
      <c r="AH159" t="e">
        <f>AND(Bills!#REF!,"AAAAAH97eiE=")</f>
        <v>#REF!</v>
      </c>
      <c r="AI159">
        <f>IF(Bills!637:637,"AAAAAH97eiI=",0)</f>
        <v>0</v>
      </c>
      <c r="AJ159" t="e">
        <f>AND(Bills!B637,"AAAAAH97eiM=")</f>
        <v>#VALUE!</v>
      </c>
      <c r="AK159" t="e">
        <f>AND(Bills!#REF!,"AAAAAH97eiQ=")</f>
        <v>#REF!</v>
      </c>
      <c r="AL159" t="e">
        <f>AND(Bills!C637,"AAAAAH97eiU=")</f>
        <v>#VALUE!</v>
      </c>
      <c r="AM159" t="e">
        <f>AND(Bills!D637,"AAAAAH97eiY=")</f>
        <v>#VALUE!</v>
      </c>
      <c r="AN159" t="e">
        <f>AND(Bills!E637,"AAAAAH97eic=")</f>
        <v>#VALUE!</v>
      </c>
      <c r="AO159" t="e">
        <f>AND(Bills!#REF!,"AAAAAH97eig=")</f>
        <v>#REF!</v>
      </c>
      <c r="AP159" t="e">
        <f>AND(Bills!#REF!,"AAAAAH97eik=")</f>
        <v>#REF!</v>
      </c>
      <c r="AQ159" t="e">
        <f>AND(Bills!#REF!,"AAAAAH97eio=")</f>
        <v>#REF!</v>
      </c>
      <c r="AR159" t="e">
        <f>AND(Bills!F637,"AAAAAH97eis=")</f>
        <v>#VALUE!</v>
      </c>
      <c r="AS159" t="e">
        <f>AND(Bills!#REF!,"AAAAAH97eiw=")</f>
        <v>#REF!</v>
      </c>
      <c r="AT159" t="e">
        <f>AND(Bills!G637,"AAAAAH97ei0=")</f>
        <v>#VALUE!</v>
      </c>
      <c r="AU159" t="e">
        <f>AND(Bills!H637,"AAAAAH97ei4=")</f>
        <v>#VALUE!</v>
      </c>
      <c r="AV159" t="e">
        <f>AND(Bills!I637,"AAAAAH97ei8=")</f>
        <v>#VALUE!</v>
      </c>
      <c r="AW159" t="e">
        <f>AND(Bills!J637,"AAAAAH97ejA=")</f>
        <v>#VALUE!</v>
      </c>
      <c r="AX159" t="e">
        <f>AND(Bills!K637,"AAAAAH97ejE=")</f>
        <v>#VALUE!</v>
      </c>
      <c r="AY159" t="e">
        <f>AND(Bills!L637,"AAAAAH97ejI=")</f>
        <v>#VALUE!</v>
      </c>
      <c r="AZ159" t="e">
        <f>AND(Bills!#REF!,"AAAAAH97ejM=")</f>
        <v>#REF!</v>
      </c>
      <c r="BA159" t="e">
        <f>AND(Bills!M637,"AAAAAH97ejQ=")</f>
        <v>#VALUE!</v>
      </c>
      <c r="BB159" t="e">
        <f>AND(Bills!N637,"AAAAAH97ejU=")</f>
        <v>#VALUE!</v>
      </c>
      <c r="BC159" t="e">
        <f>AND(Bills!O637,"AAAAAH97ejY=")</f>
        <v>#VALUE!</v>
      </c>
      <c r="BD159" t="e">
        <f>AND(Bills!P637,"AAAAAH97ejc=")</f>
        <v>#VALUE!</v>
      </c>
      <c r="BE159" t="e">
        <f>AND(Bills!Q637,"AAAAAH97ejg=")</f>
        <v>#VALUE!</v>
      </c>
      <c r="BF159" t="e">
        <f>AND(Bills!R637,"AAAAAH97ejk=")</f>
        <v>#VALUE!</v>
      </c>
      <c r="BG159" t="e">
        <f>AND(Bills!S637,"AAAAAH97ejo=")</f>
        <v>#VALUE!</v>
      </c>
      <c r="BH159" t="e">
        <f>AND(Bills!T637,"AAAAAH97ejs=")</f>
        <v>#VALUE!</v>
      </c>
      <c r="BI159" t="e">
        <f>AND(Bills!#REF!,"AAAAAH97ejw=")</f>
        <v>#REF!</v>
      </c>
      <c r="BJ159" t="e">
        <f>AND(Bills!U637,"AAAAAH97ej0=")</f>
        <v>#VALUE!</v>
      </c>
      <c r="BK159" t="e">
        <f>AND(Bills!V637,"AAAAAH97ej4=")</f>
        <v>#VALUE!</v>
      </c>
      <c r="BL159" t="e">
        <f>AND(Bills!W637,"AAAAAH97ej8=")</f>
        <v>#VALUE!</v>
      </c>
      <c r="BM159" t="e">
        <f>AND(Bills!#REF!,"AAAAAH97ekA=")</f>
        <v>#REF!</v>
      </c>
      <c r="BN159" t="e">
        <f>AND(Bills!#REF!,"AAAAAH97ekE=")</f>
        <v>#REF!</v>
      </c>
      <c r="BO159" t="e">
        <f>AND(Bills!Y637,"AAAAAH97ekI=")</f>
        <v>#VALUE!</v>
      </c>
      <c r="BP159" t="e">
        <f>AND(Bills!Z637,"AAAAAH97ekM=")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AND(Bills!AA637,"AAAAAH97ek0=")</f>
        <v>#VALUE!</v>
      </c>
      <c r="CA159" t="e">
        <f>AND(Bills!AB637,"AAAAAH97ek4=")</f>
        <v>#VALUE!</v>
      </c>
      <c r="CB159" t="e">
        <f>AND(Bills!#REF!,"AAAAAH97ek8=")</f>
        <v>#REF!</v>
      </c>
      <c r="CC159" t="e">
        <f>AND(Bills!#REF!,"AAAAAH97elA=")</f>
        <v>#REF!</v>
      </c>
      <c r="CD159" t="e">
        <f>AND(Bills!#REF!,"AAAAAH97elE=")</f>
        <v>#REF!</v>
      </c>
      <c r="CE159" t="e">
        <f>AND(Bills!AC637,"AAAAAH97elI=")</f>
        <v>#VALUE!</v>
      </c>
      <c r="CF159" t="e">
        <f>AND(Bills!AD637,"AAAAAH97elM=")</f>
        <v>#VALUE!</v>
      </c>
      <c r="CG159" t="e">
        <f>AND(Bills!#REF!,"AAAAAH97elQ=")</f>
        <v>#REF!</v>
      </c>
      <c r="CH159">
        <f>IF(Bills!638:638,"AAAAAH97elU=",0)</f>
        <v>0</v>
      </c>
      <c r="CI159" t="e">
        <f>AND(Bills!B638,"AAAAAH97elY=")</f>
        <v>#VALUE!</v>
      </c>
      <c r="CJ159" t="e">
        <f>AND(Bills!#REF!,"AAAAAH97elc=")</f>
        <v>#REF!</v>
      </c>
      <c r="CK159" t="e">
        <f>AND(Bills!C638,"AAAAAH97elg=")</f>
        <v>#VALUE!</v>
      </c>
      <c r="CL159" t="e">
        <f>AND(Bills!D638,"AAAAAH97elk=")</f>
        <v>#VALUE!</v>
      </c>
      <c r="CM159" t="e">
        <f>AND(Bills!E638,"AAAAAH97elo=")</f>
        <v>#VALUE!</v>
      </c>
      <c r="CN159" t="e">
        <f>AND(Bills!#REF!,"AAAAAH97els=")</f>
        <v>#REF!</v>
      </c>
      <c r="CO159" t="e">
        <f>AND(Bills!#REF!,"AAAAAH97elw=")</f>
        <v>#REF!</v>
      </c>
      <c r="CP159" t="e">
        <f>AND(Bills!#REF!,"AAAAAH97el0=")</f>
        <v>#REF!</v>
      </c>
      <c r="CQ159" t="e">
        <f>AND(Bills!F638,"AAAAAH97el4=")</f>
        <v>#VALUE!</v>
      </c>
      <c r="CR159" t="e">
        <f>AND(Bills!#REF!,"AAAAAH97el8=")</f>
        <v>#REF!</v>
      </c>
      <c r="CS159" t="e">
        <f>AND(Bills!G638,"AAAAAH97emA=")</f>
        <v>#VALUE!</v>
      </c>
      <c r="CT159" t="e">
        <f>AND(Bills!H638,"AAAAAH97emE=")</f>
        <v>#VALUE!</v>
      </c>
      <c r="CU159" t="e">
        <f>AND(Bills!I638,"AAAAAH97emI=")</f>
        <v>#VALUE!</v>
      </c>
      <c r="CV159" t="e">
        <f>AND(Bills!J638,"AAAAAH97emM=")</f>
        <v>#VALUE!</v>
      </c>
      <c r="CW159" t="e">
        <f>AND(Bills!K638,"AAAAAH97emQ=")</f>
        <v>#VALUE!</v>
      </c>
      <c r="CX159" t="e">
        <f>AND(Bills!L638,"AAAAAH97emU=")</f>
        <v>#VALUE!</v>
      </c>
      <c r="CY159" t="e">
        <f>AND(Bills!#REF!,"AAAAAH97emY=")</f>
        <v>#REF!</v>
      </c>
      <c r="CZ159" t="e">
        <f>AND(Bills!M638,"AAAAAH97emc=")</f>
        <v>#VALUE!</v>
      </c>
      <c r="DA159" t="e">
        <f>AND(Bills!N638,"AAAAAH97emg=")</f>
        <v>#VALUE!</v>
      </c>
      <c r="DB159" t="e">
        <f>AND(Bills!O638,"AAAAAH97emk=")</f>
        <v>#VALUE!</v>
      </c>
      <c r="DC159" t="e">
        <f>AND(Bills!P638,"AAAAAH97emo=")</f>
        <v>#VALUE!</v>
      </c>
      <c r="DD159" t="e">
        <f>AND(Bills!Q638,"AAAAAH97ems=")</f>
        <v>#VALUE!</v>
      </c>
      <c r="DE159" t="e">
        <f>AND(Bills!R638,"AAAAAH97emw=")</f>
        <v>#VALUE!</v>
      </c>
      <c r="DF159" t="e">
        <f>AND(Bills!S638,"AAAAAH97em0=")</f>
        <v>#VALUE!</v>
      </c>
      <c r="DG159" t="e">
        <f>AND(Bills!T638,"AAAAAH97em4=")</f>
        <v>#VALUE!</v>
      </c>
      <c r="DH159" t="e">
        <f>AND(Bills!#REF!,"AAAAAH97em8=")</f>
        <v>#REF!</v>
      </c>
      <c r="DI159" t="e">
        <f>AND(Bills!U638,"AAAAAH97enA=")</f>
        <v>#VALUE!</v>
      </c>
      <c r="DJ159" t="e">
        <f>AND(Bills!V638,"AAAAAH97enE=")</f>
        <v>#VALUE!</v>
      </c>
      <c r="DK159" t="e">
        <f>AND(Bills!W638,"AAAAAH97enI=")</f>
        <v>#VALUE!</v>
      </c>
      <c r="DL159" t="e">
        <f>AND(Bills!#REF!,"AAAAAH97enM=")</f>
        <v>#REF!</v>
      </c>
      <c r="DM159" t="e">
        <f>AND(Bills!#REF!,"AAAAAH97enQ=")</f>
        <v>#REF!</v>
      </c>
      <c r="DN159" t="e">
        <f>AND(Bills!Y638,"AAAAAH97enU=")</f>
        <v>#VALUE!</v>
      </c>
      <c r="DO159" t="e">
        <f>AND(Bills!Z638,"AAAAAH97enY=")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AND(Bills!AA638,"AAAAAH97eoA=")</f>
        <v>#VALUE!</v>
      </c>
      <c r="DZ159" t="e">
        <f>AND(Bills!AB638,"AAAAAH97eoE=")</f>
        <v>#VALUE!</v>
      </c>
      <c r="EA159" t="e">
        <f>AND(Bills!#REF!,"AAAAAH97eoI=")</f>
        <v>#REF!</v>
      </c>
      <c r="EB159" t="e">
        <f>AND(Bills!#REF!,"AAAAAH97eoM=")</f>
        <v>#REF!</v>
      </c>
      <c r="EC159" t="e">
        <f>AND(Bills!#REF!,"AAAAAH97eoQ=")</f>
        <v>#REF!</v>
      </c>
      <c r="ED159" t="e">
        <f>AND(Bills!AC638,"AAAAAH97eoU=")</f>
        <v>#VALUE!</v>
      </c>
      <c r="EE159" t="e">
        <f>AND(Bills!AD638,"AAAAAH97eoY=")</f>
        <v>#VALUE!</v>
      </c>
      <c r="EF159" t="e">
        <f>AND(Bills!#REF!,"AAAAAH97eoc=")</f>
        <v>#REF!</v>
      </c>
      <c r="EG159">
        <f>IF(Bills!639:639,"AAAAAH97eog=",0)</f>
        <v>0</v>
      </c>
      <c r="EH159" t="e">
        <f>AND(Bills!B639,"AAAAAH97eok=")</f>
        <v>#VALUE!</v>
      </c>
      <c r="EI159" t="e">
        <f>AND(Bills!#REF!,"AAAAAH97eoo=")</f>
        <v>#REF!</v>
      </c>
      <c r="EJ159" t="e">
        <f>AND(Bills!C639,"AAAAAH97eos=")</f>
        <v>#VALUE!</v>
      </c>
      <c r="EK159" t="e">
        <f>AND(Bills!D639,"AAAAAH97eow=")</f>
        <v>#VALUE!</v>
      </c>
      <c r="EL159" t="e">
        <f>AND(Bills!E639,"AAAAAH97eo0=")</f>
        <v>#VALUE!</v>
      </c>
      <c r="EM159" t="e">
        <f>AND(Bills!#REF!,"AAAAAH97eo4=")</f>
        <v>#REF!</v>
      </c>
      <c r="EN159" t="e">
        <f>AND(Bills!#REF!,"AAAAAH97eo8=")</f>
        <v>#REF!</v>
      </c>
      <c r="EO159" t="e">
        <f>AND(Bills!#REF!,"AAAAAH97epA=")</f>
        <v>#REF!</v>
      </c>
      <c r="EP159" t="e">
        <f>AND(Bills!F639,"AAAAAH97epE=")</f>
        <v>#VALUE!</v>
      </c>
      <c r="EQ159" t="e">
        <f>AND(Bills!#REF!,"AAAAAH97epI=")</f>
        <v>#REF!</v>
      </c>
      <c r="ER159" t="e">
        <f>AND(Bills!G639,"AAAAAH97epM=")</f>
        <v>#VALUE!</v>
      </c>
      <c r="ES159" t="e">
        <f>AND(Bills!H639,"AAAAAH97epQ=")</f>
        <v>#VALUE!</v>
      </c>
      <c r="ET159" t="e">
        <f>AND(Bills!I639,"AAAAAH97epU=")</f>
        <v>#VALUE!</v>
      </c>
      <c r="EU159" t="e">
        <f>AND(Bills!J639,"AAAAAH97epY=")</f>
        <v>#VALUE!</v>
      </c>
      <c r="EV159" t="e">
        <f>AND(Bills!K639,"AAAAAH97epc=")</f>
        <v>#VALUE!</v>
      </c>
      <c r="EW159" t="e">
        <f>AND(Bills!L639,"AAAAAH97epg=")</f>
        <v>#VALUE!</v>
      </c>
      <c r="EX159" t="e">
        <f>AND(Bills!#REF!,"AAAAAH97epk=")</f>
        <v>#REF!</v>
      </c>
      <c r="EY159" t="e">
        <f>AND(Bills!M639,"AAAAAH97epo=")</f>
        <v>#VALUE!</v>
      </c>
      <c r="EZ159" t="e">
        <f>AND(Bills!N639,"AAAAAH97eps=")</f>
        <v>#VALUE!</v>
      </c>
      <c r="FA159" t="e">
        <f>AND(Bills!O639,"AAAAAH97epw=")</f>
        <v>#VALUE!</v>
      </c>
      <c r="FB159" t="e">
        <f>AND(Bills!P639,"AAAAAH97ep0=")</f>
        <v>#VALUE!</v>
      </c>
      <c r="FC159" t="e">
        <f>AND(Bills!Q639,"AAAAAH97ep4=")</f>
        <v>#VALUE!</v>
      </c>
      <c r="FD159" t="e">
        <f>AND(Bills!R639,"AAAAAH97ep8=")</f>
        <v>#VALUE!</v>
      </c>
      <c r="FE159" t="e">
        <f>AND(Bills!S639,"AAAAAH97eqA=")</f>
        <v>#VALUE!</v>
      </c>
      <c r="FF159" t="e">
        <f>AND(Bills!T639,"AAAAAH97eqE=")</f>
        <v>#VALUE!</v>
      </c>
      <c r="FG159" t="e">
        <f>AND(Bills!#REF!,"AAAAAH97eqI=")</f>
        <v>#REF!</v>
      </c>
      <c r="FH159" t="e">
        <f>AND(Bills!U639,"AAAAAH97eqM=")</f>
        <v>#VALUE!</v>
      </c>
      <c r="FI159" t="e">
        <f>AND(Bills!V639,"AAAAAH97eqQ=")</f>
        <v>#VALUE!</v>
      </c>
      <c r="FJ159" t="e">
        <f>AND(Bills!W639,"AAAAAH97eqU=")</f>
        <v>#VALUE!</v>
      </c>
      <c r="FK159" t="e">
        <f>AND(Bills!#REF!,"AAAAAH97eqY=")</f>
        <v>#REF!</v>
      </c>
      <c r="FL159" t="e">
        <f>AND(Bills!#REF!,"AAAAAH97eqc=")</f>
        <v>#REF!</v>
      </c>
      <c r="FM159" t="e">
        <f>AND(Bills!Y639,"AAAAAH97eqg=")</f>
        <v>#VALUE!</v>
      </c>
      <c r="FN159" t="e">
        <f>AND(Bills!Z639,"AAAAAH97eqk=")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AND(Bills!AA639,"AAAAAH97erM=")</f>
        <v>#VALUE!</v>
      </c>
      <c r="FY159" t="e">
        <f>AND(Bills!AB639,"AAAAAH97erQ=")</f>
        <v>#VALUE!</v>
      </c>
      <c r="FZ159" t="e">
        <f>AND(Bills!#REF!,"AAAAAH97erU=")</f>
        <v>#REF!</v>
      </c>
      <c r="GA159" t="e">
        <f>AND(Bills!#REF!,"AAAAAH97erY=")</f>
        <v>#REF!</v>
      </c>
      <c r="GB159" t="e">
        <f>AND(Bills!#REF!,"AAAAAH97erc=")</f>
        <v>#REF!</v>
      </c>
      <c r="GC159" t="e">
        <f>AND(Bills!AC639,"AAAAAH97erg=")</f>
        <v>#VALUE!</v>
      </c>
      <c r="GD159" t="e">
        <f>AND(Bills!AD639,"AAAAAH97erk=")</f>
        <v>#VALUE!</v>
      </c>
      <c r="GE159" t="e">
        <f>AND(Bills!#REF!,"AAAAAH97ero=")</f>
        <v>#REF!</v>
      </c>
      <c r="GF159">
        <f>IF(Bills!640:640,"AAAAAH97ers=",0)</f>
        <v>0</v>
      </c>
      <c r="GG159" t="e">
        <f>AND(Bills!B640,"AAAAAH97erw=")</f>
        <v>#VALUE!</v>
      </c>
      <c r="GH159" t="e">
        <f>AND(Bills!#REF!,"AAAAAH97er0=")</f>
        <v>#REF!</v>
      </c>
      <c r="GI159" t="e">
        <f>AND(Bills!C640,"AAAAAH97er4=")</f>
        <v>#VALUE!</v>
      </c>
      <c r="GJ159" t="e">
        <f>AND(Bills!D640,"AAAAAH97er8=")</f>
        <v>#VALUE!</v>
      </c>
      <c r="GK159" t="e">
        <f>AND(Bills!E640,"AAAAAH97esA=")</f>
        <v>#VALUE!</v>
      </c>
      <c r="GL159" t="e">
        <f>AND(Bills!#REF!,"AAAAAH97esE=")</f>
        <v>#REF!</v>
      </c>
      <c r="GM159" t="e">
        <f>AND(Bills!#REF!,"AAAAAH97esI=")</f>
        <v>#REF!</v>
      </c>
      <c r="GN159" t="e">
        <f>AND(Bills!#REF!,"AAAAAH97esM=")</f>
        <v>#REF!</v>
      </c>
      <c r="GO159" t="e">
        <f>AND(Bills!F640,"AAAAAH97esQ=")</f>
        <v>#VALUE!</v>
      </c>
      <c r="GP159" t="e">
        <f>AND(Bills!#REF!,"AAAAAH97esU=")</f>
        <v>#REF!</v>
      </c>
      <c r="GQ159" t="e">
        <f>AND(Bills!G640,"AAAAAH97esY=")</f>
        <v>#VALUE!</v>
      </c>
      <c r="GR159" t="e">
        <f>AND(Bills!H640,"AAAAAH97esc=")</f>
        <v>#VALUE!</v>
      </c>
      <c r="GS159" t="e">
        <f>AND(Bills!I640,"AAAAAH97esg=")</f>
        <v>#VALUE!</v>
      </c>
      <c r="GT159" t="e">
        <f>AND(Bills!J640,"AAAAAH97esk=")</f>
        <v>#VALUE!</v>
      </c>
      <c r="GU159" t="e">
        <f>AND(Bills!K640,"AAAAAH97eso=")</f>
        <v>#VALUE!</v>
      </c>
      <c r="GV159" t="e">
        <f>AND(Bills!L640,"AAAAAH97ess=")</f>
        <v>#VALUE!</v>
      </c>
      <c r="GW159" t="e">
        <f>AND(Bills!#REF!,"AAAAAH97esw=")</f>
        <v>#REF!</v>
      </c>
      <c r="GX159" t="e">
        <f>AND(Bills!M640,"AAAAAH97es0=")</f>
        <v>#VALUE!</v>
      </c>
      <c r="GY159" t="e">
        <f>AND(Bills!N640,"AAAAAH97es4=")</f>
        <v>#VALUE!</v>
      </c>
      <c r="GZ159" t="e">
        <f>AND(Bills!O640,"AAAAAH97es8=")</f>
        <v>#VALUE!</v>
      </c>
      <c r="HA159" t="e">
        <f>AND(Bills!P640,"AAAAAH97etA=")</f>
        <v>#VALUE!</v>
      </c>
      <c r="HB159" t="e">
        <f>AND(Bills!Q640,"AAAAAH97etE=")</f>
        <v>#VALUE!</v>
      </c>
      <c r="HC159" t="e">
        <f>AND(Bills!R640,"AAAAAH97etI=")</f>
        <v>#VALUE!</v>
      </c>
      <c r="HD159" t="e">
        <f>AND(Bills!S640,"AAAAAH97etM=")</f>
        <v>#VALUE!</v>
      </c>
      <c r="HE159" t="e">
        <f>AND(Bills!T640,"AAAAAH97etQ=")</f>
        <v>#VALUE!</v>
      </c>
      <c r="HF159" t="e">
        <f>AND(Bills!#REF!,"AAAAAH97etU=")</f>
        <v>#REF!</v>
      </c>
      <c r="HG159" t="e">
        <f>AND(Bills!U640,"AAAAAH97etY=")</f>
        <v>#VALUE!</v>
      </c>
      <c r="HH159" t="e">
        <f>AND(Bills!V640,"AAAAAH97etc=")</f>
        <v>#VALUE!</v>
      </c>
      <c r="HI159" t="e">
        <f>AND(Bills!W640,"AAAAAH97etg=")</f>
        <v>#VALUE!</v>
      </c>
      <c r="HJ159" t="e">
        <f>AND(Bills!#REF!,"AAAAAH97etk=")</f>
        <v>#REF!</v>
      </c>
      <c r="HK159" t="e">
        <f>AND(Bills!#REF!,"AAAAAH97eto=")</f>
        <v>#REF!</v>
      </c>
      <c r="HL159" t="e">
        <f>AND(Bills!Y640,"AAAAAH97ets=")</f>
        <v>#VALUE!</v>
      </c>
      <c r="HM159" t="e">
        <f>AND(Bills!Z640,"AAAAAH97etw=")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AND(Bills!AA640,"AAAAAH97euY=")</f>
        <v>#VALUE!</v>
      </c>
      <c r="HX159" t="e">
        <f>AND(Bills!AB640,"AAAAAH97euc=")</f>
        <v>#VALUE!</v>
      </c>
      <c r="HY159" t="e">
        <f>AND(Bills!#REF!,"AAAAAH97eug=")</f>
        <v>#REF!</v>
      </c>
      <c r="HZ159" t="e">
        <f>AND(Bills!#REF!,"AAAAAH97euk=")</f>
        <v>#REF!</v>
      </c>
      <c r="IA159" t="e">
        <f>AND(Bills!#REF!,"AAAAAH97euo=")</f>
        <v>#REF!</v>
      </c>
      <c r="IB159" t="e">
        <f>AND(Bills!AC640,"AAAAAH97eus=")</f>
        <v>#VALUE!</v>
      </c>
      <c r="IC159" t="e">
        <f>AND(Bills!AD640,"AAAAAH97euw=")</f>
        <v>#VALUE!</v>
      </c>
      <c r="ID159" t="e">
        <f>AND(Bills!#REF!,"AAAAAH97eu0=")</f>
        <v>#REF!</v>
      </c>
      <c r="IE159">
        <f>IF(Bills!641:641,"AAAAAH97eu4=",0)</f>
        <v>0</v>
      </c>
      <c r="IF159" t="e">
        <f>AND(Bills!B641,"AAAAAH97eu8=")</f>
        <v>#VALUE!</v>
      </c>
      <c r="IG159" t="e">
        <f>AND(Bills!#REF!,"AAAAAH97evA=")</f>
        <v>#REF!</v>
      </c>
      <c r="IH159" t="e">
        <f>AND(Bills!C641,"AAAAAH97evE=")</f>
        <v>#VALUE!</v>
      </c>
      <c r="II159" t="e">
        <f>AND(Bills!D641,"AAAAAH97evI=")</f>
        <v>#VALUE!</v>
      </c>
      <c r="IJ159" t="e">
        <f>AND(Bills!E641,"AAAAAH97evM=")</f>
        <v>#VALUE!</v>
      </c>
      <c r="IK159" t="e">
        <f>AND(Bills!#REF!,"AAAAAH97evQ=")</f>
        <v>#REF!</v>
      </c>
      <c r="IL159" t="e">
        <f>AND(Bills!#REF!,"AAAAAH97evU=")</f>
        <v>#REF!</v>
      </c>
      <c r="IM159" t="e">
        <f>AND(Bills!#REF!,"AAAAAH97evY=")</f>
        <v>#REF!</v>
      </c>
      <c r="IN159" t="e">
        <f>AND(Bills!F641,"AAAAAH97evc=")</f>
        <v>#VALUE!</v>
      </c>
      <c r="IO159" t="e">
        <f>AND(Bills!#REF!,"AAAAAH97evg=")</f>
        <v>#REF!</v>
      </c>
      <c r="IP159" t="e">
        <f>AND(Bills!G641,"AAAAAH97evk=")</f>
        <v>#VALUE!</v>
      </c>
      <c r="IQ159" t="e">
        <f>AND(Bills!H641,"AAAAAH97evo=")</f>
        <v>#VALUE!</v>
      </c>
      <c r="IR159" t="e">
        <f>AND(Bills!I641,"AAAAAH97evs=")</f>
        <v>#VALUE!</v>
      </c>
      <c r="IS159" t="e">
        <f>AND(Bills!J641,"AAAAAH97evw=")</f>
        <v>#VALUE!</v>
      </c>
      <c r="IT159" t="e">
        <f>AND(Bills!K641,"AAAAAH97ev0=")</f>
        <v>#VALUE!</v>
      </c>
      <c r="IU159" t="e">
        <f>AND(Bills!L641,"AAAAAH97ev4=")</f>
        <v>#VALUE!</v>
      </c>
      <c r="IV159" t="e">
        <f>AND(Bills!#REF!,"AAAAAH97ev8=")</f>
        <v>#REF!</v>
      </c>
    </row>
    <row r="160" spans="1:256">
      <c r="A160" t="e">
        <f>AND(Bills!M641,"AAAAAH3xewA=")</f>
        <v>#VALUE!</v>
      </c>
      <c r="B160" t="e">
        <f>AND(Bills!N641,"AAAAAH3xewE=")</f>
        <v>#VALUE!</v>
      </c>
      <c r="C160" t="e">
        <f>AND(Bills!O641,"AAAAAH3xewI=")</f>
        <v>#VALUE!</v>
      </c>
      <c r="D160" t="e">
        <f>AND(Bills!P641,"AAAAAH3xewM=")</f>
        <v>#VALUE!</v>
      </c>
      <c r="E160" t="e">
        <f>AND(Bills!Q641,"AAAAAH3xewQ=")</f>
        <v>#VALUE!</v>
      </c>
      <c r="F160" t="e">
        <f>AND(Bills!R641,"AAAAAH3xewU=")</f>
        <v>#VALUE!</v>
      </c>
      <c r="G160" t="e">
        <f>AND(Bills!S641,"AAAAAH3xewY=")</f>
        <v>#VALUE!</v>
      </c>
      <c r="H160" t="e">
        <f>AND(Bills!T641,"AAAAAH3xewc=")</f>
        <v>#VALUE!</v>
      </c>
      <c r="I160" t="e">
        <f>AND(Bills!#REF!,"AAAAAH3xewg=")</f>
        <v>#REF!</v>
      </c>
      <c r="J160" t="e">
        <f>AND(Bills!U641,"AAAAAH3xewk=")</f>
        <v>#VALUE!</v>
      </c>
      <c r="K160" t="e">
        <f>AND(Bills!V641,"AAAAAH3xewo=")</f>
        <v>#VALUE!</v>
      </c>
      <c r="L160" t="e">
        <f>AND(Bills!W641,"AAAAAH3xews=")</f>
        <v>#VALUE!</v>
      </c>
      <c r="M160" t="e">
        <f>AND(Bills!#REF!,"AAAAAH3xeww=")</f>
        <v>#REF!</v>
      </c>
      <c r="N160" t="e">
        <f>AND(Bills!#REF!,"AAAAAH3xew0=")</f>
        <v>#REF!</v>
      </c>
      <c r="O160" t="e">
        <f>AND(Bills!Y641,"AAAAAH3xew4=")</f>
        <v>#VALUE!</v>
      </c>
      <c r="P160" t="e">
        <f>AND(Bills!Z641,"AAAAAH3xew8=")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AND(Bills!AA641,"AAAAAH3xexk=")</f>
        <v>#VALUE!</v>
      </c>
      <c r="AA160" t="e">
        <f>AND(Bills!AB641,"AAAAAH3xexo=")</f>
        <v>#VALUE!</v>
      </c>
      <c r="AB160" t="e">
        <f>AND(Bills!#REF!,"AAAAAH3xexs=")</f>
        <v>#REF!</v>
      </c>
      <c r="AC160" t="e">
        <f>AND(Bills!#REF!,"AAAAAH3xexw=")</f>
        <v>#REF!</v>
      </c>
      <c r="AD160" t="e">
        <f>AND(Bills!#REF!,"AAAAAH3xex0=")</f>
        <v>#REF!</v>
      </c>
      <c r="AE160" t="e">
        <f>AND(Bills!AC641,"AAAAAH3xex4=")</f>
        <v>#VALUE!</v>
      </c>
      <c r="AF160" t="e">
        <f>AND(Bills!AD641,"AAAAAH3xex8=")</f>
        <v>#VALUE!</v>
      </c>
      <c r="AG160" t="e">
        <f>AND(Bills!#REF!,"AAAAAH3xeyA=")</f>
        <v>#REF!</v>
      </c>
      <c r="AH160">
        <f>IF(Bills!642:642,"AAAAAH3xeyE=",0)</f>
        <v>0</v>
      </c>
      <c r="AI160" t="e">
        <f>AND(Bills!B642,"AAAAAH3xeyI=")</f>
        <v>#VALUE!</v>
      </c>
      <c r="AJ160" t="e">
        <f>AND(Bills!#REF!,"AAAAAH3xeyM=")</f>
        <v>#REF!</v>
      </c>
      <c r="AK160" t="e">
        <f>AND(Bills!C642,"AAAAAH3xeyQ=")</f>
        <v>#VALUE!</v>
      </c>
      <c r="AL160" t="e">
        <f>AND(Bills!D642,"AAAAAH3xeyU=")</f>
        <v>#VALUE!</v>
      </c>
      <c r="AM160" t="e">
        <f>AND(Bills!E642,"AAAAAH3xeyY=")</f>
        <v>#VALUE!</v>
      </c>
      <c r="AN160" t="e">
        <f>AND(Bills!#REF!,"AAAAAH3xeyc=")</f>
        <v>#REF!</v>
      </c>
      <c r="AO160" t="e">
        <f>AND(Bills!#REF!,"AAAAAH3xeyg=")</f>
        <v>#REF!</v>
      </c>
      <c r="AP160" t="e">
        <f>AND(Bills!#REF!,"AAAAAH3xeyk=")</f>
        <v>#REF!</v>
      </c>
      <c r="AQ160" t="e">
        <f>AND(Bills!F642,"AAAAAH3xeyo=")</f>
        <v>#VALUE!</v>
      </c>
      <c r="AR160" t="e">
        <f>AND(Bills!#REF!,"AAAAAH3xeys=")</f>
        <v>#REF!</v>
      </c>
      <c r="AS160" t="e">
        <f>AND(Bills!G642,"AAAAAH3xeyw=")</f>
        <v>#VALUE!</v>
      </c>
      <c r="AT160" t="e">
        <f>AND(Bills!H642,"AAAAAH3xey0=")</f>
        <v>#VALUE!</v>
      </c>
      <c r="AU160" t="e">
        <f>AND(Bills!I642,"AAAAAH3xey4=")</f>
        <v>#VALUE!</v>
      </c>
      <c r="AV160" t="e">
        <f>AND(Bills!J642,"AAAAAH3xey8=")</f>
        <v>#VALUE!</v>
      </c>
      <c r="AW160" t="e">
        <f>AND(Bills!K642,"AAAAAH3xezA=")</f>
        <v>#VALUE!</v>
      </c>
      <c r="AX160" t="e">
        <f>AND(Bills!L642,"AAAAAH3xezE=")</f>
        <v>#VALUE!</v>
      </c>
      <c r="AY160" t="e">
        <f>AND(Bills!#REF!,"AAAAAH3xezI=")</f>
        <v>#REF!</v>
      </c>
      <c r="AZ160" t="e">
        <f>AND(Bills!M642,"AAAAAH3xezM=")</f>
        <v>#VALUE!</v>
      </c>
      <c r="BA160" t="e">
        <f>AND(Bills!N642,"AAAAAH3xezQ=")</f>
        <v>#VALUE!</v>
      </c>
      <c r="BB160" t="e">
        <f>AND(Bills!O642,"AAAAAH3xezU=")</f>
        <v>#VALUE!</v>
      </c>
      <c r="BC160" t="e">
        <f>AND(Bills!P642,"AAAAAH3xezY=")</f>
        <v>#VALUE!</v>
      </c>
      <c r="BD160" t="e">
        <f>AND(Bills!Q642,"AAAAAH3xezc=")</f>
        <v>#VALUE!</v>
      </c>
      <c r="BE160" t="e">
        <f>AND(Bills!R642,"AAAAAH3xezg=")</f>
        <v>#VALUE!</v>
      </c>
      <c r="BF160" t="e">
        <f>AND(Bills!S642,"AAAAAH3xezk=")</f>
        <v>#VALUE!</v>
      </c>
      <c r="BG160" t="e">
        <f>AND(Bills!T642,"AAAAAH3xezo=")</f>
        <v>#VALUE!</v>
      </c>
      <c r="BH160" t="e">
        <f>AND(Bills!#REF!,"AAAAAH3xezs=")</f>
        <v>#REF!</v>
      </c>
      <c r="BI160" t="e">
        <f>AND(Bills!U642,"AAAAAH3xezw=")</f>
        <v>#VALUE!</v>
      </c>
      <c r="BJ160" t="e">
        <f>AND(Bills!V642,"AAAAAH3xez0=")</f>
        <v>#VALUE!</v>
      </c>
      <c r="BK160" t="e">
        <f>AND(Bills!W642,"AAAAAH3xez4=")</f>
        <v>#VALUE!</v>
      </c>
      <c r="BL160" t="e">
        <f>AND(Bills!#REF!,"AAAAAH3xez8=")</f>
        <v>#REF!</v>
      </c>
      <c r="BM160" t="e">
        <f>AND(Bills!#REF!,"AAAAAH3xe0A=")</f>
        <v>#REF!</v>
      </c>
      <c r="BN160" t="e">
        <f>AND(Bills!Y642,"AAAAAH3xe0E=")</f>
        <v>#VALUE!</v>
      </c>
      <c r="BO160" t="e">
        <f>AND(Bills!Z642,"AAAAAH3xe0I=")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AND(Bills!AA642,"AAAAAH3xe0w=")</f>
        <v>#VALUE!</v>
      </c>
      <c r="BZ160" t="e">
        <f>AND(Bills!AB642,"AAAAAH3xe00=")</f>
        <v>#VALUE!</v>
      </c>
      <c r="CA160" t="e">
        <f>AND(Bills!#REF!,"AAAAAH3xe04=")</f>
        <v>#REF!</v>
      </c>
      <c r="CB160" t="e">
        <f>AND(Bills!#REF!,"AAAAAH3xe08=")</f>
        <v>#REF!</v>
      </c>
      <c r="CC160" t="e">
        <f>AND(Bills!#REF!,"AAAAAH3xe1A=")</f>
        <v>#REF!</v>
      </c>
      <c r="CD160" t="e">
        <f>AND(Bills!AC642,"AAAAAH3xe1E=")</f>
        <v>#VALUE!</v>
      </c>
      <c r="CE160" t="e">
        <f>AND(Bills!AD642,"AAAAAH3xe1I=")</f>
        <v>#VALUE!</v>
      </c>
      <c r="CF160" t="e">
        <f>AND(Bills!#REF!,"AAAAAH3xe1M=")</f>
        <v>#REF!</v>
      </c>
      <c r="CG160">
        <f>IF(Bills!643:643,"AAAAAH3xe1Q=",0)</f>
        <v>0</v>
      </c>
      <c r="CH160" t="e">
        <f>AND(Bills!B643,"AAAAAH3xe1U=")</f>
        <v>#VALUE!</v>
      </c>
      <c r="CI160" t="e">
        <f>AND(Bills!#REF!,"AAAAAH3xe1Y=")</f>
        <v>#REF!</v>
      </c>
      <c r="CJ160" t="e">
        <f>AND(Bills!C643,"AAAAAH3xe1c=")</f>
        <v>#VALUE!</v>
      </c>
      <c r="CK160" t="e">
        <f>AND(Bills!D643,"AAAAAH3xe1g=")</f>
        <v>#VALUE!</v>
      </c>
      <c r="CL160" t="e">
        <f>AND(Bills!E643,"AAAAAH3xe1k=")</f>
        <v>#VALUE!</v>
      </c>
      <c r="CM160" t="e">
        <f>AND(Bills!#REF!,"AAAAAH3xe1o=")</f>
        <v>#REF!</v>
      </c>
      <c r="CN160" t="e">
        <f>AND(Bills!#REF!,"AAAAAH3xe1s=")</f>
        <v>#REF!</v>
      </c>
      <c r="CO160" t="e">
        <f>AND(Bills!#REF!,"AAAAAH3xe1w=")</f>
        <v>#REF!</v>
      </c>
      <c r="CP160" t="e">
        <f>AND(Bills!F643,"AAAAAH3xe10=")</f>
        <v>#VALUE!</v>
      </c>
      <c r="CQ160" t="e">
        <f>AND(Bills!#REF!,"AAAAAH3xe14=")</f>
        <v>#REF!</v>
      </c>
      <c r="CR160" t="e">
        <f>AND(Bills!G643,"AAAAAH3xe18=")</f>
        <v>#VALUE!</v>
      </c>
      <c r="CS160" t="e">
        <f>AND(Bills!H643,"AAAAAH3xe2A=")</f>
        <v>#VALUE!</v>
      </c>
      <c r="CT160" t="e">
        <f>AND(Bills!I643,"AAAAAH3xe2E=")</f>
        <v>#VALUE!</v>
      </c>
      <c r="CU160" t="e">
        <f>AND(Bills!J643,"AAAAAH3xe2I=")</f>
        <v>#VALUE!</v>
      </c>
      <c r="CV160" t="e">
        <f>AND(Bills!K643,"AAAAAH3xe2M=")</f>
        <v>#VALUE!</v>
      </c>
      <c r="CW160" t="e">
        <f>AND(Bills!L643,"AAAAAH3xe2Q=")</f>
        <v>#VALUE!</v>
      </c>
      <c r="CX160" t="e">
        <f>AND(Bills!#REF!,"AAAAAH3xe2U=")</f>
        <v>#REF!</v>
      </c>
      <c r="CY160" t="e">
        <f>AND(Bills!M643,"AAAAAH3xe2Y=")</f>
        <v>#VALUE!</v>
      </c>
      <c r="CZ160" t="e">
        <f>AND(Bills!N643,"AAAAAH3xe2c=")</f>
        <v>#VALUE!</v>
      </c>
      <c r="DA160" t="e">
        <f>AND(Bills!O643,"AAAAAH3xe2g=")</f>
        <v>#VALUE!</v>
      </c>
      <c r="DB160" t="e">
        <f>AND(Bills!P643,"AAAAAH3xe2k=")</f>
        <v>#VALUE!</v>
      </c>
      <c r="DC160" t="e">
        <f>AND(Bills!Q643,"AAAAAH3xe2o=")</f>
        <v>#VALUE!</v>
      </c>
      <c r="DD160" t="e">
        <f>AND(Bills!R643,"AAAAAH3xe2s=")</f>
        <v>#VALUE!</v>
      </c>
      <c r="DE160" t="e">
        <f>AND(Bills!S643,"AAAAAH3xe2w=")</f>
        <v>#VALUE!</v>
      </c>
      <c r="DF160" t="e">
        <f>AND(Bills!T643,"AAAAAH3xe20=")</f>
        <v>#VALUE!</v>
      </c>
      <c r="DG160" t="e">
        <f>AND(Bills!#REF!,"AAAAAH3xe24=")</f>
        <v>#REF!</v>
      </c>
      <c r="DH160" t="e">
        <f>AND(Bills!U643,"AAAAAH3xe28=")</f>
        <v>#VALUE!</v>
      </c>
      <c r="DI160" t="e">
        <f>AND(Bills!V643,"AAAAAH3xe3A=")</f>
        <v>#VALUE!</v>
      </c>
      <c r="DJ160" t="e">
        <f>AND(Bills!W643,"AAAAAH3xe3E=")</f>
        <v>#VALUE!</v>
      </c>
      <c r="DK160" t="e">
        <f>AND(Bills!#REF!,"AAAAAH3xe3I=")</f>
        <v>#REF!</v>
      </c>
      <c r="DL160" t="e">
        <f>AND(Bills!#REF!,"AAAAAH3xe3M=")</f>
        <v>#REF!</v>
      </c>
      <c r="DM160" t="e">
        <f>AND(Bills!Y643,"AAAAAH3xe3Q=")</f>
        <v>#VALUE!</v>
      </c>
      <c r="DN160" t="e">
        <f>AND(Bills!Z643,"AAAAAH3xe3U=")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AND(Bills!AA643,"AAAAAH3xe38=")</f>
        <v>#VALUE!</v>
      </c>
      <c r="DY160" t="e">
        <f>AND(Bills!AB643,"AAAAAH3xe4A=")</f>
        <v>#VALUE!</v>
      </c>
      <c r="DZ160" t="e">
        <f>AND(Bills!#REF!,"AAAAAH3xe4E=")</f>
        <v>#REF!</v>
      </c>
      <c r="EA160" t="e">
        <f>AND(Bills!#REF!,"AAAAAH3xe4I=")</f>
        <v>#REF!</v>
      </c>
      <c r="EB160" t="e">
        <f>AND(Bills!#REF!,"AAAAAH3xe4M=")</f>
        <v>#REF!</v>
      </c>
      <c r="EC160" t="e">
        <f>AND(Bills!AC643,"AAAAAH3xe4Q=")</f>
        <v>#VALUE!</v>
      </c>
      <c r="ED160" t="e">
        <f>AND(Bills!AD643,"AAAAAH3xe4U=")</f>
        <v>#VALUE!</v>
      </c>
      <c r="EE160" t="e">
        <f>AND(Bills!#REF!,"AAAAAH3xe4Y=")</f>
        <v>#REF!</v>
      </c>
      <c r="EF160">
        <f>IF(Bills!644:644,"AAAAAH3xe4c=",0)</f>
        <v>0</v>
      </c>
      <c r="EG160" t="e">
        <f>AND(Bills!B644,"AAAAAH3xe4g=")</f>
        <v>#VALUE!</v>
      </c>
      <c r="EH160" t="e">
        <f>AND(Bills!#REF!,"AAAAAH3xe4k=")</f>
        <v>#REF!</v>
      </c>
      <c r="EI160" t="e">
        <f>AND(Bills!C644,"AAAAAH3xe4o=")</f>
        <v>#VALUE!</v>
      </c>
      <c r="EJ160" t="e">
        <f>AND(Bills!D644,"AAAAAH3xe4s=")</f>
        <v>#VALUE!</v>
      </c>
      <c r="EK160" t="e">
        <f>AND(Bills!E644,"AAAAAH3xe4w=")</f>
        <v>#VALUE!</v>
      </c>
      <c r="EL160" t="e">
        <f>AND(Bills!#REF!,"AAAAAH3xe40=")</f>
        <v>#REF!</v>
      </c>
      <c r="EM160" t="e">
        <f>AND(Bills!#REF!,"AAAAAH3xe44=")</f>
        <v>#REF!</v>
      </c>
      <c r="EN160" t="e">
        <f>AND(Bills!#REF!,"AAAAAH3xe48=")</f>
        <v>#REF!</v>
      </c>
      <c r="EO160" t="e">
        <f>AND(Bills!F644,"AAAAAH3xe5A=")</f>
        <v>#VALUE!</v>
      </c>
      <c r="EP160" t="e">
        <f>AND(Bills!#REF!,"AAAAAH3xe5E=")</f>
        <v>#REF!</v>
      </c>
      <c r="EQ160" t="e">
        <f>AND(Bills!G644,"AAAAAH3xe5I=")</f>
        <v>#VALUE!</v>
      </c>
      <c r="ER160" t="e">
        <f>AND(Bills!H644,"AAAAAH3xe5M=")</f>
        <v>#VALUE!</v>
      </c>
      <c r="ES160" t="e">
        <f>AND(Bills!I644,"AAAAAH3xe5Q=")</f>
        <v>#VALUE!</v>
      </c>
      <c r="ET160" t="e">
        <f>AND(Bills!J644,"AAAAAH3xe5U=")</f>
        <v>#VALUE!</v>
      </c>
      <c r="EU160" t="e">
        <f>AND(Bills!K644,"AAAAAH3xe5Y=")</f>
        <v>#VALUE!</v>
      </c>
      <c r="EV160" t="e">
        <f>AND(Bills!L644,"AAAAAH3xe5c=")</f>
        <v>#VALUE!</v>
      </c>
      <c r="EW160" t="e">
        <f>AND(Bills!#REF!,"AAAAAH3xe5g=")</f>
        <v>#REF!</v>
      </c>
      <c r="EX160" t="e">
        <f>AND(Bills!M644,"AAAAAH3xe5k=")</f>
        <v>#VALUE!</v>
      </c>
      <c r="EY160" t="e">
        <f>AND(Bills!N644,"AAAAAH3xe5o=")</f>
        <v>#VALUE!</v>
      </c>
      <c r="EZ160" t="e">
        <f>AND(Bills!O644,"AAAAAH3xe5s=")</f>
        <v>#VALUE!</v>
      </c>
      <c r="FA160" t="e">
        <f>AND(Bills!P644,"AAAAAH3xe5w=")</f>
        <v>#VALUE!</v>
      </c>
      <c r="FB160" t="e">
        <f>AND(Bills!Q644,"AAAAAH3xe50=")</f>
        <v>#VALUE!</v>
      </c>
      <c r="FC160" t="e">
        <f>AND(Bills!R644,"AAAAAH3xe54=")</f>
        <v>#VALUE!</v>
      </c>
      <c r="FD160" t="e">
        <f>AND(Bills!S644,"AAAAAH3xe58=")</f>
        <v>#VALUE!</v>
      </c>
      <c r="FE160" t="e">
        <f>AND(Bills!T644,"AAAAAH3xe6A=")</f>
        <v>#VALUE!</v>
      </c>
      <c r="FF160" t="e">
        <f>AND(Bills!#REF!,"AAAAAH3xe6E=")</f>
        <v>#REF!</v>
      </c>
      <c r="FG160" t="e">
        <f>AND(Bills!U644,"AAAAAH3xe6I=")</f>
        <v>#VALUE!</v>
      </c>
      <c r="FH160" t="e">
        <f>AND(Bills!V644,"AAAAAH3xe6M=")</f>
        <v>#VALUE!</v>
      </c>
      <c r="FI160" t="e">
        <f>AND(Bills!W644,"AAAAAH3xe6Q=")</f>
        <v>#VALUE!</v>
      </c>
      <c r="FJ160" t="e">
        <f>AND(Bills!#REF!,"AAAAAH3xe6U=")</f>
        <v>#REF!</v>
      </c>
      <c r="FK160" t="e">
        <f>AND(Bills!#REF!,"AAAAAH3xe6Y=")</f>
        <v>#REF!</v>
      </c>
      <c r="FL160" t="e">
        <f>AND(Bills!Y644,"AAAAAH3xe6c=")</f>
        <v>#VALUE!</v>
      </c>
      <c r="FM160" t="e">
        <f>AND(Bills!Z644,"AAAAAH3xe6g=")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AND(Bills!AA644,"AAAAAH3xe7I=")</f>
        <v>#VALUE!</v>
      </c>
      <c r="FX160" t="e">
        <f>AND(Bills!AB644,"AAAAAH3xe7M=")</f>
        <v>#VALUE!</v>
      </c>
      <c r="FY160" t="e">
        <f>AND(Bills!#REF!,"AAAAAH3xe7Q=")</f>
        <v>#REF!</v>
      </c>
      <c r="FZ160" t="e">
        <f>AND(Bills!#REF!,"AAAAAH3xe7U=")</f>
        <v>#REF!</v>
      </c>
      <c r="GA160" t="e">
        <f>AND(Bills!#REF!,"AAAAAH3xe7Y=")</f>
        <v>#REF!</v>
      </c>
      <c r="GB160" t="e">
        <f>AND(Bills!AC644,"AAAAAH3xe7c=")</f>
        <v>#VALUE!</v>
      </c>
      <c r="GC160" t="e">
        <f>AND(Bills!AD644,"AAAAAH3xe7g=")</f>
        <v>#VALUE!</v>
      </c>
      <c r="GD160" t="e">
        <f>AND(Bills!#REF!,"AAAAAH3xe7k=")</f>
        <v>#REF!</v>
      </c>
      <c r="GE160">
        <f>IF(Bills!645:645,"AAAAAH3xe7o=",0)</f>
        <v>0</v>
      </c>
      <c r="GF160" t="e">
        <f>AND(Bills!B645,"AAAAAH3xe7s=")</f>
        <v>#VALUE!</v>
      </c>
      <c r="GG160" t="e">
        <f>AND(Bills!#REF!,"AAAAAH3xe7w=")</f>
        <v>#REF!</v>
      </c>
      <c r="GH160" t="e">
        <f>AND(Bills!C645,"AAAAAH3xe70=")</f>
        <v>#VALUE!</v>
      </c>
      <c r="GI160" t="e">
        <f>AND(Bills!D645,"AAAAAH3xe74=")</f>
        <v>#VALUE!</v>
      </c>
      <c r="GJ160" t="e">
        <f>AND(Bills!E645,"AAAAAH3xe78=")</f>
        <v>#VALUE!</v>
      </c>
      <c r="GK160" t="e">
        <f>AND(Bills!#REF!,"AAAAAH3xe8A=")</f>
        <v>#REF!</v>
      </c>
      <c r="GL160" t="e">
        <f>AND(Bills!#REF!,"AAAAAH3xe8E=")</f>
        <v>#REF!</v>
      </c>
      <c r="GM160" t="e">
        <f>AND(Bills!#REF!,"AAAAAH3xe8I=")</f>
        <v>#REF!</v>
      </c>
      <c r="GN160" t="e">
        <f>AND(Bills!F645,"AAAAAH3xe8M=")</f>
        <v>#VALUE!</v>
      </c>
      <c r="GO160" t="e">
        <f>AND(Bills!#REF!,"AAAAAH3xe8Q=")</f>
        <v>#REF!</v>
      </c>
      <c r="GP160" t="e">
        <f>AND(Bills!G645,"AAAAAH3xe8U=")</f>
        <v>#VALUE!</v>
      </c>
      <c r="GQ160" t="e">
        <f>AND(Bills!H645,"AAAAAH3xe8Y=")</f>
        <v>#VALUE!</v>
      </c>
      <c r="GR160" t="e">
        <f>AND(Bills!I645,"AAAAAH3xe8c=")</f>
        <v>#VALUE!</v>
      </c>
      <c r="GS160" t="e">
        <f>AND(Bills!J645,"AAAAAH3xe8g=")</f>
        <v>#VALUE!</v>
      </c>
      <c r="GT160" t="e">
        <f>AND(Bills!K645,"AAAAAH3xe8k=")</f>
        <v>#VALUE!</v>
      </c>
      <c r="GU160" t="e">
        <f>AND(Bills!L645,"AAAAAH3xe8o=")</f>
        <v>#VALUE!</v>
      </c>
      <c r="GV160" t="e">
        <f>AND(Bills!#REF!,"AAAAAH3xe8s=")</f>
        <v>#REF!</v>
      </c>
      <c r="GW160" t="e">
        <f>AND(Bills!M645,"AAAAAH3xe8w=")</f>
        <v>#VALUE!</v>
      </c>
      <c r="GX160" t="e">
        <f>AND(Bills!N645,"AAAAAH3xe80=")</f>
        <v>#VALUE!</v>
      </c>
      <c r="GY160" t="e">
        <f>AND(Bills!O645,"AAAAAH3xe84=")</f>
        <v>#VALUE!</v>
      </c>
      <c r="GZ160" t="e">
        <f>AND(Bills!P645,"AAAAAH3xe88=")</f>
        <v>#VALUE!</v>
      </c>
      <c r="HA160" t="e">
        <f>AND(Bills!Q645,"AAAAAH3xe9A=")</f>
        <v>#VALUE!</v>
      </c>
      <c r="HB160" t="e">
        <f>AND(Bills!R645,"AAAAAH3xe9E=")</f>
        <v>#VALUE!</v>
      </c>
      <c r="HC160" t="e">
        <f>AND(Bills!S645,"AAAAAH3xe9I=")</f>
        <v>#VALUE!</v>
      </c>
      <c r="HD160" t="e">
        <f>AND(Bills!T645,"AAAAAH3xe9M=")</f>
        <v>#VALUE!</v>
      </c>
      <c r="HE160" t="e">
        <f>AND(Bills!#REF!,"AAAAAH3xe9Q=")</f>
        <v>#REF!</v>
      </c>
      <c r="HF160" t="e">
        <f>AND(Bills!U645,"AAAAAH3xe9U=")</f>
        <v>#VALUE!</v>
      </c>
      <c r="HG160" t="e">
        <f>AND(Bills!V645,"AAAAAH3xe9Y=")</f>
        <v>#VALUE!</v>
      </c>
      <c r="HH160" t="e">
        <f>AND(Bills!W645,"AAAAAH3xe9c=")</f>
        <v>#VALUE!</v>
      </c>
      <c r="HI160" t="e">
        <f>AND(Bills!#REF!,"AAAAAH3xe9g=")</f>
        <v>#REF!</v>
      </c>
      <c r="HJ160" t="e">
        <f>AND(Bills!#REF!,"AAAAAH3xe9k=")</f>
        <v>#REF!</v>
      </c>
      <c r="HK160" t="e">
        <f>AND(Bills!Y645,"AAAAAH3xe9o=")</f>
        <v>#VALUE!</v>
      </c>
      <c r="HL160" t="e">
        <f>AND(Bills!Z645,"AAAAAH3xe9s=")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AND(Bills!AA645,"AAAAAH3xe+U=")</f>
        <v>#VALUE!</v>
      </c>
      <c r="HW160" t="e">
        <f>AND(Bills!AB645,"AAAAAH3xe+Y=")</f>
        <v>#VALUE!</v>
      </c>
      <c r="HX160" t="e">
        <f>AND(Bills!#REF!,"AAAAAH3xe+c=")</f>
        <v>#REF!</v>
      </c>
      <c r="HY160" t="e">
        <f>AND(Bills!#REF!,"AAAAAH3xe+g=")</f>
        <v>#REF!</v>
      </c>
      <c r="HZ160" t="e">
        <f>AND(Bills!#REF!,"AAAAAH3xe+k=")</f>
        <v>#REF!</v>
      </c>
      <c r="IA160" t="e">
        <f>AND(Bills!AC645,"AAAAAH3xe+o=")</f>
        <v>#VALUE!</v>
      </c>
      <c r="IB160" t="e">
        <f>AND(Bills!AD645,"AAAAAH3xe+s=")</f>
        <v>#VALUE!</v>
      </c>
      <c r="IC160" t="e">
        <f>AND(Bills!#REF!,"AAAAAH3xe+w=")</f>
        <v>#REF!</v>
      </c>
      <c r="ID160">
        <f>IF(Bills!646:646,"AAAAAH3xe+0=",0)</f>
        <v>0</v>
      </c>
      <c r="IE160" t="e">
        <f>AND(Bills!B646,"AAAAAH3xe+4=")</f>
        <v>#VALUE!</v>
      </c>
      <c r="IF160" t="e">
        <f>AND(Bills!#REF!,"AAAAAH3xe+8=")</f>
        <v>#REF!</v>
      </c>
      <c r="IG160" t="e">
        <f>AND(Bills!C646,"AAAAAH3xe/A=")</f>
        <v>#VALUE!</v>
      </c>
      <c r="IH160" t="e">
        <f>AND(Bills!D646,"AAAAAH3xe/E=")</f>
        <v>#VALUE!</v>
      </c>
      <c r="II160" t="e">
        <f>AND(Bills!E646,"AAAAAH3xe/I=")</f>
        <v>#VALUE!</v>
      </c>
      <c r="IJ160" t="e">
        <f>AND(Bills!#REF!,"AAAAAH3xe/M=")</f>
        <v>#REF!</v>
      </c>
      <c r="IK160" t="e">
        <f>AND(Bills!#REF!,"AAAAAH3xe/Q=")</f>
        <v>#REF!</v>
      </c>
      <c r="IL160" t="e">
        <f>AND(Bills!#REF!,"AAAAAH3xe/U=")</f>
        <v>#REF!</v>
      </c>
      <c r="IM160" t="e">
        <f>AND(Bills!F646,"AAAAAH3xe/Y=")</f>
        <v>#VALUE!</v>
      </c>
      <c r="IN160" t="e">
        <f>AND(Bills!#REF!,"AAAAAH3xe/c=")</f>
        <v>#REF!</v>
      </c>
      <c r="IO160" t="e">
        <f>AND(Bills!G646,"AAAAAH3xe/g=")</f>
        <v>#VALUE!</v>
      </c>
      <c r="IP160" t="e">
        <f>AND(Bills!H646,"AAAAAH3xe/k=")</f>
        <v>#VALUE!</v>
      </c>
      <c r="IQ160" t="e">
        <f>AND(Bills!I646,"AAAAAH3xe/o=")</f>
        <v>#VALUE!</v>
      </c>
      <c r="IR160" t="e">
        <f>AND(Bills!J646,"AAAAAH3xe/s=")</f>
        <v>#VALUE!</v>
      </c>
      <c r="IS160" t="e">
        <f>AND(Bills!K646,"AAAAAH3xe/w=")</f>
        <v>#VALUE!</v>
      </c>
      <c r="IT160" t="e">
        <f>AND(Bills!L646,"AAAAAH3xe/0=")</f>
        <v>#VALUE!</v>
      </c>
      <c r="IU160" t="e">
        <f>AND(Bills!#REF!,"AAAAAH3xe/4=")</f>
        <v>#REF!</v>
      </c>
      <c r="IV160" t="e">
        <f>AND(Bills!M646,"AAAAAH3xe/8=")</f>
        <v>#VALUE!</v>
      </c>
    </row>
    <row r="161" spans="1:256">
      <c r="A161" t="e">
        <f>AND(Bills!N646,"AAAAAFr/7AA=")</f>
        <v>#VALUE!</v>
      </c>
      <c r="B161" t="e">
        <f>AND(Bills!O646,"AAAAAFr/7AE=")</f>
        <v>#VALUE!</v>
      </c>
      <c r="C161" t="e">
        <f>AND(Bills!P646,"AAAAAFr/7AI=")</f>
        <v>#VALUE!</v>
      </c>
      <c r="D161" t="e">
        <f>AND(Bills!Q646,"AAAAAFr/7AM=")</f>
        <v>#VALUE!</v>
      </c>
      <c r="E161" t="e">
        <f>AND(Bills!R646,"AAAAAFr/7AQ=")</f>
        <v>#VALUE!</v>
      </c>
      <c r="F161" t="e">
        <f>AND(Bills!S646,"AAAAAFr/7AU=")</f>
        <v>#VALUE!</v>
      </c>
      <c r="G161" t="e">
        <f>AND(Bills!T646,"AAAAAFr/7AY=")</f>
        <v>#VALUE!</v>
      </c>
      <c r="H161" t="e">
        <f>AND(Bills!#REF!,"AAAAAFr/7Ac=")</f>
        <v>#REF!</v>
      </c>
      <c r="I161" t="e">
        <f>AND(Bills!U646,"AAAAAFr/7Ag=")</f>
        <v>#VALUE!</v>
      </c>
      <c r="J161" t="e">
        <f>AND(Bills!V646,"AAAAAFr/7Ak=")</f>
        <v>#VALUE!</v>
      </c>
      <c r="K161" t="e">
        <f>AND(Bills!W646,"AAAAAFr/7Ao=")</f>
        <v>#VALUE!</v>
      </c>
      <c r="L161" t="e">
        <f>AND(Bills!#REF!,"AAAAAFr/7As=")</f>
        <v>#REF!</v>
      </c>
      <c r="M161" t="e">
        <f>AND(Bills!#REF!,"AAAAAFr/7Aw=")</f>
        <v>#REF!</v>
      </c>
      <c r="N161" t="e">
        <f>AND(Bills!Y646,"AAAAAFr/7A0=")</f>
        <v>#VALUE!</v>
      </c>
      <c r="O161" t="e">
        <f>AND(Bills!Z646,"AAAAAFr/7A4=")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AND(Bills!AA646,"AAAAAFr/7Bg=")</f>
        <v>#VALUE!</v>
      </c>
      <c r="Z161" t="e">
        <f>AND(Bills!AB646,"AAAAAFr/7Bk=")</f>
        <v>#VALUE!</v>
      </c>
      <c r="AA161" t="e">
        <f>AND(Bills!#REF!,"AAAAAFr/7Bo=")</f>
        <v>#REF!</v>
      </c>
      <c r="AB161" t="e">
        <f>AND(Bills!#REF!,"AAAAAFr/7Bs=")</f>
        <v>#REF!</v>
      </c>
      <c r="AC161" t="e">
        <f>AND(Bills!#REF!,"AAAAAFr/7Bw=")</f>
        <v>#REF!</v>
      </c>
      <c r="AD161" t="e">
        <f>AND(Bills!AC646,"AAAAAFr/7B0=")</f>
        <v>#VALUE!</v>
      </c>
      <c r="AE161" t="e">
        <f>AND(Bills!AD646,"AAAAAFr/7B4=")</f>
        <v>#VALUE!</v>
      </c>
      <c r="AF161" t="e">
        <f>AND(Bills!#REF!,"AAAAAFr/7B8=")</f>
        <v>#REF!</v>
      </c>
      <c r="AG161">
        <f>IF(Bills!647:647,"AAAAAFr/7CA=",0)</f>
        <v>0</v>
      </c>
      <c r="AH161" t="e">
        <f>AND(Bills!B647,"AAAAAFr/7CE=")</f>
        <v>#VALUE!</v>
      </c>
      <c r="AI161" t="e">
        <f>AND(Bills!#REF!,"AAAAAFr/7CI=")</f>
        <v>#REF!</v>
      </c>
      <c r="AJ161" t="e">
        <f>AND(Bills!C647,"AAAAAFr/7CM=")</f>
        <v>#VALUE!</v>
      </c>
      <c r="AK161" t="e">
        <f>AND(Bills!D647,"AAAAAFr/7CQ=")</f>
        <v>#VALUE!</v>
      </c>
      <c r="AL161" t="e">
        <f>AND(Bills!E647,"AAAAAFr/7CU=")</f>
        <v>#VALUE!</v>
      </c>
      <c r="AM161" t="e">
        <f>AND(Bills!#REF!,"AAAAAFr/7CY=")</f>
        <v>#REF!</v>
      </c>
      <c r="AN161" t="e">
        <f>AND(Bills!#REF!,"AAAAAFr/7Cc=")</f>
        <v>#REF!</v>
      </c>
      <c r="AO161" t="e">
        <f>AND(Bills!#REF!,"AAAAAFr/7Cg=")</f>
        <v>#REF!</v>
      </c>
      <c r="AP161" t="e">
        <f>AND(Bills!F647,"AAAAAFr/7Ck=")</f>
        <v>#VALUE!</v>
      </c>
      <c r="AQ161" t="e">
        <f>AND(Bills!#REF!,"AAAAAFr/7Co=")</f>
        <v>#REF!</v>
      </c>
      <c r="AR161" t="e">
        <f>AND(Bills!G647,"AAAAAFr/7Cs=")</f>
        <v>#VALUE!</v>
      </c>
      <c r="AS161" t="e">
        <f>AND(Bills!H647,"AAAAAFr/7Cw=")</f>
        <v>#VALUE!</v>
      </c>
      <c r="AT161" t="e">
        <f>AND(Bills!I647,"AAAAAFr/7C0=")</f>
        <v>#VALUE!</v>
      </c>
      <c r="AU161" t="e">
        <f>AND(Bills!J647,"AAAAAFr/7C4=")</f>
        <v>#VALUE!</v>
      </c>
      <c r="AV161" t="e">
        <f>AND(Bills!K647,"AAAAAFr/7C8=")</f>
        <v>#VALUE!</v>
      </c>
      <c r="AW161" t="e">
        <f>AND(Bills!L647,"AAAAAFr/7DA=")</f>
        <v>#VALUE!</v>
      </c>
      <c r="AX161" t="e">
        <f>AND(Bills!#REF!,"AAAAAFr/7DE=")</f>
        <v>#REF!</v>
      </c>
      <c r="AY161" t="e">
        <f>AND(Bills!M647,"AAAAAFr/7DI=")</f>
        <v>#VALUE!</v>
      </c>
      <c r="AZ161" t="e">
        <f>AND(Bills!N647,"AAAAAFr/7DM=")</f>
        <v>#VALUE!</v>
      </c>
      <c r="BA161" t="e">
        <f>AND(Bills!O647,"AAAAAFr/7DQ=")</f>
        <v>#VALUE!</v>
      </c>
      <c r="BB161" t="e">
        <f>AND(Bills!P647,"AAAAAFr/7DU=")</f>
        <v>#VALUE!</v>
      </c>
      <c r="BC161" t="e">
        <f>AND(Bills!Q647,"AAAAAFr/7DY=")</f>
        <v>#VALUE!</v>
      </c>
      <c r="BD161" t="e">
        <f>AND(Bills!R647,"AAAAAFr/7Dc=")</f>
        <v>#VALUE!</v>
      </c>
      <c r="BE161" t="e">
        <f>AND(Bills!S647,"AAAAAFr/7Dg=")</f>
        <v>#VALUE!</v>
      </c>
      <c r="BF161" t="e">
        <f>AND(Bills!T647,"AAAAAFr/7Dk=")</f>
        <v>#VALUE!</v>
      </c>
      <c r="BG161" t="e">
        <f>AND(Bills!#REF!,"AAAAAFr/7Do=")</f>
        <v>#REF!</v>
      </c>
      <c r="BH161" t="e">
        <f>AND(Bills!U647,"AAAAAFr/7Ds=")</f>
        <v>#VALUE!</v>
      </c>
      <c r="BI161" t="e">
        <f>AND(Bills!V647,"AAAAAFr/7Dw=")</f>
        <v>#VALUE!</v>
      </c>
      <c r="BJ161" t="e">
        <f>AND(Bills!W647,"AAAAAFr/7D0=")</f>
        <v>#VALUE!</v>
      </c>
      <c r="BK161" t="e">
        <f>AND(Bills!#REF!,"AAAAAFr/7D4=")</f>
        <v>#REF!</v>
      </c>
      <c r="BL161" t="e">
        <f>AND(Bills!#REF!,"AAAAAFr/7D8=")</f>
        <v>#REF!</v>
      </c>
      <c r="BM161" t="e">
        <f>AND(Bills!Y647,"AAAAAFr/7EA=")</f>
        <v>#VALUE!</v>
      </c>
      <c r="BN161" t="e">
        <f>AND(Bills!Z647,"AAAAAFr/7EE=")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AND(Bills!AA647,"AAAAAFr/7Es=")</f>
        <v>#VALUE!</v>
      </c>
      <c r="BY161" t="e">
        <f>AND(Bills!AB647,"AAAAAFr/7Ew=")</f>
        <v>#VALUE!</v>
      </c>
      <c r="BZ161" t="e">
        <f>AND(Bills!#REF!,"AAAAAFr/7E0=")</f>
        <v>#REF!</v>
      </c>
      <c r="CA161" t="e">
        <f>AND(Bills!#REF!,"AAAAAFr/7E4=")</f>
        <v>#REF!</v>
      </c>
      <c r="CB161" t="e">
        <f>AND(Bills!#REF!,"AAAAAFr/7E8=")</f>
        <v>#REF!</v>
      </c>
      <c r="CC161" t="e">
        <f>AND(Bills!AC647,"AAAAAFr/7FA=")</f>
        <v>#VALUE!</v>
      </c>
      <c r="CD161" t="e">
        <f>AND(Bills!AD647,"AAAAAFr/7FE=")</f>
        <v>#VALUE!</v>
      </c>
      <c r="CE161" t="e">
        <f>AND(Bills!#REF!,"AAAAAFr/7FI=")</f>
        <v>#REF!</v>
      </c>
      <c r="CF161">
        <f>IF(Bills!648:648,"AAAAAFr/7FM=",0)</f>
        <v>0</v>
      </c>
      <c r="CG161" t="e">
        <f>AND(Bills!B648,"AAAAAFr/7FQ=")</f>
        <v>#VALUE!</v>
      </c>
      <c r="CH161" t="e">
        <f>AND(Bills!#REF!,"AAAAAFr/7FU=")</f>
        <v>#REF!</v>
      </c>
      <c r="CI161" t="e">
        <f>AND(Bills!C648,"AAAAAFr/7FY=")</f>
        <v>#VALUE!</v>
      </c>
      <c r="CJ161" t="e">
        <f>AND(Bills!D648,"AAAAAFr/7Fc=")</f>
        <v>#VALUE!</v>
      </c>
      <c r="CK161" t="e">
        <f>AND(Bills!E648,"AAAAAFr/7Fg=")</f>
        <v>#VALUE!</v>
      </c>
      <c r="CL161" t="e">
        <f>AND(Bills!#REF!,"AAAAAFr/7Fk=")</f>
        <v>#REF!</v>
      </c>
      <c r="CM161" t="e">
        <f>AND(Bills!#REF!,"AAAAAFr/7Fo=")</f>
        <v>#REF!</v>
      </c>
      <c r="CN161" t="e">
        <f>AND(Bills!#REF!,"AAAAAFr/7Fs=")</f>
        <v>#REF!</v>
      </c>
      <c r="CO161" t="e">
        <f>AND(Bills!F648,"AAAAAFr/7Fw=")</f>
        <v>#VALUE!</v>
      </c>
      <c r="CP161" t="e">
        <f>AND(Bills!#REF!,"AAAAAFr/7F0=")</f>
        <v>#REF!</v>
      </c>
      <c r="CQ161" t="e">
        <f>AND(Bills!G648,"AAAAAFr/7F4=")</f>
        <v>#VALUE!</v>
      </c>
      <c r="CR161" t="e">
        <f>AND(Bills!H648,"AAAAAFr/7F8=")</f>
        <v>#VALUE!</v>
      </c>
      <c r="CS161" t="e">
        <f>AND(Bills!I648,"AAAAAFr/7GA=")</f>
        <v>#VALUE!</v>
      </c>
      <c r="CT161" t="e">
        <f>AND(Bills!J648,"AAAAAFr/7GE=")</f>
        <v>#VALUE!</v>
      </c>
      <c r="CU161" t="e">
        <f>AND(Bills!K648,"AAAAAFr/7GI=")</f>
        <v>#VALUE!</v>
      </c>
      <c r="CV161" t="e">
        <f>AND(Bills!L648,"AAAAAFr/7GM=")</f>
        <v>#VALUE!</v>
      </c>
      <c r="CW161" t="e">
        <f>AND(Bills!#REF!,"AAAAAFr/7GQ=")</f>
        <v>#REF!</v>
      </c>
      <c r="CX161" t="e">
        <f>AND(Bills!M648,"AAAAAFr/7GU=")</f>
        <v>#VALUE!</v>
      </c>
      <c r="CY161" t="e">
        <f>AND(Bills!N648,"AAAAAFr/7GY=")</f>
        <v>#VALUE!</v>
      </c>
      <c r="CZ161" t="e">
        <f>AND(Bills!O648,"AAAAAFr/7Gc=")</f>
        <v>#VALUE!</v>
      </c>
      <c r="DA161" t="e">
        <f>AND(Bills!P648,"AAAAAFr/7Gg=")</f>
        <v>#VALUE!</v>
      </c>
      <c r="DB161" t="e">
        <f>AND(Bills!Q648,"AAAAAFr/7Gk=")</f>
        <v>#VALUE!</v>
      </c>
      <c r="DC161" t="e">
        <f>AND(Bills!R648,"AAAAAFr/7Go=")</f>
        <v>#VALUE!</v>
      </c>
      <c r="DD161" t="e">
        <f>AND(Bills!S648,"AAAAAFr/7Gs=")</f>
        <v>#VALUE!</v>
      </c>
      <c r="DE161" t="e">
        <f>AND(Bills!T648,"AAAAAFr/7Gw=")</f>
        <v>#VALUE!</v>
      </c>
      <c r="DF161" t="e">
        <f>AND(Bills!#REF!,"AAAAAFr/7G0=")</f>
        <v>#REF!</v>
      </c>
      <c r="DG161" t="e">
        <f>AND(Bills!U648,"AAAAAFr/7G4=")</f>
        <v>#VALUE!</v>
      </c>
      <c r="DH161" t="e">
        <f>AND(Bills!V648,"AAAAAFr/7G8=")</f>
        <v>#VALUE!</v>
      </c>
      <c r="DI161" t="e">
        <f>AND(Bills!W648,"AAAAAFr/7HA=")</f>
        <v>#VALUE!</v>
      </c>
      <c r="DJ161" t="e">
        <f>AND(Bills!#REF!,"AAAAAFr/7HE=")</f>
        <v>#REF!</v>
      </c>
      <c r="DK161" t="e">
        <f>AND(Bills!#REF!,"AAAAAFr/7HI=")</f>
        <v>#REF!</v>
      </c>
      <c r="DL161" t="e">
        <f>AND(Bills!Y648,"AAAAAFr/7HM=")</f>
        <v>#VALUE!</v>
      </c>
      <c r="DM161" t="e">
        <f>AND(Bills!Z648,"AAAAAFr/7HQ=")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AND(Bills!AA648,"AAAAAFr/7H4=")</f>
        <v>#VALUE!</v>
      </c>
      <c r="DX161" t="e">
        <f>AND(Bills!AB648,"AAAAAFr/7H8=")</f>
        <v>#VALUE!</v>
      </c>
      <c r="DY161" t="e">
        <f>AND(Bills!#REF!,"AAAAAFr/7IA=")</f>
        <v>#REF!</v>
      </c>
      <c r="DZ161" t="e">
        <f>AND(Bills!#REF!,"AAAAAFr/7IE=")</f>
        <v>#REF!</v>
      </c>
      <c r="EA161" t="e">
        <f>AND(Bills!#REF!,"AAAAAFr/7II=")</f>
        <v>#REF!</v>
      </c>
      <c r="EB161" t="e">
        <f>AND(Bills!AC648,"AAAAAFr/7IM=")</f>
        <v>#VALUE!</v>
      </c>
      <c r="EC161" t="e">
        <f>AND(Bills!AD648,"AAAAAFr/7IQ=")</f>
        <v>#VALUE!</v>
      </c>
      <c r="ED161" t="e">
        <f>AND(Bills!#REF!,"AAAAAFr/7IU=")</f>
        <v>#REF!</v>
      </c>
      <c r="EE161">
        <f>IF(Bills!649:649,"AAAAAFr/7IY=",0)</f>
        <v>0</v>
      </c>
      <c r="EF161" t="e">
        <f>AND(Bills!B649,"AAAAAFr/7Ic=")</f>
        <v>#VALUE!</v>
      </c>
      <c r="EG161" t="e">
        <f>AND(Bills!#REF!,"AAAAAFr/7Ig=")</f>
        <v>#REF!</v>
      </c>
      <c r="EH161" t="e">
        <f>AND(Bills!C649,"AAAAAFr/7Ik=")</f>
        <v>#VALUE!</v>
      </c>
      <c r="EI161" t="e">
        <f>AND(Bills!D649,"AAAAAFr/7Io=")</f>
        <v>#VALUE!</v>
      </c>
      <c r="EJ161" t="e">
        <f>AND(Bills!E649,"AAAAAFr/7Is=")</f>
        <v>#VALUE!</v>
      </c>
      <c r="EK161" t="e">
        <f>AND(Bills!#REF!,"AAAAAFr/7Iw=")</f>
        <v>#REF!</v>
      </c>
      <c r="EL161" t="e">
        <f>AND(Bills!#REF!,"AAAAAFr/7I0=")</f>
        <v>#REF!</v>
      </c>
      <c r="EM161" t="e">
        <f>AND(Bills!#REF!,"AAAAAFr/7I4=")</f>
        <v>#REF!</v>
      </c>
      <c r="EN161" t="e">
        <f>AND(Bills!F649,"AAAAAFr/7I8=")</f>
        <v>#VALUE!</v>
      </c>
      <c r="EO161" t="e">
        <f>AND(Bills!#REF!,"AAAAAFr/7JA=")</f>
        <v>#REF!</v>
      </c>
      <c r="EP161" t="e">
        <f>AND(Bills!G649,"AAAAAFr/7JE=")</f>
        <v>#VALUE!</v>
      </c>
      <c r="EQ161" t="e">
        <f>AND(Bills!H649,"AAAAAFr/7JI=")</f>
        <v>#VALUE!</v>
      </c>
      <c r="ER161" t="e">
        <f>AND(Bills!I649,"AAAAAFr/7JM=")</f>
        <v>#VALUE!</v>
      </c>
      <c r="ES161" t="e">
        <f>AND(Bills!J649,"AAAAAFr/7JQ=")</f>
        <v>#VALUE!</v>
      </c>
      <c r="ET161" t="e">
        <f>AND(Bills!K649,"AAAAAFr/7JU=")</f>
        <v>#VALUE!</v>
      </c>
      <c r="EU161" t="e">
        <f>AND(Bills!L649,"AAAAAFr/7JY=")</f>
        <v>#VALUE!</v>
      </c>
      <c r="EV161" t="e">
        <f>AND(Bills!#REF!,"AAAAAFr/7Jc=")</f>
        <v>#REF!</v>
      </c>
      <c r="EW161" t="e">
        <f>AND(Bills!M649,"AAAAAFr/7Jg=")</f>
        <v>#VALUE!</v>
      </c>
      <c r="EX161" t="e">
        <f>AND(Bills!N649,"AAAAAFr/7Jk=")</f>
        <v>#VALUE!</v>
      </c>
      <c r="EY161" t="e">
        <f>AND(Bills!O649,"AAAAAFr/7Jo=")</f>
        <v>#VALUE!</v>
      </c>
      <c r="EZ161" t="e">
        <f>AND(Bills!P649,"AAAAAFr/7Js=")</f>
        <v>#VALUE!</v>
      </c>
      <c r="FA161" t="e">
        <f>AND(Bills!Q649,"AAAAAFr/7Jw=")</f>
        <v>#VALUE!</v>
      </c>
      <c r="FB161" t="e">
        <f>AND(Bills!R649,"AAAAAFr/7J0=")</f>
        <v>#VALUE!</v>
      </c>
      <c r="FC161" t="e">
        <f>AND(Bills!S649,"AAAAAFr/7J4=")</f>
        <v>#VALUE!</v>
      </c>
      <c r="FD161" t="e">
        <f>AND(Bills!T649,"AAAAAFr/7J8=")</f>
        <v>#VALUE!</v>
      </c>
      <c r="FE161" t="e">
        <f>AND(Bills!#REF!,"AAAAAFr/7KA=")</f>
        <v>#REF!</v>
      </c>
      <c r="FF161" t="e">
        <f>AND(Bills!U649,"AAAAAFr/7KE=")</f>
        <v>#VALUE!</v>
      </c>
      <c r="FG161" t="e">
        <f>AND(Bills!V649,"AAAAAFr/7KI=")</f>
        <v>#VALUE!</v>
      </c>
      <c r="FH161" t="e">
        <f>AND(Bills!W649,"AAAAAFr/7KM=")</f>
        <v>#VALUE!</v>
      </c>
      <c r="FI161" t="e">
        <f>AND(Bills!#REF!,"AAAAAFr/7KQ=")</f>
        <v>#REF!</v>
      </c>
      <c r="FJ161" t="e">
        <f>AND(Bills!#REF!,"AAAAAFr/7KU=")</f>
        <v>#REF!</v>
      </c>
      <c r="FK161" t="e">
        <f>AND(Bills!Y649,"AAAAAFr/7KY=")</f>
        <v>#VALUE!</v>
      </c>
      <c r="FL161" t="e">
        <f>AND(Bills!Z649,"AAAAAFr/7Kc=")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AND(Bills!AA649,"AAAAAFr/7LE=")</f>
        <v>#VALUE!</v>
      </c>
      <c r="FW161" t="e">
        <f>AND(Bills!AB649,"AAAAAFr/7LI=")</f>
        <v>#VALUE!</v>
      </c>
      <c r="FX161" t="e">
        <f>AND(Bills!#REF!,"AAAAAFr/7LM=")</f>
        <v>#REF!</v>
      </c>
      <c r="FY161" t="e">
        <f>AND(Bills!#REF!,"AAAAAFr/7LQ=")</f>
        <v>#REF!</v>
      </c>
      <c r="FZ161" t="e">
        <f>AND(Bills!#REF!,"AAAAAFr/7LU=")</f>
        <v>#REF!</v>
      </c>
      <c r="GA161" t="e">
        <f>AND(Bills!AC649,"AAAAAFr/7LY=")</f>
        <v>#VALUE!</v>
      </c>
      <c r="GB161" t="e">
        <f>AND(Bills!AD649,"AAAAAFr/7Lc=")</f>
        <v>#VALUE!</v>
      </c>
      <c r="GC161" t="e">
        <f>AND(Bills!#REF!,"AAAAAFr/7Lg=")</f>
        <v>#REF!</v>
      </c>
      <c r="GD161">
        <f>IF(Bills!650:650,"AAAAAFr/7Lk=",0)</f>
        <v>0</v>
      </c>
      <c r="GE161" t="e">
        <f>AND(Bills!B650,"AAAAAFr/7Lo=")</f>
        <v>#VALUE!</v>
      </c>
      <c r="GF161" t="e">
        <f>AND(Bills!#REF!,"AAAAAFr/7Ls=")</f>
        <v>#REF!</v>
      </c>
      <c r="GG161" t="e">
        <f>AND(Bills!C650,"AAAAAFr/7Lw=")</f>
        <v>#VALUE!</v>
      </c>
      <c r="GH161" t="e">
        <f>AND(Bills!D650,"AAAAAFr/7L0=")</f>
        <v>#VALUE!</v>
      </c>
      <c r="GI161" t="e">
        <f>AND(Bills!E650,"AAAAAFr/7L4=")</f>
        <v>#VALUE!</v>
      </c>
      <c r="GJ161" t="e">
        <f>AND(Bills!#REF!,"AAAAAFr/7L8=")</f>
        <v>#REF!</v>
      </c>
      <c r="GK161" t="e">
        <f>AND(Bills!#REF!,"AAAAAFr/7MA=")</f>
        <v>#REF!</v>
      </c>
      <c r="GL161" t="e">
        <f>AND(Bills!#REF!,"AAAAAFr/7ME=")</f>
        <v>#REF!</v>
      </c>
      <c r="GM161" t="e">
        <f>AND(Bills!F650,"AAAAAFr/7MI=")</f>
        <v>#VALUE!</v>
      </c>
      <c r="GN161" t="e">
        <f>AND(Bills!#REF!,"AAAAAFr/7MM=")</f>
        <v>#REF!</v>
      </c>
      <c r="GO161" t="e">
        <f>AND(Bills!G650,"AAAAAFr/7MQ=")</f>
        <v>#VALUE!</v>
      </c>
      <c r="GP161" t="e">
        <f>AND(Bills!H650,"AAAAAFr/7MU=")</f>
        <v>#VALUE!</v>
      </c>
      <c r="GQ161" t="e">
        <f>AND(Bills!I650,"AAAAAFr/7MY=")</f>
        <v>#VALUE!</v>
      </c>
      <c r="GR161" t="e">
        <f>AND(Bills!J650,"AAAAAFr/7Mc=")</f>
        <v>#VALUE!</v>
      </c>
      <c r="GS161" t="e">
        <f>AND(Bills!K650,"AAAAAFr/7Mg=")</f>
        <v>#VALUE!</v>
      </c>
      <c r="GT161" t="e">
        <f>AND(Bills!L650,"AAAAAFr/7Mk=")</f>
        <v>#VALUE!</v>
      </c>
      <c r="GU161" t="e">
        <f>AND(Bills!#REF!,"AAAAAFr/7Mo=")</f>
        <v>#REF!</v>
      </c>
      <c r="GV161" t="e">
        <f>AND(Bills!M650,"AAAAAFr/7Ms=")</f>
        <v>#VALUE!</v>
      </c>
      <c r="GW161" t="e">
        <f>AND(Bills!N650,"AAAAAFr/7Mw=")</f>
        <v>#VALUE!</v>
      </c>
      <c r="GX161" t="e">
        <f>AND(Bills!O650,"AAAAAFr/7M0=")</f>
        <v>#VALUE!</v>
      </c>
      <c r="GY161" t="e">
        <f>AND(Bills!P650,"AAAAAFr/7M4=")</f>
        <v>#VALUE!</v>
      </c>
      <c r="GZ161" t="e">
        <f>AND(Bills!Q650,"AAAAAFr/7M8=")</f>
        <v>#VALUE!</v>
      </c>
      <c r="HA161" t="e">
        <f>AND(Bills!R650,"AAAAAFr/7NA=")</f>
        <v>#VALUE!</v>
      </c>
      <c r="HB161" t="e">
        <f>AND(Bills!S650,"AAAAAFr/7NE=")</f>
        <v>#VALUE!</v>
      </c>
      <c r="HC161" t="e">
        <f>AND(Bills!T650,"AAAAAFr/7NI=")</f>
        <v>#VALUE!</v>
      </c>
      <c r="HD161" t="e">
        <f>AND(Bills!#REF!,"AAAAAFr/7NM=")</f>
        <v>#REF!</v>
      </c>
      <c r="HE161" t="e">
        <f>AND(Bills!U650,"AAAAAFr/7NQ=")</f>
        <v>#VALUE!</v>
      </c>
      <c r="HF161" t="e">
        <f>AND(Bills!V650,"AAAAAFr/7NU=")</f>
        <v>#VALUE!</v>
      </c>
      <c r="HG161" t="e">
        <f>AND(Bills!W650,"AAAAAFr/7NY=")</f>
        <v>#VALUE!</v>
      </c>
      <c r="HH161" t="e">
        <f>AND(Bills!#REF!,"AAAAAFr/7Nc=")</f>
        <v>#REF!</v>
      </c>
      <c r="HI161" t="e">
        <f>AND(Bills!#REF!,"AAAAAFr/7Ng=")</f>
        <v>#REF!</v>
      </c>
      <c r="HJ161" t="e">
        <f>AND(Bills!Y650,"AAAAAFr/7Nk=")</f>
        <v>#VALUE!</v>
      </c>
      <c r="HK161" t="e">
        <f>AND(Bills!Z650,"AAAAAFr/7No=")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AND(Bills!AA650,"AAAAAFr/7OQ=")</f>
        <v>#VALUE!</v>
      </c>
      <c r="HV161" t="e">
        <f>AND(Bills!AB650,"AAAAAFr/7OU=")</f>
        <v>#VALUE!</v>
      </c>
      <c r="HW161" t="e">
        <f>AND(Bills!#REF!,"AAAAAFr/7OY=")</f>
        <v>#REF!</v>
      </c>
      <c r="HX161" t="e">
        <f>AND(Bills!#REF!,"AAAAAFr/7Oc=")</f>
        <v>#REF!</v>
      </c>
      <c r="HY161" t="e">
        <f>AND(Bills!#REF!,"AAAAAFr/7Og=")</f>
        <v>#REF!</v>
      </c>
      <c r="HZ161" t="e">
        <f>AND(Bills!AC650,"AAAAAFr/7Ok=")</f>
        <v>#VALUE!</v>
      </c>
      <c r="IA161" t="e">
        <f>AND(Bills!AD650,"AAAAAFr/7Oo=")</f>
        <v>#VALUE!</v>
      </c>
      <c r="IB161" t="e">
        <f>AND(Bills!#REF!,"AAAAAFr/7Os=")</f>
        <v>#REF!</v>
      </c>
      <c r="IC161">
        <f>IF(Bills!651:651,"AAAAAFr/7Ow=",0)</f>
        <v>0</v>
      </c>
      <c r="ID161" t="e">
        <f>AND(Bills!B651,"AAAAAFr/7O0=")</f>
        <v>#VALUE!</v>
      </c>
      <c r="IE161" t="e">
        <f>AND(Bills!#REF!,"AAAAAFr/7O4=")</f>
        <v>#REF!</v>
      </c>
      <c r="IF161" t="e">
        <f>AND(Bills!C651,"AAAAAFr/7O8=")</f>
        <v>#VALUE!</v>
      </c>
      <c r="IG161" t="e">
        <f>AND(Bills!D651,"AAAAAFr/7PA=")</f>
        <v>#VALUE!</v>
      </c>
      <c r="IH161" t="e">
        <f>AND(Bills!E651,"AAAAAFr/7PE=")</f>
        <v>#VALUE!</v>
      </c>
      <c r="II161" t="e">
        <f>AND(Bills!#REF!,"AAAAAFr/7PI=")</f>
        <v>#REF!</v>
      </c>
      <c r="IJ161" t="e">
        <f>AND(Bills!#REF!,"AAAAAFr/7PM=")</f>
        <v>#REF!</v>
      </c>
      <c r="IK161" t="e">
        <f>AND(Bills!#REF!,"AAAAAFr/7PQ=")</f>
        <v>#REF!</v>
      </c>
      <c r="IL161" t="e">
        <f>AND(Bills!F651,"AAAAAFr/7PU=")</f>
        <v>#VALUE!</v>
      </c>
      <c r="IM161" t="e">
        <f>AND(Bills!#REF!,"AAAAAFr/7PY=")</f>
        <v>#REF!</v>
      </c>
      <c r="IN161" t="e">
        <f>AND(Bills!G651,"AAAAAFr/7Pc=")</f>
        <v>#VALUE!</v>
      </c>
      <c r="IO161" t="e">
        <f>AND(Bills!H651,"AAAAAFr/7Pg=")</f>
        <v>#VALUE!</v>
      </c>
      <c r="IP161" t="e">
        <f>AND(Bills!I651,"AAAAAFr/7Pk=")</f>
        <v>#VALUE!</v>
      </c>
      <c r="IQ161" t="e">
        <f>AND(Bills!J651,"AAAAAFr/7Po=")</f>
        <v>#VALUE!</v>
      </c>
      <c r="IR161" t="e">
        <f>AND(Bills!K651,"AAAAAFr/7Ps=")</f>
        <v>#VALUE!</v>
      </c>
      <c r="IS161" t="e">
        <f>AND(Bills!L651,"AAAAAFr/7Pw=")</f>
        <v>#VALUE!</v>
      </c>
      <c r="IT161" t="e">
        <f>AND(Bills!#REF!,"AAAAAFr/7P0=")</f>
        <v>#REF!</v>
      </c>
      <c r="IU161" t="e">
        <f>AND(Bills!M651,"AAAAAFr/7P4=")</f>
        <v>#VALUE!</v>
      </c>
      <c r="IV161" t="e">
        <f>AND(Bills!N651,"AAAAAFr/7P8=")</f>
        <v>#VALUE!</v>
      </c>
    </row>
    <row r="162" spans="1:256">
      <c r="A162" t="e">
        <f>AND(Bills!O651,"AAAAAHH/RQA=")</f>
        <v>#VALUE!</v>
      </c>
      <c r="B162" t="e">
        <f>AND(Bills!P651,"AAAAAHH/RQE=")</f>
        <v>#VALUE!</v>
      </c>
      <c r="C162" t="e">
        <f>AND(Bills!Q651,"AAAAAHH/RQI=")</f>
        <v>#VALUE!</v>
      </c>
      <c r="D162" t="e">
        <f>AND(Bills!R651,"AAAAAHH/RQM=")</f>
        <v>#VALUE!</v>
      </c>
      <c r="E162" t="e">
        <f>AND(Bills!S651,"AAAAAHH/RQQ=")</f>
        <v>#VALUE!</v>
      </c>
      <c r="F162" t="e">
        <f>AND(Bills!T651,"AAAAAHH/RQU=")</f>
        <v>#VALUE!</v>
      </c>
      <c r="G162" t="e">
        <f>AND(Bills!#REF!,"AAAAAHH/RQY=")</f>
        <v>#REF!</v>
      </c>
      <c r="H162" t="e">
        <f>AND(Bills!U651,"AAAAAHH/RQc=")</f>
        <v>#VALUE!</v>
      </c>
      <c r="I162" t="e">
        <f>AND(Bills!V651,"AAAAAHH/RQg=")</f>
        <v>#VALUE!</v>
      </c>
      <c r="J162" t="e">
        <f>AND(Bills!W651,"AAAAAHH/RQk=")</f>
        <v>#VALUE!</v>
      </c>
      <c r="K162" t="e">
        <f>AND(Bills!#REF!,"AAAAAHH/RQo=")</f>
        <v>#REF!</v>
      </c>
      <c r="L162" t="e">
        <f>AND(Bills!#REF!,"AAAAAHH/RQs=")</f>
        <v>#REF!</v>
      </c>
      <c r="M162" t="e">
        <f>AND(Bills!Y651,"AAAAAHH/RQw=")</f>
        <v>#VALUE!</v>
      </c>
      <c r="N162" t="e">
        <f>AND(Bills!Z651,"AAAAAHH/RQ0=")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AND(Bills!AA651,"AAAAAHH/RRc=")</f>
        <v>#VALUE!</v>
      </c>
      <c r="Y162" t="e">
        <f>AND(Bills!AB651,"AAAAAHH/RRg=")</f>
        <v>#VALUE!</v>
      </c>
      <c r="Z162" t="e">
        <f>AND(Bills!#REF!,"AAAAAHH/RRk=")</f>
        <v>#REF!</v>
      </c>
      <c r="AA162" t="e">
        <f>AND(Bills!#REF!,"AAAAAHH/RRo=")</f>
        <v>#REF!</v>
      </c>
      <c r="AB162" t="e">
        <f>AND(Bills!#REF!,"AAAAAHH/RRs=")</f>
        <v>#REF!</v>
      </c>
      <c r="AC162" t="e">
        <f>AND(Bills!AC651,"AAAAAHH/RRw=")</f>
        <v>#VALUE!</v>
      </c>
      <c r="AD162" t="e">
        <f>AND(Bills!AD651,"AAAAAHH/RR0=")</f>
        <v>#VALUE!</v>
      </c>
      <c r="AE162" t="e">
        <f>AND(Bills!#REF!,"AAAAAHH/RR4=")</f>
        <v>#REF!</v>
      </c>
      <c r="AF162">
        <f>IF(Bills!652:652,"AAAAAHH/RR8=",0)</f>
        <v>0</v>
      </c>
      <c r="AG162" t="e">
        <f>AND(Bills!B652,"AAAAAHH/RSA=")</f>
        <v>#VALUE!</v>
      </c>
      <c r="AH162" t="e">
        <f>AND(Bills!#REF!,"AAAAAHH/RSE=")</f>
        <v>#REF!</v>
      </c>
      <c r="AI162" t="e">
        <f>AND(Bills!C652,"AAAAAHH/RSI=")</f>
        <v>#VALUE!</v>
      </c>
      <c r="AJ162" t="e">
        <f>AND(Bills!D652,"AAAAAHH/RSM=")</f>
        <v>#VALUE!</v>
      </c>
      <c r="AK162" t="e">
        <f>AND(Bills!E652,"AAAAAHH/RSQ=")</f>
        <v>#VALUE!</v>
      </c>
      <c r="AL162" t="e">
        <f>AND(Bills!#REF!,"AAAAAHH/RSU=")</f>
        <v>#REF!</v>
      </c>
      <c r="AM162" t="e">
        <f>AND(Bills!#REF!,"AAAAAHH/RSY=")</f>
        <v>#REF!</v>
      </c>
      <c r="AN162" t="e">
        <f>AND(Bills!#REF!,"AAAAAHH/RSc=")</f>
        <v>#REF!</v>
      </c>
      <c r="AO162" t="e">
        <f>AND(Bills!F652,"AAAAAHH/RSg=")</f>
        <v>#VALUE!</v>
      </c>
      <c r="AP162" t="e">
        <f>AND(Bills!#REF!,"AAAAAHH/RSk=")</f>
        <v>#REF!</v>
      </c>
      <c r="AQ162" t="e">
        <f>AND(Bills!G652,"AAAAAHH/RSo=")</f>
        <v>#VALUE!</v>
      </c>
      <c r="AR162" t="e">
        <f>AND(Bills!H652,"AAAAAHH/RSs=")</f>
        <v>#VALUE!</v>
      </c>
      <c r="AS162" t="e">
        <f>AND(Bills!I652,"AAAAAHH/RSw=")</f>
        <v>#VALUE!</v>
      </c>
      <c r="AT162" t="e">
        <f>AND(Bills!J652,"AAAAAHH/RS0=")</f>
        <v>#VALUE!</v>
      </c>
      <c r="AU162" t="e">
        <f>AND(Bills!K652,"AAAAAHH/RS4=")</f>
        <v>#VALUE!</v>
      </c>
      <c r="AV162" t="e">
        <f>AND(Bills!L652,"AAAAAHH/RS8=")</f>
        <v>#VALUE!</v>
      </c>
      <c r="AW162" t="e">
        <f>AND(Bills!#REF!,"AAAAAHH/RTA=")</f>
        <v>#REF!</v>
      </c>
      <c r="AX162" t="e">
        <f>AND(Bills!M652,"AAAAAHH/RTE=")</f>
        <v>#VALUE!</v>
      </c>
      <c r="AY162" t="e">
        <f>AND(Bills!N652,"AAAAAHH/RTI=")</f>
        <v>#VALUE!</v>
      </c>
      <c r="AZ162" t="e">
        <f>AND(Bills!O652,"AAAAAHH/RTM=")</f>
        <v>#VALUE!</v>
      </c>
      <c r="BA162" t="e">
        <f>AND(Bills!P652,"AAAAAHH/RTQ=")</f>
        <v>#VALUE!</v>
      </c>
      <c r="BB162" t="e">
        <f>AND(Bills!Q652,"AAAAAHH/RTU=")</f>
        <v>#VALUE!</v>
      </c>
      <c r="BC162" t="e">
        <f>AND(Bills!R652,"AAAAAHH/RTY=")</f>
        <v>#VALUE!</v>
      </c>
      <c r="BD162" t="e">
        <f>AND(Bills!S652,"AAAAAHH/RTc=")</f>
        <v>#VALUE!</v>
      </c>
      <c r="BE162" t="e">
        <f>AND(Bills!T652,"AAAAAHH/RTg=")</f>
        <v>#VALUE!</v>
      </c>
      <c r="BF162" t="e">
        <f>AND(Bills!#REF!,"AAAAAHH/RTk=")</f>
        <v>#REF!</v>
      </c>
      <c r="BG162" t="e">
        <f>AND(Bills!U652,"AAAAAHH/RTo=")</f>
        <v>#VALUE!</v>
      </c>
      <c r="BH162" t="e">
        <f>AND(Bills!V652,"AAAAAHH/RTs=")</f>
        <v>#VALUE!</v>
      </c>
      <c r="BI162" t="e">
        <f>AND(Bills!W652,"AAAAAHH/RTw=")</f>
        <v>#VALUE!</v>
      </c>
      <c r="BJ162" t="e">
        <f>AND(Bills!#REF!,"AAAAAHH/RT0=")</f>
        <v>#REF!</v>
      </c>
      <c r="BK162" t="e">
        <f>AND(Bills!#REF!,"AAAAAHH/RT4=")</f>
        <v>#REF!</v>
      </c>
      <c r="BL162" t="e">
        <f>AND(Bills!Y652,"AAAAAHH/RT8=")</f>
        <v>#VALUE!</v>
      </c>
      <c r="BM162" t="e">
        <f>AND(Bills!Z652,"AAAAAHH/RUA=")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AND(Bills!AA652,"AAAAAHH/RUo=")</f>
        <v>#VALUE!</v>
      </c>
      <c r="BX162" t="e">
        <f>AND(Bills!AB652,"AAAAAHH/RUs=")</f>
        <v>#VALUE!</v>
      </c>
      <c r="BY162" t="e">
        <f>AND(Bills!#REF!,"AAAAAHH/RUw=")</f>
        <v>#REF!</v>
      </c>
      <c r="BZ162" t="e">
        <f>AND(Bills!#REF!,"AAAAAHH/RU0=")</f>
        <v>#REF!</v>
      </c>
      <c r="CA162" t="e">
        <f>AND(Bills!#REF!,"AAAAAHH/RU4=")</f>
        <v>#REF!</v>
      </c>
      <c r="CB162" t="e">
        <f>AND(Bills!AC652,"AAAAAHH/RU8=")</f>
        <v>#VALUE!</v>
      </c>
      <c r="CC162" t="e">
        <f>AND(Bills!AD652,"AAAAAHH/RVA=")</f>
        <v>#VALUE!</v>
      </c>
      <c r="CD162" t="e">
        <f>AND(Bills!#REF!,"AAAAAHH/RVE=")</f>
        <v>#REF!</v>
      </c>
      <c r="CE162">
        <f>IF(Bills!653:653,"AAAAAHH/RVI=",0)</f>
        <v>0</v>
      </c>
      <c r="CF162" t="e">
        <f>AND(Bills!B653,"AAAAAHH/RVM=")</f>
        <v>#VALUE!</v>
      </c>
      <c r="CG162" t="e">
        <f>AND(Bills!#REF!,"AAAAAHH/RVQ=")</f>
        <v>#REF!</v>
      </c>
      <c r="CH162" t="e">
        <f>AND(Bills!C653,"AAAAAHH/RVU=")</f>
        <v>#VALUE!</v>
      </c>
      <c r="CI162" t="e">
        <f>AND(Bills!D653,"AAAAAHH/RVY=")</f>
        <v>#VALUE!</v>
      </c>
      <c r="CJ162" t="e">
        <f>AND(Bills!E653,"AAAAAHH/RVc=")</f>
        <v>#VALUE!</v>
      </c>
      <c r="CK162" t="e">
        <f>AND(Bills!#REF!,"AAAAAHH/RVg=")</f>
        <v>#REF!</v>
      </c>
      <c r="CL162" t="e">
        <f>AND(Bills!#REF!,"AAAAAHH/RVk=")</f>
        <v>#REF!</v>
      </c>
      <c r="CM162" t="e">
        <f>AND(Bills!#REF!,"AAAAAHH/RVo=")</f>
        <v>#REF!</v>
      </c>
      <c r="CN162" t="e">
        <f>AND(Bills!F653,"AAAAAHH/RVs=")</f>
        <v>#VALUE!</v>
      </c>
      <c r="CO162" t="e">
        <f>AND(Bills!#REF!,"AAAAAHH/RVw=")</f>
        <v>#REF!</v>
      </c>
      <c r="CP162" t="e">
        <f>AND(Bills!G653,"AAAAAHH/RV0=")</f>
        <v>#VALUE!</v>
      </c>
      <c r="CQ162" t="e">
        <f>AND(Bills!H653,"AAAAAHH/RV4=")</f>
        <v>#VALUE!</v>
      </c>
      <c r="CR162" t="e">
        <f>AND(Bills!I653,"AAAAAHH/RV8=")</f>
        <v>#VALUE!</v>
      </c>
      <c r="CS162" t="e">
        <f>AND(Bills!J653,"AAAAAHH/RWA=")</f>
        <v>#VALUE!</v>
      </c>
      <c r="CT162" t="e">
        <f>AND(Bills!K653,"AAAAAHH/RWE=")</f>
        <v>#VALUE!</v>
      </c>
      <c r="CU162" t="e">
        <f>AND(Bills!L653,"AAAAAHH/RWI=")</f>
        <v>#VALUE!</v>
      </c>
      <c r="CV162" t="e">
        <f>AND(Bills!#REF!,"AAAAAHH/RWM=")</f>
        <v>#REF!</v>
      </c>
      <c r="CW162" t="e">
        <f>AND(Bills!M653,"AAAAAHH/RWQ=")</f>
        <v>#VALUE!</v>
      </c>
      <c r="CX162" t="e">
        <f>AND(Bills!N653,"AAAAAHH/RWU=")</f>
        <v>#VALUE!</v>
      </c>
      <c r="CY162" t="e">
        <f>AND(Bills!O653,"AAAAAHH/RWY=")</f>
        <v>#VALUE!</v>
      </c>
      <c r="CZ162" t="e">
        <f>AND(Bills!P653,"AAAAAHH/RWc=")</f>
        <v>#VALUE!</v>
      </c>
      <c r="DA162" t="e">
        <f>AND(Bills!Q653,"AAAAAHH/RWg=")</f>
        <v>#VALUE!</v>
      </c>
      <c r="DB162" t="e">
        <f>AND(Bills!R653,"AAAAAHH/RWk=")</f>
        <v>#VALUE!</v>
      </c>
      <c r="DC162" t="e">
        <f>AND(Bills!S653,"AAAAAHH/RWo=")</f>
        <v>#VALUE!</v>
      </c>
      <c r="DD162" t="e">
        <f>AND(Bills!T653,"AAAAAHH/RWs=")</f>
        <v>#VALUE!</v>
      </c>
      <c r="DE162" t="e">
        <f>AND(Bills!#REF!,"AAAAAHH/RWw=")</f>
        <v>#REF!</v>
      </c>
      <c r="DF162" t="e">
        <f>AND(Bills!U653,"AAAAAHH/RW0=")</f>
        <v>#VALUE!</v>
      </c>
      <c r="DG162" t="e">
        <f>AND(Bills!V653,"AAAAAHH/RW4=")</f>
        <v>#VALUE!</v>
      </c>
      <c r="DH162" t="e">
        <f>AND(Bills!W653,"AAAAAHH/RW8=")</f>
        <v>#VALUE!</v>
      </c>
      <c r="DI162" t="e">
        <f>AND(Bills!#REF!,"AAAAAHH/RXA=")</f>
        <v>#REF!</v>
      </c>
      <c r="DJ162" t="e">
        <f>AND(Bills!#REF!,"AAAAAHH/RXE=")</f>
        <v>#REF!</v>
      </c>
      <c r="DK162" t="e">
        <f>AND(Bills!Y653,"AAAAAHH/RXI=")</f>
        <v>#VALUE!</v>
      </c>
      <c r="DL162" t="e">
        <f>AND(Bills!Z653,"AAAAAHH/RXM=")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AND(Bills!AA653,"AAAAAHH/RX0=")</f>
        <v>#VALUE!</v>
      </c>
      <c r="DW162" t="e">
        <f>AND(Bills!AB653,"AAAAAHH/RX4=")</f>
        <v>#VALUE!</v>
      </c>
      <c r="DX162" t="e">
        <f>AND(Bills!#REF!,"AAAAAHH/RX8=")</f>
        <v>#REF!</v>
      </c>
      <c r="DY162" t="e">
        <f>AND(Bills!#REF!,"AAAAAHH/RYA=")</f>
        <v>#REF!</v>
      </c>
      <c r="DZ162" t="e">
        <f>AND(Bills!#REF!,"AAAAAHH/RYE=")</f>
        <v>#REF!</v>
      </c>
      <c r="EA162" t="e">
        <f>AND(Bills!AC653,"AAAAAHH/RYI=")</f>
        <v>#VALUE!</v>
      </c>
      <c r="EB162" t="e">
        <f>AND(Bills!AD653,"AAAAAHH/RYM=")</f>
        <v>#VALUE!</v>
      </c>
      <c r="EC162" t="e">
        <f>AND(Bills!#REF!,"AAAAAHH/RYQ=")</f>
        <v>#REF!</v>
      </c>
      <c r="ED162">
        <f>IF(Bills!654:654,"AAAAAHH/RYU=",0)</f>
        <v>0</v>
      </c>
      <c r="EE162" t="e">
        <f>AND(Bills!B654,"AAAAAHH/RYY=")</f>
        <v>#VALUE!</v>
      </c>
      <c r="EF162" t="e">
        <f>AND(Bills!#REF!,"AAAAAHH/RYc=")</f>
        <v>#REF!</v>
      </c>
      <c r="EG162" t="e">
        <f>AND(Bills!C654,"AAAAAHH/RYg=")</f>
        <v>#VALUE!</v>
      </c>
      <c r="EH162" t="e">
        <f>AND(Bills!D654,"AAAAAHH/RYk=")</f>
        <v>#VALUE!</v>
      </c>
      <c r="EI162" t="e">
        <f>AND(Bills!E654,"AAAAAHH/RYo=")</f>
        <v>#VALUE!</v>
      </c>
      <c r="EJ162" t="e">
        <f>AND(Bills!#REF!,"AAAAAHH/RYs=")</f>
        <v>#REF!</v>
      </c>
      <c r="EK162" t="e">
        <f>AND(Bills!#REF!,"AAAAAHH/RYw=")</f>
        <v>#REF!</v>
      </c>
      <c r="EL162" t="e">
        <f>AND(Bills!#REF!,"AAAAAHH/RY0=")</f>
        <v>#REF!</v>
      </c>
      <c r="EM162" t="e">
        <f>AND(Bills!F654,"AAAAAHH/RY4=")</f>
        <v>#VALUE!</v>
      </c>
      <c r="EN162" t="e">
        <f>AND(Bills!#REF!,"AAAAAHH/RY8=")</f>
        <v>#REF!</v>
      </c>
      <c r="EO162" t="e">
        <f>AND(Bills!G654,"AAAAAHH/RZA=")</f>
        <v>#VALUE!</v>
      </c>
      <c r="EP162" t="e">
        <f>AND(Bills!H654,"AAAAAHH/RZE=")</f>
        <v>#VALUE!</v>
      </c>
      <c r="EQ162" t="e">
        <f>AND(Bills!I654,"AAAAAHH/RZI=")</f>
        <v>#VALUE!</v>
      </c>
      <c r="ER162" t="e">
        <f>AND(Bills!J654,"AAAAAHH/RZM=")</f>
        <v>#VALUE!</v>
      </c>
      <c r="ES162" t="e">
        <f>AND(Bills!K654,"AAAAAHH/RZQ=")</f>
        <v>#VALUE!</v>
      </c>
      <c r="ET162" t="e">
        <f>AND(Bills!L654,"AAAAAHH/RZU=")</f>
        <v>#VALUE!</v>
      </c>
      <c r="EU162" t="e">
        <f>AND(Bills!#REF!,"AAAAAHH/RZY=")</f>
        <v>#REF!</v>
      </c>
      <c r="EV162" t="e">
        <f>AND(Bills!M654,"AAAAAHH/RZc=")</f>
        <v>#VALUE!</v>
      </c>
      <c r="EW162" t="e">
        <f>AND(Bills!N654,"AAAAAHH/RZg=")</f>
        <v>#VALUE!</v>
      </c>
      <c r="EX162" t="e">
        <f>AND(Bills!O654,"AAAAAHH/RZk=")</f>
        <v>#VALUE!</v>
      </c>
      <c r="EY162" t="e">
        <f>AND(Bills!P654,"AAAAAHH/RZo=")</f>
        <v>#VALUE!</v>
      </c>
      <c r="EZ162" t="e">
        <f>AND(Bills!Q654,"AAAAAHH/RZs=")</f>
        <v>#VALUE!</v>
      </c>
      <c r="FA162" t="e">
        <f>AND(Bills!R654,"AAAAAHH/RZw=")</f>
        <v>#VALUE!</v>
      </c>
      <c r="FB162" t="e">
        <f>AND(Bills!S654,"AAAAAHH/RZ0=")</f>
        <v>#VALUE!</v>
      </c>
      <c r="FC162" t="e">
        <f>AND(Bills!T654,"AAAAAHH/RZ4=")</f>
        <v>#VALUE!</v>
      </c>
      <c r="FD162" t="e">
        <f>AND(Bills!#REF!,"AAAAAHH/RZ8=")</f>
        <v>#REF!</v>
      </c>
      <c r="FE162" t="e">
        <f>AND(Bills!U654,"AAAAAHH/RaA=")</f>
        <v>#VALUE!</v>
      </c>
      <c r="FF162" t="e">
        <f>AND(Bills!V654,"AAAAAHH/RaE=")</f>
        <v>#VALUE!</v>
      </c>
      <c r="FG162" t="e">
        <f>AND(Bills!W654,"AAAAAHH/RaI=")</f>
        <v>#VALUE!</v>
      </c>
      <c r="FH162" t="e">
        <f>AND(Bills!#REF!,"AAAAAHH/RaM=")</f>
        <v>#REF!</v>
      </c>
      <c r="FI162" t="e">
        <f>AND(Bills!#REF!,"AAAAAHH/RaQ=")</f>
        <v>#REF!</v>
      </c>
      <c r="FJ162" t="e">
        <f>AND(Bills!Y654,"AAAAAHH/RaU=")</f>
        <v>#VALUE!</v>
      </c>
      <c r="FK162" t="e">
        <f>AND(Bills!Z654,"AAAAAHH/RaY=")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AND(Bills!AA654,"AAAAAHH/RbA=")</f>
        <v>#VALUE!</v>
      </c>
      <c r="FV162" t="e">
        <f>AND(Bills!AB654,"AAAAAHH/RbE=")</f>
        <v>#VALUE!</v>
      </c>
      <c r="FW162" t="e">
        <f>AND(Bills!#REF!,"AAAAAHH/RbI=")</f>
        <v>#REF!</v>
      </c>
      <c r="FX162" t="e">
        <f>AND(Bills!#REF!,"AAAAAHH/RbM=")</f>
        <v>#REF!</v>
      </c>
      <c r="FY162" t="e">
        <f>AND(Bills!#REF!,"AAAAAHH/RbQ=")</f>
        <v>#REF!</v>
      </c>
      <c r="FZ162" t="e">
        <f>AND(Bills!AC654,"AAAAAHH/RbU=")</f>
        <v>#VALUE!</v>
      </c>
      <c r="GA162" t="e">
        <f>AND(Bills!AD654,"AAAAAHH/RbY=")</f>
        <v>#VALUE!</v>
      </c>
      <c r="GB162" t="e">
        <f>AND(Bills!#REF!,"AAAAAHH/Rbc=")</f>
        <v>#REF!</v>
      </c>
      <c r="GC162">
        <f>IF(Bills!655:655,"AAAAAHH/Rbg=",0)</f>
        <v>0</v>
      </c>
      <c r="GD162" t="e">
        <f>AND(Bills!B655,"AAAAAHH/Rbk=")</f>
        <v>#VALUE!</v>
      </c>
      <c r="GE162" t="e">
        <f>AND(Bills!#REF!,"AAAAAHH/Rbo=")</f>
        <v>#REF!</v>
      </c>
      <c r="GF162" t="e">
        <f>AND(Bills!C655,"AAAAAHH/Rbs=")</f>
        <v>#VALUE!</v>
      </c>
      <c r="GG162" t="e">
        <f>AND(Bills!D655,"AAAAAHH/Rbw=")</f>
        <v>#VALUE!</v>
      </c>
      <c r="GH162" t="e">
        <f>AND(Bills!E655,"AAAAAHH/Rb0=")</f>
        <v>#VALUE!</v>
      </c>
      <c r="GI162" t="e">
        <f>AND(Bills!#REF!,"AAAAAHH/Rb4=")</f>
        <v>#REF!</v>
      </c>
      <c r="GJ162" t="e">
        <f>AND(Bills!#REF!,"AAAAAHH/Rb8=")</f>
        <v>#REF!</v>
      </c>
      <c r="GK162" t="e">
        <f>AND(Bills!#REF!,"AAAAAHH/RcA=")</f>
        <v>#REF!</v>
      </c>
      <c r="GL162" t="e">
        <f>AND(Bills!F655,"AAAAAHH/RcE=")</f>
        <v>#VALUE!</v>
      </c>
      <c r="GM162" t="e">
        <f>AND(Bills!#REF!,"AAAAAHH/RcI=")</f>
        <v>#REF!</v>
      </c>
      <c r="GN162" t="e">
        <f>AND(Bills!G655,"AAAAAHH/RcM=")</f>
        <v>#VALUE!</v>
      </c>
      <c r="GO162" t="e">
        <f>AND(Bills!H655,"AAAAAHH/RcQ=")</f>
        <v>#VALUE!</v>
      </c>
      <c r="GP162" t="e">
        <f>AND(Bills!I655,"AAAAAHH/RcU=")</f>
        <v>#VALUE!</v>
      </c>
      <c r="GQ162" t="e">
        <f>AND(Bills!J655,"AAAAAHH/RcY=")</f>
        <v>#VALUE!</v>
      </c>
      <c r="GR162" t="e">
        <f>AND(Bills!K655,"AAAAAHH/Rcc=")</f>
        <v>#VALUE!</v>
      </c>
      <c r="GS162" t="e">
        <f>AND(Bills!L655,"AAAAAHH/Rcg=")</f>
        <v>#VALUE!</v>
      </c>
      <c r="GT162" t="e">
        <f>AND(Bills!#REF!,"AAAAAHH/Rck=")</f>
        <v>#REF!</v>
      </c>
      <c r="GU162" t="e">
        <f>AND(Bills!M655,"AAAAAHH/Rco=")</f>
        <v>#VALUE!</v>
      </c>
      <c r="GV162" t="e">
        <f>AND(Bills!N655,"AAAAAHH/Rcs=")</f>
        <v>#VALUE!</v>
      </c>
      <c r="GW162" t="e">
        <f>AND(Bills!O655,"AAAAAHH/Rcw=")</f>
        <v>#VALUE!</v>
      </c>
      <c r="GX162" t="e">
        <f>AND(Bills!P655,"AAAAAHH/Rc0=")</f>
        <v>#VALUE!</v>
      </c>
      <c r="GY162" t="e">
        <f>AND(Bills!Q655,"AAAAAHH/Rc4=")</f>
        <v>#VALUE!</v>
      </c>
      <c r="GZ162" t="e">
        <f>AND(Bills!R655,"AAAAAHH/Rc8=")</f>
        <v>#VALUE!</v>
      </c>
      <c r="HA162" t="e">
        <f>AND(Bills!S655,"AAAAAHH/RdA=")</f>
        <v>#VALUE!</v>
      </c>
      <c r="HB162" t="e">
        <f>AND(Bills!T655,"AAAAAHH/RdE=")</f>
        <v>#VALUE!</v>
      </c>
      <c r="HC162" t="e">
        <f>AND(Bills!#REF!,"AAAAAHH/RdI=")</f>
        <v>#REF!</v>
      </c>
      <c r="HD162" t="e">
        <f>AND(Bills!U655,"AAAAAHH/RdM=")</f>
        <v>#VALUE!</v>
      </c>
      <c r="HE162" t="e">
        <f>AND(Bills!V655,"AAAAAHH/RdQ=")</f>
        <v>#VALUE!</v>
      </c>
      <c r="HF162" t="e">
        <f>AND(Bills!W655,"AAAAAHH/RdU=")</f>
        <v>#VALUE!</v>
      </c>
      <c r="HG162" t="e">
        <f>AND(Bills!#REF!,"AAAAAHH/RdY=")</f>
        <v>#REF!</v>
      </c>
      <c r="HH162" t="e">
        <f>AND(Bills!#REF!,"AAAAAHH/Rdc=")</f>
        <v>#REF!</v>
      </c>
      <c r="HI162" t="e">
        <f>AND(Bills!Y655,"AAAAAHH/Rdg=")</f>
        <v>#VALUE!</v>
      </c>
      <c r="HJ162" t="e">
        <f>AND(Bills!Z655,"AAAAAHH/Rdk=")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AND(Bills!AA655,"AAAAAHH/ReM=")</f>
        <v>#VALUE!</v>
      </c>
      <c r="HU162" t="e">
        <f>AND(Bills!AB655,"AAAAAHH/ReQ=")</f>
        <v>#VALUE!</v>
      </c>
      <c r="HV162" t="e">
        <f>AND(Bills!#REF!,"AAAAAHH/ReU=")</f>
        <v>#REF!</v>
      </c>
      <c r="HW162" t="e">
        <f>AND(Bills!#REF!,"AAAAAHH/ReY=")</f>
        <v>#REF!</v>
      </c>
      <c r="HX162" t="e">
        <f>AND(Bills!#REF!,"AAAAAHH/Rec=")</f>
        <v>#REF!</v>
      </c>
      <c r="HY162" t="e">
        <f>AND(Bills!AC655,"AAAAAHH/Reg=")</f>
        <v>#VALUE!</v>
      </c>
      <c r="HZ162" t="e">
        <f>AND(Bills!AD655,"AAAAAHH/Rek=")</f>
        <v>#VALUE!</v>
      </c>
      <c r="IA162" t="e">
        <f>AND(Bills!#REF!,"AAAAAHH/Reo=")</f>
        <v>#REF!</v>
      </c>
      <c r="IB162">
        <f>IF(Bills!656:656,"AAAAAHH/Res=",0)</f>
        <v>0</v>
      </c>
      <c r="IC162" t="e">
        <f>AND(Bills!B656,"AAAAAHH/Rew=")</f>
        <v>#VALUE!</v>
      </c>
      <c r="ID162" t="e">
        <f>AND(Bills!#REF!,"AAAAAHH/Re0=")</f>
        <v>#REF!</v>
      </c>
      <c r="IE162" t="e">
        <f>AND(Bills!C656,"AAAAAHH/Re4=")</f>
        <v>#VALUE!</v>
      </c>
      <c r="IF162" t="e">
        <f>AND(Bills!D656,"AAAAAHH/Re8=")</f>
        <v>#VALUE!</v>
      </c>
      <c r="IG162" t="e">
        <f>AND(Bills!E656,"AAAAAHH/RfA=")</f>
        <v>#VALUE!</v>
      </c>
      <c r="IH162" t="e">
        <f>AND(Bills!#REF!,"AAAAAHH/RfE=")</f>
        <v>#REF!</v>
      </c>
      <c r="II162" t="e">
        <f>AND(Bills!#REF!,"AAAAAHH/RfI=")</f>
        <v>#REF!</v>
      </c>
      <c r="IJ162" t="e">
        <f>AND(Bills!#REF!,"AAAAAHH/RfM=")</f>
        <v>#REF!</v>
      </c>
      <c r="IK162" t="e">
        <f>AND(Bills!F656,"AAAAAHH/RfQ=")</f>
        <v>#VALUE!</v>
      </c>
      <c r="IL162" t="e">
        <f>AND(Bills!#REF!,"AAAAAHH/RfU=")</f>
        <v>#REF!</v>
      </c>
      <c r="IM162" t="e">
        <f>AND(Bills!G656,"AAAAAHH/RfY=")</f>
        <v>#VALUE!</v>
      </c>
      <c r="IN162" t="e">
        <f>AND(Bills!H656,"AAAAAHH/Rfc=")</f>
        <v>#VALUE!</v>
      </c>
      <c r="IO162" t="e">
        <f>AND(Bills!I656,"AAAAAHH/Rfg=")</f>
        <v>#VALUE!</v>
      </c>
      <c r="IP162" t="e">
        <f>AND(Bills!J656,"AAAAAHH/Rfk=")</f>
        <v>#VALUE!</v>
      </c>
      <c r="IQ162" t="e">
        <f>AND(Bills!K656,"AAAAAHH/Rfo=")</f>
        <v>#VALUE!</v>
      </c>
      <c r="IR162" t="e">
        <f>AND(Bills!L656,"AAAAAHH/Rfs=")</f>
        <v>#VALUE!</v>
      </c>
      <c r="IS162" t="e">
        <f>AND(Bills!#REF!,"AAAAAHH/Rfw=")</f>
        <v>#REF!</v>
      </c>
      <c r="IT162" t="e">
        <f>AND(Bills!M656,"AAAAAHH/Rf0=")</f>
        <v>#VALUE!</v>
      </c>
      <c r="IU162" t="e">
        <f>AND(Bills!N656,"AAAAAHH/Rf4=")</f>
        <v>#VALUE!</v>
      </c>
      <c r="IV162" t="e">
        <f>AND(Bills!O656,"AAAAAHH/Rf8=")</f>
        <v>#VALUE!</v>
      </c>
    </row>
    <row r="163" spans="1:256">
      <c r="A163" t="e">
        <f>AND(Bills!P656,"AAAAAHZ+vwA=")</f>
        <v>#VALUE!</v>
      </c>
      <c r="B163" t="e">
        <f>AND(Bills!Q656,"AAAAAHZ+vwE=")</f>
        <v>#VALUE!</v>
      </c>
      <c r="C163" t="e">
        <f>AND(Bills!R656,"AAAAAHZ+vwI=")</f>
        <v>#VALUE!</v>
      </c>
      <c r="D163" t="e">
        <f>AND(Bills!S656,"AAAAAHZ+vwM=")</f>
        <v>#VALUE!</v>
      </c>
      <c r="E163" t="e">
        <f>AND(Bills!T656,"AAAAAHZ+vwQ=")</f>
        <v>#VALUE!</v>
      </c>
      <c r="F163" t="e">
        <f>AND(Bills!#REF!,"AAAAAHZ+vwU=")</f>
        <v>#REF!</v>
      </c>
      <c r="G163" t="e">
        <f>AND(Bills!U656,"AAAAAHZ+vwY=")</f>
        <v>#VALUE!</v>
      </c>
      <c r="H163" t="e">
        <f>AND(Bills!V656,"AAAAAHZ+vwc=")</f>
        <v>#VALUE!</v>
      </c>
      <c r="I163" t="e">
        <f>AND(Bills!W656,"AAAAAHZ+vwg=")</f>
        <v>#VALUE!</v>
      </c>
      <c r="J163" t="e">
        <f>AND(Bills!#REF!,"AAAAAHZ+vwk=")</f>
        <v>#REF!</v>
      </c>
      <c r="K163" t="e">
        <f>AND(Bills!#REF!,"AAAAAHZ+vwo=")</f>
        <v>#REF!</v>
      </c>
      <c r="L163" t="e">
        <f>AND(Bills!Y656,"AAAAAHZ+vws=")</f>
        <v>#VALUE!</v>
      </c>
      <c r="M163" t="e">
        <f>AND(Bills!Z656,"AAAAAHZ+vww=")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AND(Bills!AA656,"AAAAAHZ+vxY=")</f>
        <v>#VALUE!</v>
      </c>
      <c r="X163" t="e">
        <f>AND(Bills!AB656,"AAAAAHZ+vxc=")</f>
        <v>#VALUE!</v>
      </c>
      <c r="Y163" t="e">
        <f>AND(Bills!#REF!,"AAAAAHZ+vxg=")</f>
        <v>#REF!</v>
      </c>
      <c r="Z163" t="e">
        <f>AND(Bills!#REF!,"AAAAAHZ+vxk=")</f>
        <v>#REF!</v>
      </c>
      <c r="AA163" t="e">
        <f>AND(Bills!#REF!,"AAAAAHZ+vxo=")</f>
        <v>#REF!</v>
      </c>
      <c r="AB163" t="e">
        <f>AND(Bills!AC656,"AAAAAHZ+vxs=")</f>
        <v>#VALUE!</v>
      </c>
      <c r="AC163" t="e">
        <f>AND(Bills!AD656,"AAAAAHZ+vxw=")</f>
        <v>#VALUE!</v>
      </c>
      <c r="AD163" t="e">
        <f>AND(Bills!#REF!,"AAAAAHZ+vx0=")</f>
        <v>#REF!</v>
      </c>
      <c r="AE163">
        <f>IF(Bills!657:657,"AAAAAHZ+vx4=",0)</f>
        <v>0</v>
      </c>
      <c r="AF163" t="e">
        <f>AND(Bills!B657,"AAAAAHZ+vx8=")</f>
        <v>#VALUE!</v>
      </c>
      <c r="AG163" t="e">
        <f>AND(Bills!#REF!,"AAAAAHZ+vyA=")</f>
        <v>#REF!</v>
      </c>
      <c r="AH163" t="e">
        <f>AND(Bills!C657,"AAAAAHZ+vyE=")</f>
        <v>#VALUE!</v>
      </c>
      <c r="AI163" t="e">
        <f>AND(Bills!D657,"AAAAAHZ+vyI=")</f>
        <v>#VALUE!</v>
      </c>
      <c r="AJ163" t="e">
        <f>AND(Bills!E657,"AAAAAHZ+vyM=")</f>
        <v>#VALUE!</v>
      </c>
      <c r="AK163" t="e">
        <f>AND(Bills!#REF!,"AAAAAHZ+vyQ=")</f>
        <v>#REF!</v>
      </c>
      <c r="AL163" t="e">
        <f>AND(Bills!#REF!,"AAAAAHZ+vyU=")</f>
        <v>#REF!</v>
      </c>
      <c r="AM163" t="e">
        <f>AND(Bills!#REF!,"AAAAAHZ+vyY=")</f>
        <v>#REF!</v>
      </c>
      <c r="AN163" t="e">
        <f>AND(Bills!F657,"AAAAAHZ+vyc=")</f>
        <v>#VALUE!</v>
      </c>
      <c r="AO163" t="e">
        <f>AND(Bills!#REF!,"AAAAAHZ+vyg=")</f>
        <v>#REF!</v>
      </c>
      <c r="AP163" t="e">
        <f>AND(Bills!G657,"AAAAAHZ+vyk=")</f>
        <v>#VALUE!</v>
      </c>
      <c r="AQ163" t="e">
        <f>AND(Bills!H657,"AAAAAHZ+vyo=")</f>
        <v>#VALUE!</v>
      </c>
      <c r="AR163" t="e">
        <f>AND(Bills!I657,"AAAAAHZ+vys=")</f>
        <v>#VALUE!</v>
      </c>
      <c r="AS163" t="e">
        <f>AND(Bills!J657,"AAAAAHZ+vyw=")</f>
        <v>#VALUE!</v>
      </c>
      <c r="AT163" t="e">
        <f>AND(Bills!K657,"AAAAAHZ+vy0=")</f>
        <v>#VALUE!</v>
      </c>
      <c r="AU163" t="e">
        <f>AND(Bills!L657,"AAAAAHZ+vy4=")</f>
        <v>#VALUE!</v>
      </c>
      <c r="AV163" t="e">
        <f>AND(Bills!#REF!,"AAAAAHZ+vy8=")</f>
        <v>#REF!</v>
      </c>
      <c r="AW163" t="e">
        <f>AND(Bills!M657,"AAAAAHZ+vzA=")</f>
        <v>#VALUE!</v>
      </c>
      <c r="AX163" t="e">
        <f>AND(Bills!N657,"AAAAAHZ+vzE=")</f>
        <v>#VALUE!</v>
      </c>
      <c r="AY163" t="e">
        <f>AND(Bills!O657,"AAAAAHZ+vzI=")</f>
        <v>#VALUE!</v>
      </c>
      <c r="AZ163" t="e">
        <f>AND(Bills!P657,"AAAAAHZ+vzM=")</f>
        <v>#VALUE!</v>
      </c>
      <c r="BA163" t="e">
        <f>AND(Bills!Q657,"AAAAAHZ+vzQ=")</f>
        <v>#VALUE!</v>
      </c>
      <c r="BB163" t="e">
        <f>AND(Bills!R657,"AAAAAHZ+vzU=")</f>
        <v>#VALUE!</v>
      </c>
      <c r="BC163" t="e">
        <f>AND(Bills!S657,"AAAAAHZ+vzY=")</f>
        <v>#VALUE!</v>
      </c>
      <c r="BD163" t="e">
        <f>AND(Bills!T657,"AAAAAHZ+vzc=")</f>
        <v>#VALUE!</v>
      </c>
      <c r="BE163" t="e">
        <f>AND(Bills!#REF!,"AAAAAHZ+vzg=")</f>
        <v>#REF!</v>
      </c>
      <c r="BF163" t="e">
        <f>AND(Bills!U657,"AAAAAHZ+vzk=")</f>
        <v>#VALUE!</v>
      </c>
      <c r="BG163" t="e">
        <f>AND(Bills!V657,"AAAAAHZ+vzo=")</f>
        <v>#VALUE!</v>
      </c>
      <c r="BH163" t="e">
        <f>AND(Bills!W657,"AAAAAHZ+vzs=")</f>
        <v>#VALUE!</v>
      </c>
      <c r="BI163" t="e">
        <f>AND(Bills!#REF!,"AAAAAHZ+vzw=")</f>
        <v>#REF!</v>
      </c>
      <c r="BJ163" t="e">
        <f>AND(Bills!#REF!,"AAAAAHZ+vz0=")</f>
        <v>#REF!</v>
      </c>
      <c r="BK163" t="e">
        <f>AND(Bills!Y657,"AAAAAHZ+vz4=")</f>
        <v>#VALUE!</v>
      </c>
      <c r="BL163" t="e">
        <f>AND(Bills!Z657,"AAAAAHZ+vz8=")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AND(Bills!AA657,"AAAAAHZ+v0k=")</f>
        <v>#VALUE!</v>
      </c>
      <c r="BW163" t="e">
        <f>AND(Bills!AB657,"AAAAAHZ+v0o=")</f>
        <v>#VALUE!</v>
      </c>
      <c r="BX163" t="e">
        <f>AND(Bills!#REF!,"AAAAAHZ+v0s=")</f>
        <v>#REF!</v>
      </c>
      <c r="BY163" t="e">
        <f>AND(Bills!#REF!,"AAAAAHZ+v0w=")</f>
        <v>#REF!</v>
      </c>
      <c r="BZ163" t="e">
        <f>AND(Bills!#REF!,"AAAAAHZ+v00=")</f>
        <v>#REF!</v>
      </c>
      <c r="CA163" t="e">
        <f>AND(Bills!AC657,"AAAAAHZ+v04=")</f>
        <v>#VALUE!</v>
      </c>
      <c r="CB163" t="e">
        <f>AND(Bills!AD657,"AAAAAHZ+v08=")</f>
        <v>#VALUE!</v>
      </c>
      <c r="CC163" t="e">
        <f>AND(Bills!#REF!,"AAAAAHZ+v1A=")</f>
        <v>#REF!</v>
      </c>
      <c r="CD163">
        <f>IF(Bills!658:658,"AAAAAHZ+v1E=",0)</f>
        <v>0</v>
      </c>
      <c r="CE163" t="e">
        <f>AND(Bills!B658,"AAAAAHZ+v1I=")</f>
        <v>#VALUE!</v>
      </c>
      <c r="CF163" t="e">
        <f>AND(Bills!#REF!,"AAAAAHZ+v1M=")</f>
        <v>#REF!</v>
      </c>
      <c r="CG163" t="e">
        <f>AND(Bills!C658,"AAAAAHZ+v1Q=")</f>
        <v>#VALUE!</v>
      </c>
      <c r="CH163" t="e">
        <f>AND(Bills!D658,"AAAAAHZ+v1U=")</f>
        <v>#VALUE!</v>
      </c>
      <c r="CI163" t="e">
        <f>AND(Bills!E658,"AAAAAHZ+v1Y=")</f>
        <v>#VALUE!</v>
      </c>
      <c r="CJ163" t="e">
        <f>AND(Bills!#REF!,"AAAAAHZ+v1c=")</f>
        <v>#REF!</v>
      </c>
      <c r="CK163" t="e">
        <f>AND(Bills!#REF!,"AAAAAHZ+v1g=")</f>
        <v>#REF!</v>
      </c>
      <c r="CL163" t="e">
        <f>AND(Bills!#REF!,"AAAAAHZ+v1k=")</f>
        <v>#REF!</v>
      </c>
      <c r="CM163" t="e">
        <f>AND(Bills!F658,"AAAAAHZ+v1o=")</f>
        <v>#VALUE!</v>
      </c>
      <c r="CN163" t="e">
        <f>AND(Bills!#REF!,"AAAAAHZ+v1s=")</f>
        <v>#REF!</v>
      </c>
      <c r="CO163" t="e">
        <f>AND(Bills!G658,"AAAAAHZ+v1w=")</f>
        <v>#VALUE!</v>
      </c>
      <c r="CP163" t="e">
        <f>AND(Bills!H658,"AAAAAHZ+v10=")</f>
        <v>#VALUE!</v>
      </c>
      <c r="CQ163" t="e">
        <f>AND(Bills!I658,"AAAAAHZ+v14=")</f>
        <v>#VALUE!</v>
      </c>
      <c r="CR163" t="e">
        <f>AND(Bills!J658,"AAAAAHZ+v18=")</f>
        <v>#VALUE!</v>
      </c>
      <c r="CS163" t="e">
        <f>AND(Bills!K658,"AAAAAHZ+v2A=")</f>
        <v>#VALUE!</v>
      </c>
      <c r="CT163" t="e">
        <f>AND(Bills!L658,"AAAAAHZ+v2E=")</f>
        <v>#VALUE!</v>
      </c>
      <c r="CU163" t="e">
        <f>AND(Bills!#REF!,"AAAAAHZ+v2I=")</f>
        <v>#REF!</v>
      </c>
      <c r="CV163" t="e">
        <f>AND(Bills!M658,"AAAAAHZ+v2M=")</f>
        <v>#VALUE!</v>
      </c>
      <c r="CW163" t="e">
        <f>AND(Bills!N658,"AAAAAHZ+v2Q=")</f>
        <v>#VALUE!</v>
      </c>
      <c r="CX163" t="e">
        <f>AND(Bills!O658,"AAAAAHZ+v2U=")</f>
        <v>#VALUE!</v>
      </c>
      <c r="CY163" t="e">
        <f>AND(Bills!P658,"AAAAAHZ+v2Y=")</f>
        <v>#VALUE!</v>
      </c>
      <c r="CZ163" t="e">
        <f>AND(Bills!Q658,"AAAAAHZ+v2c=")</f>
        <v>#VALUE!</v>
      </c>
      <c r="DA163" t="e">
        <f>AND(Bills!R658,"AAAAAHZ+v2g=")</f>
        <v>#VALUE!</v>
      </c>
      <c r="DB163" t="e">
        <f>AND(Bills!S658,"AAAAAHZ+v2k=")</f>
        <v>#VALUE!</v>
      </c>
      <c r="DC163" t="e">
        <f>AND(Bills!T658,"AAAAAHZ+v2o=")</f>
        <v>#VALUE!</v>
      </c>
      <c r="DD163" t="e">
        <f>AND(Bills!#REF!,"AAAAAHZ+v2s=")</f>
        <v>#REF!</v>
      </c>
      <c r="DE163" t="e">
        <f>AND(Bills!U658,"AAAAAHZ+v2w=")</f>
        <v>#VALUE!</v>
      </c>
      <c r="DF163" t="e">
        <f>AND(Bills!V658,"AAAAAHZ+v20=")</f>
        <v>#VALUE!</v>
      </c>
      <c r="DG163" t="e">
        <f>AND(Bills!W658,"AAAAAHZ+v24=")</f>
        <v>#VALUE!</v>
      </c>
      <c r="DH163" t="e">
        <f>AND(Bills!#REF!,"AAAAAHZ+v28=")</f>
        <v>#REF!</v>
      </c>
      <c r="DI163" t="e">
        <f>AND(Bills!#REF!,"AAAAAHZ+v3A=")</f>
        <v>#REF!</v>
      </c>
      <c r="DJ163" t="e">
        <f>AND(Bills!Y658,"AAAAAHZ+v3E=")</f>
        <v>#VALUE!</v>
      </c>
      <c r="DK163" t="e">
        <f>AND(Bills!Z658,"AAAAAHZ+v3I=")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AND(Bills!AA658,"AAAAAHZ+v3w=")</f>
        <v>#VALUE!</v>
      </c>
      <c r="DV163" t="e">
        <f>AND(Bills!AB658,"AAAAAHZ+v30=")</f>
        <v>#VALUE!</v>
      </c>
      <c r="DW163" t="e">
        <f>AND(Bills!#REF!,"AAAAAHZ+v34=")</f>
        <v>#REF!</v>
      </c>
      <c r="DX163" t="e">
        <f>AND(Bills!#REF!,"AAAAAHZ+v38=")</f>
        <v>#REF!</v>
      </c>
      <c r="DY163" t="e">
        <f>AND(Bills!#REF!,"AAAAAHZ+v4A=")</f>
        <v>#REF!</v>
      </c>
      <c r="DZ163" t="e">
        <f>AND(Bills!AC658,"AAAAAHZ+v4E=")</f>
        <v>#VALUE!</v>
      </c>
      <c r="EA163" t="e">
        <f>AND(Bills!AD658,"AAAAAHZ+v4I=")</f>
        <v>#VALUE!</v>
      </c>
      <c r="EB163" t="e">
        <f>AND(Bills!#REF!,"AAAAAHZ+v4M=")</f>
        <v>#REF!</v>
      </c>
      <c r="EC163">
        <f>IF(Bills!659:659,"AAAAAHZ+v4Q=",0)</f>
        <v>0</v>
      </c>
      <c r="ED163" t="e">
        <f>AND(Bills!B659,"AAAAAHZ+v4U=")</f>
        <v>#VALUE!</v>
      </c>
      <c r="EE163" t="e">
        <f>AND(Bills!#REF!,"AAAAAHZ+v4Y=")</f>
        <v>#REF!</v>
      </c>
      <c r="EF163" t="e">
        <f>AND(Bills!C659,"AAAAAHZ+v4c=")</f>
        <v>#VALUE!</v>
      </c>
      <c r="EG163" t="e">
        <f>AND(Bills!D659,"AAAAAHZ+v4g=")</f>
        <v>#VALUE!</v>
      </c>
      <c r="EH163" t="e">
        <f>AND(Bills!E659,"AAAAAHZ+v4k=")</f>
        <v>#VALUE!</v>
      </c>
      <c r="EI163" t="e">
        <f>AND(Bills!#REF!,"AAAAAHZ+v4o=")</f>
        <v>#REF!</v>
      </c>
      <c r="EJ163" t="e">
        <f>AND(Bills!#REF!,"AAAAAHZ+v4s=")</f>
        <v>#REF!</v>
      </c>
      <c r="EK163" t="e">
        <f>AND(Bills!#REF!,"AAAAAHZ+v4w=")</f>
        <v>#REF!</v>
      </c>
      <c r="EL163" t="e">
        <f>AND(Bills!F659,"AAAAAHZ+v40=")</f>
        <v>#VALUE!</v>
      </c>
      <c r="EM163" t="e">
        <f>AND(Bills!#REF!,"AAAAAHZ+v44=")</f>
        <v>#REF!</v>
      </c>
      <c r="EN163" t="e">
        <f>AND(Bills!G659,"AAAAAHZ+v48=")</f>
        <v>#VALUE!</v>
      </c>
      <c r="EO163" t="e">
        <f>AND(Bills!H659,"AAAAAHZ+v5A=")</f>
        <v>#VALUE!</v>
      </c>
      <c r="EP163" t="e">
        <f>AND(Bills!I659,"AAAAAHZ+v5E=")</f>
        <v>#VALUE!</v>
      </c>
      <c r="EQ163" t="e">
        <f>AND(Bills!J659,"AAAAAHZ+v5I=")</f>
        <v>#VALUE!</v>
      </c>
      <c r="ER163" t="e">
        <f>AND(Bills!K659,"AAAAAHZ+v5M=")</f>
        <v>#VALUE!</v>
      </c>
      <c r="ES163" t="e">
        <f>AND(Bills!L659,"AAAAAHZ+v5Q=")</f>
        <v>#VALUE!</v>
      </c>
      <c r="ET163" t="e">
        <f>AND(Bills!#REF!,"AAAAAHZ+v5U=")</f>
        <v>#REF!</v>
      </c>
      <c r="EU163" t="e">
        <f>AND(Bills!M659,"AAAAAHZ+v5Y=")</f>
        <v>#VALUE!</v>
      </c>
      <c r="EV163" t="e">
        <f>AND(Bills!N659,"AAAAAHZ+v5c=")</f>
        <v>#VALUE!</v>
      </c>
      <c r="EW163" t="e">
        <f>AND(Bills!O659,"AAAAAHZ+v5g=")</f>
        <v>#VALUE!</v>
      </c>
      <c r="EX163" t="e">
        <f>AND(Bills!P659,"AAAAAHZ+v5k=")</f>
        <v>#VALUE!</v>
      </c>
      <c r="EY163" t="e">
        <f>AND(Bills!Q659,"AAAAAHZ+v5o=")</f>
        <v>#VALUE!</v>
      </c>
      <c r="EZ163" t="e">
        <f>AND(Bills!R659,"AAAAAHZ+v5s=")</f>
        <v>#VALUE!</v>
      </c>
      <c r="FA163" t="e">
        <f>AND(Bills!S659,"AAAAAHZ+v5w=")</f>
        <v>#VALUE!</v>
      </c>
      <c r="FB163" t="e">
        <f>AND(Bills!T659,"AAAAAHZ+v50=")</f>
        <v>#VALUE!</v>
      </c>
      <c r="FC163" t="e">
        <f>AND(Bills!#REF!,"AAAAAHZ+v54=")</f>
        <v>#REF!</v>
      </c>
      <c r="FD163" t="e">
        <f>AND(Bills!U659,"AAAAAHZ+v58=")</f>
        <v>#VALUE!</v>
      </c>
      <c r="FE163" t="e">
        <f>AND(Bills!V659,"AAAAAHZ+v6A=")</f>
        <v>#VALUE!</v>
      </c>
      <c r="FF163" t="e">
        <f>AND(Bills!W659,"AAAAAHZ+v6E=")</f>
        <v>#VALUE!</v>
      </c>
      <c r="FG163" t="e">
        <f>AND(Bills!#REF!,"AAAAAHZ+v6I=")</f>
        <v>#REF!</v>
      </c>
      <c r="FH163" t="e">
        <f>AND(Bills!#REF!,"AAAAAHZ+v6M=")</f>
        <v>#REF!</v>
      </c>
      <c r="FI163" t="e">
        <f>AND(Bills!Y659,"AAAAAHZ+v6Q=")</f>
        <v>#VALUE!</v>
      </c>
      <c r="FJ163" t="e">
        <f>AND(Bills!Z659,"AAAAAHZ+v6U=")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AND(Bills!AA659,"AAAAAHZ+v68=")</f>
        <v>#VALUE!</v>
      </c>
      <c r="FU163" t="e">
        <f>AND(Bills!AB659,"AAAAAHZ+v7A=")</f>
        <v>#VALUE!</v>
      </c>
      <c r="FV163" t="e">
        <f>AND(Bills!#REF!,"AAAAAHZ+v7E=")</f>
        <v>#REF!</v>
      </c>
      <c r="FW163" t="e">
        <f>AND(Bills!#REF!,"AAAAAHZ+v7I=")</f>
        <v>#REF!</v>
      </c>
      <c r="FX163" t="e">
        <f>AND(Bills!#REF!,"AAAAAHZ+v7M=")</f>
        <v>#REF!</v>
      </c>
      <c r="FY163" t="e">
        <f>AND(Bills!AC659,"AAAAAHZ+v7Q=")</f>
        <v>#VALUE!</v>
      </c>
      <c r="FZ163" t="e">
        <f>AND(Bills!AD659,"AAAAAHZ+v7U=")</f>
        <v>#VALUE!</v>
      </c>
      <c r="GA163" t="e">
        <f>AND(Bills!#REF!,"AAAAAHZ+v7Y=")</f>
        <v>#REF!</v>
      </c>
      <c r="GB163">
        <f>IF(Bills!660:660,"AAAAAHZ+v7c=",0)</f>
        <v>0</v>
      </c>
      <c r="GC163" t="e">
        <f>AND(Bills!B660,"AAAAAHZ+v7g=")</f>
        <v>#VALUE!</v>
      </c>
      <c r="GD163" t="e">
        <f>AND(Bills!#REF!,"AAAAAHZ+v7k=")</f>
        <v>#REF!</v>
      </c>
      <c r="GE163" t="e">
        <f>AND(Bills!C660,"AAAAAHZ+v7o=")</f>
        <v>#VALUE!</v>
      </c>
      <c r="GF163" t="e">
        <f>AND(Bills!D660,"AAAAAHZ+v7s=")</f>
        <v>#VALUE!</v>
      </c>
      <c r="GG163" t="e">
        <f>AND(Bills!E660,"AAAAAHZ+v7w=")</f>
        <v>#VALUE!</v>
      </c>
      <c r="GH163" t="e">
        <f>AND(Bills!#REF!,"AAAAAHZ+v70=")</f>
        <v>#REF!</v>
      </c>
      <c r="GI163" t="e">
        <f>AND(Bills!#REF!,"AAAAAHZ+v74=")</f>
        <v>#REF!</v>
      </c>
      <c r="GJ163" t="e">
        <f>AND(Bills!#REF!,"AAAAAHZ+v78=")</f>
        <v>#REF!</v>
      </c>
      <c r="GK163" t="e">
        <f>AND(Bills!F660,"AAAAAHZ+v8A=")</f>
        <v>#VALUE!</v>
      </c>
      <c r="GL163" t="e">
        <f>AND(Bills!#REF!,"AAAAAHZ+v8E=")</f>
        <v>#REF!</v>
      </c>
      <c r="GM163" t="e">
        <f>AND(Bills!G660,"AAAAAHZ+v8I=")</f>
        <v>#VALUE!</v>
      </c>
      <c r="GN163" t="e">
        <f>AND(Bills!H660,"AAAAAHZ+v8M=")</f>
        <v>#VALUE!</v>
      </c>
      <c r="GO163" t="e">
        <f>AND(Bills!I660,"AAAAAHZ+v8Q=")</f>
        <v>#VALUE!</v>
      </c>
      <c r="GP163" t="e">
        <f>AND(Bills!J660,"AAAAAHZ+v8U=")</f>
        <v>#VALUE!</v>
      </c>
      <c r="GQ163" t="e">
        <f>AND(Bills!K660,"AAAAAHZ+v8Y=")</f>
        <v>#VALUE!</v>
      </c>
      <c r="GR163" t="e">
        <f>AND(Bills!L660,"AAAAAHZ+v8c=")</f>
        <v>#VALUE!</v>
      </c>
      <c r="GS163" t="e">
        <f>AND(Bills!#REF!,"AAAAAHZ+v8g=")</f>
        <v>#REF!</v>
      </c>
      <c r="GT163" t="e">
        <f>AND(Bills!M660,"AAAAAHZ+v8k=")</f>
        <v>#VALUE!</v>
      </c>
      <c r="GU163" t="e">
        <f>AND(Bills!N660,"AAAAAHZ+v8o=")</f>
        <v>#VALUE!</v>
      </c>
      <c r="GV163" t="e">
        <f>AND(Bills!O660,"AAAAAHZ+v8s=")</f>
        <v>#VALUE!</v>
      </c>
      <c r="GW163" t="e">
        <f>AND(Bills!P660,"AAAAAHZ+v8w=")</f>
        <v>#VALUE!</v>
      </c>
      <c r="GX163" t="e">
        <f>AND(Bills!Q660,"AAAAAHZ+v80=")</f>
        <v>#VALUE!</v>
      </c>
      <c r="GY163" t="e">
        <f>AND(Bills!R660,"AAAAAHZ+v84=")</f>
        <v>#VALUE!</v>
      </c>
      <c r="GZ163" t="e">
        <f>AND(Bills!S660,"AAAAAHZ+v88=")</f>
        <v>#VALUE!</v>
      </c>
      <c r="HA163" t="e">
        <f>AND(Bills!T660,"AAAAAHZ+v9A=")</f>
        <v>#VALUE!</v>
      </c>
      <c r="HB163" t="e">
        <f>AND(Bills!#REF!,"AAAAAHZ+v9E=")</f>
        <v>#REF!</v>
      </c>
      <c r="HC163" t="e">
        <f>AND(Bills!U660,"AAAAAHZ+v9I=")</f>
        <v>#VALUE!</v>
      </c>
      <c r="HD163" t="e">
        <f>AND(Bills!V660,"AAAAAHZ+v9M=")</f>
        <v>#VALUE!</v>
      </c>
      <c r="HE163" t="e">
        <f>AND(Bills!W660,"AAAAAHZ+v9Q=")</f>
        <v>#VALUE!</v>
      </c>
      <c r="HF163" t="e">
        <f>AND(Bills!#REF!,"AAAAAHZ+v9U=")</f>
        <v>#REF!</v>
      </c>
      <c r="HG163" t="e">
        <f>AND(Bills!#REF!,"AAAAAHZ+v9Y=")</f>
        <v>#REF!</v>
      </c>
      <c r="HH163" t="e">
        <f>AND(Bills!Y660,"AAAAAHZ+v9c=")</f>
        <v>#VALUE!</v>
      </c>
      <c r="HI163" t="e">
        <f>AND(Bills!Z660,"AAAAAHZ+v9g=")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AND(Bills!AA660,"AAAAAHZ+v+I=")</f>
        <v>#VALUE!</v>
      </c>
      <c r="HT163" t="e">
        <f>AND(Bills!AB660,"AAAAAHZ+v+M=")</f>
        <v>#VALUE!</v>
      </c>
      <c r="HU163" t="e">
        <f>AND(Bills!#REF!,"AAAAAHZ+v+Q=")</f>
        <v>#REF!</v>
      </c>
      <c r="HV163" t="e">
        <f>AND(Bills!#REF!,"AAAAAHZ+v+U=")</f>
        <v>#REF!</v>
      </c>
      <c r="HW163" t="e">
        <f>AND(Bills!#REF!,"AAAAAHZ+v+Y=")</f>
        <v>#REF!</v>
      </c>
      <c r="HX163" t="e">
        <f>AND(Bills!AC660,"AAAAAHZ+v+c=")</f>
        <v>#VALUE!</v>
      </c>
      <c r="HY163" t="e">
        <f>AND(Bills!AD660,"AAAAAHZ+v+g=")</f>
        <v>#VALUE!</v>
      </c>
      <c r="HZ163" t="e">
        <f>AND(Bills!#REF!,"AAAAAHZ+v+k=")</f>
        <v>#REF!</v>
      </c>
      <c r="IA163">
        <f>IF(Bills!661:661,"AAAAAHZ+v+o=",0)</f>
        <v>0</v>
      </c>
      <c r="IB163" t="e">
        <f>AND(Bills!B661,"AAAAAHZ+v+s=")</f>
        <v>#VALUE!</v>
      </c>
      <c r="IC163" t="e">
        <f>AND(Bills!#REF!,"AAAAAHZ+v+w=")</f>
        <v>#REF!</v>
      </c>
      <c r="ID163" t="e">
        <f>AND(Bills!C661,"AAAAAHZ+v+0=")</f>
        <v>#VALUE!</v>
      </c>
      <c r="IE163" t="e">
        <f>AND(Bills!D661,"AAAAAHZ+v+4=")</f>
        <v>#VALUE!</v>
      </c>
      <c r="IF163" t="e">
        <f>AND(Bills!E661,"AAAAAHZ+v+8=")</f>
        <v>#VALUE!</v>
      </c>
      <c r="IG163" t="e">
        <f>AND(Bills!#REF!,"AAAAAHZ+v/A=")</f>
        <v>#REF!</v>
      </c>
      <c r="IH163" t="e">
        <f>AND(Bills!#REF!,"AAAAAHZ+v/E=")</f>
        <v>#REF!</v>
      </c>
      <c r="II163" t="e">
        <f>AND(Bills!#REF!,"AAAAAHZ+v/I=")</f>
        <v>#REF!</v>
      </c>
      <c r="IJ163" t="e">
        <f>AND(Bills!F661,"AAAAAHZ+v/M=")</f>
        <v>#VALUE!</v>
      </c>
      <c r="IK163" t="e">
        <f>AND(Bills!#REF!,"AAAAAHZ+v/Q=")</f>
        <v>#REF!</v>
      </c>
      <c r="IL163" t="e">
        <f>AND(Bills!G661,"AAAAAHZ+v/U=")</f>
        <v>#VALUE!</v>
      </c>
      <c r="IM163" t="e">
        <f>AND(Bills!H661,"AAAAAHZ+v/Y=")</f>
        <v>#VALUE!</v>
      </c>
      <c r="IN163" t="e">
        <f>AND(Bills!I661,"AAAAAHZ+v/c=")</f>
        <v>#VALUE!</v>
      </c>
      <c r="IO163" t="e">
        <f>AND(Bills!J661,"AAAAAHZ+v/g=")</f>
        <v>#VALUE!</v>
      </c>
      <c r="IP163" t="e">
        <f>AND(Bills!K661,"AAAAAHZ+v/k=")</f>
        <v>#VALUE!</v>
      </c>
      <c r="IQ163" t="e">
        <f>AND(Bills!L661,"AAAAAHZ+v/o=")</f>
        <v>#VALUE!</v>
      </c>
      <c r="IR163" t="e">
        <f>AND(Bills!#REF!,"AAAAAHZ+v/s=")</f>
        <v>#REF!</v>
      </c>
      <c r="IS163" t="e">
        <f>AND(Bills!M661,"AAAAAHZ+v/w=")</f>
        <v>#VALUE!</v>
      </c>
      <c r="IT163" t="e">
        <f>AND(Bills!N661,"AAAAAHZ+v/0=")</f>
        <v>#VALUE!</v>
      </c>
      <c r="IU163" t="e">
        <f>AND(Bills!O661,"AAAAAHZ+v/4=")</f>
        <v>#VALUE!</v>
      </c>
      <c r="IV163" t="e">
        <f>AND(Bills!P661,"AAAAAHZ+v/8=")</f>
        <v>#VALUE!</v>
      </c>
    </row>
    <row r="164" spans="1:256">
      <c r="A164" t="e">
        <f>AND(Bills!Q661,"AAAAADe32wA=")</f>
        <v>#VALUE!</v>
      </c>
      <c r="B164" t="e">
        <f>AND(Bills!R661,"AAAAADe32wE=")</f>
        <v>#VALUE!</v>
      </c>
      <c r="C164" t="e">
        <f>AND(Bills!S661,"AAAAADe32wI=")</f>
        <v>#VALUE!</v>
      </c>
      <c r="D164" t="e">
        <f>AND(Bills!T661,"AAAAADe32wM=")</f>
        <v>#VALUE!</v>
      </c>
      <c r="E164" t="e">
        <f>AND(Bills!#REF!,"AAAAADe32wQ=")</f>
        <v>#REF!</v>
      </c>
      <c r="F164" t="e">
        <f>AND(Bills!U661,"AAAAADe32wU=")</f>
        <v>#VALUE!</v>
      </c>
      <c r="G164" t="e">
        <f>AND(Bills!V661,"AAAAADe32wY=")</f>
        <v>#VALUE!</v>
      </c>
      <c r="H164" t="e">
        <f>AND(Bills!W661,"AAAAADe32wc=")</f>
        <v>#VALUE!</v>
      </c>
      <c r="I164" t="e">
        <f>AND(Bills!#REF!,"AAAAADe32wg=")</f>
        <v>#REF!</v>
      </c>
      <c r="J164" t="e">
        <f>AND(Bills!#REF!,"AAAAADe32wk=")</f>
        <v>#REF!</v>
      </c>
      <c r="K164" t="e">
        <f>AND(Bills!Y661,"AAAAADe32wo=")</f>
        <v>#VALUE!</v>
      </c>
      <c r="L164" t="e">
        <f>AND(Bills!Z661,"AAAAADe32ws=")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AND(Bills!AA661,"AAAAADe32xU=")</f>
        <v>#VALUE!</v>
      </c>
      <c r="W164" t="e">
        <f>AND(Bills!AB661,"AAAAADe32xY=")</f>
        <v>#VALUE!</v>
      </c>
      <c r="X164" t="e">
        <f>AND(Bills!#REF!,"AAAAADe32xc=")</f>
        <v>#REF!</v>
      </c>
      <c r="Y164" t="e">
        <f>AND(Bills!#REF!,"AAAAADe32xg=")</f>
        <v>#REF!</v>
      </c>
      <c r="Z164" t="e">
        <f>AND(Bills!#REF!,"AAAAADe32xk=")</f>
        <v>#REF!</v>
      </c>
      <c r="AA164" t="e">
        <f>AND(Bills!AC661,"AAAAADe32xo=")</f>
        <v>#VALUE!</v>
      </c>
      <c r="AB164" t="e">
        <f>AND(Bills!AD661,"AAAAADe32xs=")</f>
        <v>#VALUE!</v>
      </c>
      <c r="AC164" t="e">
        <f>AND(Bills!#REF!,"AAAAADe32xw=")</f>
        <v>#REF!</v>
      </c>
      <c r="AD164">
        <f>IF(Bills!662:662,"AAAAADe32x0=",0)</f>
        <v>0</v>
      </c>
      <c r="AE164" t="e">
        <f>AND(Bills!B662,"AAAAADe32x4=")</f>
        <v>#VALUE!</v>
      </c>
      <c r="AF164" t="e">
        <f>AND(Bills!#REF!,"AAAAADe32x8=")</f>
        <v>#REF!</v>
      </c>
      <c r="AG164" t="e">
        <f>AND(Bills!C662,"AAAAADe32yA=")</f>
        <v>#VALUE!</v>
      </c>
      <c r="AH164" t="e">
        <f>AND(Bills!D662,"AAAAADe32yE=")</f>
        <v>#VALUE!</v>
      </c>
      <c r="AI164" t="e">
        <f>AND(Bills!E662,"AAAAADe32yI=")</f>
        <v>#VALUE!</v>
      </c>
      <c r="AJ164" t="e">
        <f>AND(Bills!#REF!,"AAAAADe32yM=")</f>
        <v>#REF!</v>
      </c>
      <c r="AK164" t="e">
        <f>AND(Bills!#REF!,"AAAAADe32yQ=")</f>
        <v>#REF!</v>
      </c>
      <c r="AL164" t="e">
        <f>AND(Bills!#REF!,"AAAAADe32yU=")</f>
        <v>#REF!</v>
      </c>
      <c r="AM164" t="e">
        <f>AND(Bills!F662,"AAAAADe32yY=")</f>
        <v>#VALUE!</v>
      </c>
      <c r="AN164" t="e">
        <f>AND(Bills!#REF!,"AAAAADe32yc=")</f>
        <v>#REF!</v>
      </c>
      <c r="AO164" t="e">
        <f>AND(Bills!G662,"AAAAADe32yg=")</f>
        <v>#VALUE!</v>
      </c>
      <c r="AP164" t="e">
        <f>AND(Bills!H662,"AAAAADe32yk=")</f>
        <v>#VALUE!</v>
      </c>
      <c r="AQ164" t="e">
        <f>AND(Bills!I662,"AAAAADe32yo=")</f>
        <v>#VALUE!</v>
      </c>
      <c r="AR164" t="e">
        <f>AND(Bills!J662,"AAAAADe32ys=")</f>
        <v>#VALUE!</v>
      </c>
      <c r="AS164" t="e">
        <f>AND(Bills!K662,"AAAAADe32yw=")</f>
        <v>#VALUE!</v>
      </c>
      <c r="AT164" t="e">
        <f>AND(Bills!L662,"AAAAADe32y0=")</f>
        <v>#VALUE!</v>
      </c>
      <c r="AU164" t="e">
        <f>AND(Bills!#REF!,"AAAAADe32y4=")</f>
        <v>#REF!</v>
      </c>
      <c r="AV164" t="e">
        <f>AND(Bills!M662,"AAAAADe32y8=")</f>
        <v>#VALUE!</v>
      </c>
      <c r="AW164" t="e">
        <f>AND(Bills!N662,"AAAAADe32zA=")</f>
        <v>#VALUE!</v>
      </c>
      <c r="AX164" t="e">
        <f>AND(Bills!O662,"AAAAADe32zE=")</f>
        <v>#VALUE!</v>
      </c>
      <c r="AY164" t="e">
        <f>AND(Bills!P662,"AAAAADe32zI=")</f>
        <v>#VALUE!</v>
      </c>
      <c r="AZ164" t="e">
        <f>AND(Bills!Q662,"AAAAADe32zM=")</f>
        <v>#VALUE!</v>
      </c>
      <c r="BA164" t="e">
        <f>AND(Bills!R662,"AAAAADe32zQ=")</f>
        <v>#VALUE!</v>
      </c>
      <c r="BB164" t="e">
        <f>AND(Bills!S662,"AAAAADe32zU=")</f>
        <v>#VALUE!</v>
      </c>
      <c r="BC164" t="e">
        <f>AND(Bills!T662,"AAAAADe32zY=")</f>
        <v>#VALUE!</v>
      </c>
      <c r="BD164" t="e">
        <f>AND(Bills!#REF!,"AAAAADe32zc=")</f>
        <v>#REF!</v>
      </c>
      <c r="BE164" t="e">
        <f>AND(Bills!U662,"AAAAADe32zg=")</f>
        <v>#VALUE!</v>
      </c>
      <c r="BF164" t="e">
        <f>AND(Bills!V662,"AAAAADe32zk=")</f>
        <v>#VALUE!</v>
      </c>
      <c r="BG164" t="e">
        <f>AND(Bills!W662,"AAAAADe32zo=")</f>
        <v>#VALUE!</v>
      </c>
      <c r="BH164" t="e">
        <f>AND(Bills!#REF!,"AAAAADe32zs=")</f>
        <v>#REF!</v>
      </c>
      <c r="BI164" t="e">
        <f>AND(Bills!#REF!,"AAAAADe32zw=")</f>
        <v>#REF!</v>
      </c>
      <c r="BJ164" t="e">
        <f>AND(Bills!Y662,"AAAAADe32z0=")</f>
        <v>#VALUE!</v>
      </c>
      <c r="BK164" t="e">
        <f>AND(Bills!Z662,"AAAAADe32z4=")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AND(Bills!AA662,"AAAAADe320g=")</f>
        <v>#VALUE!</v>
      </c>
      <c r="BV164" t="e">
        <f>AND(Bills!AB662,"AAAAADe320k=")</f>
        <v>#VALUE!</v>
      </c>
      <c r="BW164" t="e">
        <f>AND(Bills!#REF!,"AAAAADe320o=")</f>
        <v>#REF!</v>
      </c>
      <c r="BX164" t="e">
        <f>AND(Bills!#REF!,"AAAAADe320s=")</f>
        <v>#REF!</v>
      </c>
      <c r="BY164" t="e">
        <f>AND(Bills!#REF!,"AAAAADe320w=")</f>
        <v>#REF!</v>
      </c>
      <c r="BZ164" t="e">
        <f>AND(Bills!AC662,"AAAAADe3200=")</f>
        <v>#VALUE!</v>
      </c>
      <c r="CA164" t="e">
        <f>AND(Bills!AD662,"AAAAADe3204=")</f>
        <v>#VALUE!</v>
      </c>
      <c r="CB164" t="e">
        <f>AND(Bills!#REF!,"AAAAADe3208=")</f>
        <v>#REF!</v>
      </c>
      <c r="CC164">
        <f>IF(Bills!663:663,"AAAAADe321A=",0)</f>
        <v>0</v>
      </c>
      <c r="CD164" t="e">
        <f>AND(Bills!B663,"AAAAADe321E=")</f>
        <v>#VALUE!</v>
      </c>
      <c r="CE164" t="e">
        <f>AND(Bills!#REF!,"AAAAADe321I=")</f>
        <v>#REF!</v>
      </c>
      <c r="CF164" t="e">
        <f>AND(Bills!C663,"AAAAADe321M=")</f>
        <v>#VALUE!</v>
      </c>
      <c r="CG164" t="e">
        <f>AND(Bills!D663,"AAAAADe321Q=")</f>
        <v>#VALUE!</v>
      </c>
      <c r="CH164" t="e">
        <f>AND(Bills!E663,"AAAAADe321U=")</f>
        <v>#VALUE!</v>
      </c>
      <c r="CI164" t="e">
        <f>AND(Bills!#REF!,"AAAAADe321Y=")</f>
        <v>#REF!</v>
      </c>
      <c r="CJ164" t="e">
        <f>AND(Bills!#REF!,"AAAAADe321c=")</f>
        <v>#REF!</v>
      </c>
      <c r="CK164" t="e">
        <f>AND(Bills!#REF!,"AAAAADe321g=")</f>
        <v>#REF!</v>
      </c>
      <c r="CL164" t="e">
        <f>AND(Bills!F663,"AAAAADe321k=")</f>
        <v>#VALUE!</v>
      </c>
      <c r="CM164" t="e">
        <f>AND(Bills!#REF!,"AAAAADe321o=")</f>
        <v>#REF!</v>
      </c>
      <c r="CN164" t="e">
        <f>AND(Bills!G663,"AAAAADe321s=")</f>
        <v>#VALUE!</v>
      </c>
      <c r="CO164" t="e">
        <f>AND(Bills!H663,"AAAAADe321w=")</f>
        <v>#VALUE!</v>
      </c>
      <c r="CP164" t="e">
        <f>AND(Bills!I663,"AAAAADe3210=")</f>
        <v>#VALUE!</v>
      </c>
      <c r="CQ164" t="e">
        <f>AND(Bills!J663,"AAAAADe3214=")</f>
        <v>#VALUE!</v>
      </c>
      <c r="CR164" t="e">
        <f>AND(Bills!K663,"AAAAADe3218=")</f>
        <v>#VALUE!</v>
      </c>
      <c r="CS164" t="e">
        <f>AND(Bills!L663,"AAAAADe322A=")</f>
        <v>#VALUE!</v>
      </c>
      <c r="CT164" t="e">
        <f>AND(Bills!#REF!,"AAAAADe322E=")</f>
        <v>#REF!</v>
      </c>
      <c r="CU164" t="e">
        <f>AND(Bills!M663,"AAAAADe322I=")</f>
        <v>#VALUE!</v>
      </c>
      <c r="CV164" t="e">
        <f>AND(Bills!N663,"AAAAADe322M=")</f>
        <v>#VALUE!</v>
      </c>
      <c r="CW164" t="e">
        <f>AND(Bills!O663,"AAAAADe322Q=")</f>
        <v>#VALUE!</v>
      </c>
      <c r="CX164" t="e">
        <f>AND(Bills!P663,"AAAAADe322U=")</f>
        <v>#VALUE!</v>
      </c>
      <c r="CY164" t="e">
        <f>AND(Bills!Q663,"AAAAADe322Y=")</f>
        <v>#VALUE!</v>
      </c>
      <c r="CZ164" t="e">
        <f>AND(Bills!R663,"AAAAADe322c=")</f>
        <v>#VALUE!</v>
      </c>
      <c r="DA164" t="e">
        <f>AND(Bills!S663,"AAAAADe322g=")</f>
        <v>#VALUE!</v>
      </c>
      <c r="DB164" t="e">
        <f>AND(Bills!T663,"AAAAADe322k=")</f>
        <v>#VALUE!</v>
      </c>
      <c r="DC164" t="e">
        <f>AND(Bills!#REF!,"AAAAADe322o=")</f>
        <v>#REF!</v>
      </c>
      <c r="DD164" t="e">
        <f>AND(Bills!U663,"AAAAADe322s=")</f>
        <v>#VALUE!</v>
      </c>
      <c r="DE164" t="e">
        <f>AND(Bills!V663,"AAAAADe322w=")</f>
        <v>#VALUE!</v>
      </c>
      <c r="DF164" t="e">
        <f>AND(Bills!W663,"AAAAADe3220=")</f>
        <v>#VALUE!</v>
      </c>
      <c r="DG164" t="e">
        <f>AND(Bills!#REF!,"AAAAADe3224=")</f>
        <v>#REF!</v>
      </c>
      <c r="DH164" t="e">
        <f>AND(Bills!#REF!,"AAAAADe3228=")</f>
        <v>#REF!</v>
      </c>
      <c r="DI164" t="e">
        <f>AND(Bills!Y663,"AAAAADe323A=")</f>
        <v>#VALUE!</v>
      </c>
      <c r="DJ164" t="e">
        <f>AND(Bills!Z663,"AAAAADe323E=")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AND(Bills!AA663,"AAAAADe323s=")</f>
        <v>#VALUE!</v>
      </c>
      <c r="DU164" t="e">
        <f>AND(Bills!AB663,"AAAAADe323w=")</f>
        <v>#VALUE!</v>
      </c>
      <c r="DV164" t="e">
        <f>AND(Bills!#REF!,"AAAAADe3230=")</f>
        <v>#REF!</v>
      </c>
      <c r="DW164" t="e">
        <f>AND(Bills!#REF!,"AAAAADe3234=")</f>
        <v>#REF!</v>
      </c>
      <c r="DX164" t="e">
        <f>AND(Bills!#REF!,"AAAAADe3238=")</f>
        <v>#REF!</v>
      </c>
      <c r="DY164" t="e">
        <f>AND(Bills!AC663,"AAAAADe324A=")</f>
        <v>#VALUE!</v>
      </c>
      <c r="DZ164" t="e">
        <f>AND(Bills!AD663,"AAAAADe324E=")</f>
        <v>#VALUE!</v>
      </c>
      <c r="EA164" t="e">
        <f>AND(Bills!#REF!,"AAAAADe324I=")</f>
        <v>#REF!</v>
      </c>
      <c r="EB164">
        <f>IF(Bills!664:664,"AAAAADe324M=",0)</f>
        <v>0</v>
      </c>
      <c r="EC164" t="e">
        <f>AND(Bills!B664,"AAAAADe324Q=")</f>
        <v>#VALUE!</v>
      </c>
      <c r="ED164" t="e">
        <f>AND(Bills!#REF!,"AAAAADe324U=")</f>
        <v>#REF!</v>
      </c>
      <c r="EE164" t="e">
        <f>AND(Bills!C664,"AAAAADe324Y=")</f>
        <v>#VALUE!</v>
      </c>
      <c r="EF164" t="e">
        <f>AND(Bills!D664,"AAAAADe324c=")</f>
        <v>#VALUE!</v>
      </c>
      <c r="EG164" t="e">
        <f>AND(Bills!E664,"AAAAADe324g=")</f>
        <v>#VALUE!</v>
      </c>
      <c r="EH164" t="e">
        <f>AND(Bills!#REF!,"AAAAADe324k=")</f>
        <v>#REF!</v>
      </c>
      <c r="EI164" t="e">
        <f>AND(Bills!#REF!,"AAAAADe324o=")</f>
        <v>#REF!</v>
      </c>
      <c r="EJ164" t="e">
        <f>AND(Bills!#REF!,"AAAAADe324s=")</f>
        <v>#REF!</v>
      </c>
      <c r="EK164" t="e">
        <f>AND(Bills!F664,"AAAAADe324w=")</f>
        <v>#VALUE!</v>
      </c>
      <c r="EL164" t="e">
        <f>AND(Bills!#REF!,"AAAAADe3240=")</f>
        <v>#REF!</v>
      </c>
      <c r="EM164" t="e">
        <f>AND(Bills!G664,"AAAAADe3244=")</f>
        <v>#VALUE!</v>
      </c>
      <c r="EN164" t="e">
        <f>AND(Bills!H664,"AAAAADe3248=")</f>
        <v>#VALUE!</v>
      </c>
      <c r="EO164" t="e">
        <f>AND(Bills!I664,"AAAAADe325A=")</f>
        <v>#VALUE!</v>
      </c>
      <c r="EP164" t="e">
        <f>AND(Bills!J664,"AAAAADe325E=")</f>
        <v>#VALUE!</v>
      </c>
      <c r="EQ164" t="e">
        <f>AND(Bills!K664,"AAAAADe325I=")</f>
        <v>#VALUE!</v>
      </c>
      <c r="ER164" t="e">
        <f>AND(Bills!L664,"AAAAADe325M=")</f>
        <v>#VALUE!</v>
      </c>
      <c r="ES164" t="e">
        <f>AND(Bills!#REF!,"AAAAADe325Q=")</f>
        <v>#REF!</v>
      </c>
      <c r="ET164" t="e">
        <f>AND(Bills!M664,"AAAAADe325U=")</f>
        <v>#VALUE!</v>
      </c>
      <c r="EU164" t="e">
        <f>AND(Bills!N664,"AAAAADe325Y=")</f>
        <v>#VALUE!</v>
      </c>
      <c r="EV164" t="e">
        <f>AND(Bills!O664,"AAAAADe325c=")</f>
        <v>#VALUE!</v>
      </c>
      <c r="EW164" t="e">
        <f>AND(Bills!P664,"AAAAADe325g=")</f>
        <v>#VALUE!</v>
      </c>
      <c r="EX164" t="e">
        <f>AND(Bills!Q664,"AAAAADe325k=")</f>
        <v>#VALUE!</v>
      </c>
      <c r="EY164" t="e">
        <f>AND(Bills!R664,"AAAAADe325o=")</f>
        <v>#VALUE!</v>
      </c>
      <c r="EZ164" t="e">
        <f>AND(Bills!S664,"AAAAADe325s=")</f>
        <v>#VALUE!</v>
      </c>
      <c r="FA164" t="e">
        <f>AND(Bills!T664,"AAAAADe325w=")</f>
        <v>#VALUE!</v>
      </c>
      <c r="FB164" t="e">
        <f>AND(Bills!#REF!,"AAAAADe3250=")</f>
        <v>#REF!</v>
      </c>
      <c r="FC164" t="e">
        <f>AND(Bills!U664,"AAAAADe3254=")</f>
        <v>#VALUE!</v>
      </c>
      <c r="FD164" t="e">
        <f>AND(Bills!V664,"AAAAADe3258=")</f>
        <v>#VALUE!</v>
      </c>
      <c r="FE164" t="e">
        <f>AND(Bills!W664,"AAAAADe326A=")</f>
        <v>#VALUE!</v>
      </c>
      <c r="FF164" t="e">
        <f>AND(Bills!#REF!,"AAAAADe326E=")</f>
        <v>#REF!</v>
      </c>
      <c r="FG164" t="e">
        <f>AND(Bills!#REF!,"AAAAADe326I=")</f>
        <v>#REF!</v>
      </c>
      <c r="FH164" t="e">
        <f>AND(Bills!Y664,"AAAAADe326M=")</f>
        <v>#VALUE!</v>
      </c>
      <c r="FI164" t="e">
        <f>AND(Bills!Z664,"AAAAADe326Q=")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AND(Bills!AA664,"AAAAADe3264=")</f>
        <v>#VALUE!</v>
      </c>
      <c r="FT164" t="e">
        <f>AND(Bills!AB664,"AAAAADe3268=")</f>
        <v>#VALUE!</v>
      </c>
      <c r="FU164" t="e">
        <f>AND(Bills!#REF!,"AAAAADe327A=")</f>
        <v>#REF!</v>
      </c>
      <c r="FV164" t="e">
        <f>AND(Bills!#REF!,"AAAAADe327E=")</f>
        <v>#REF!</v>
      </c>
      <c r="FW164" t="e">
        <f>AND(Bills!#REF!,"AAAAADe327I=")</f>
        <v>#REF!</v>
      </c>
      <c r="FX164" t="e">
        <f>AND(Bills!AC664,"AAAAADe327M=")</f>
        <v>#VALUE!</v>
      </c>
      <c r="FY164" t="e">
        <f>AND(Bills!AD664,"AAAAADe327Q=")</f>
        <v>#VALUE!</v>
      </c>
      <c r="FZ164" t="e">
        <f>AND(Bills!#REF!,"AAAAADe327U=")</f>
        <v>#REF!</v>
      </c>
      <c r="GA164">
        <f>IF(Bills!665:665,"AAAAADe327Y=",0)</f>
        <v>0</v>
      </c>
      <c r="GB164" t="e">
        <f>AND(Bills!B665,"AAAAADe327c=")</f>
        <v>#VALUE!</v>
      </c>
      <c r="GC164" t="e">
        <f>AND(Bills!#REF!,"AAAAADe327g=")</f>
        <v>#REF!</v>
      </c>
      <c r="GD164" t="e">
        <f>AND(Bills!C665,"AAAAADe327k=")</f>
        <v>#VALUE!</v>
      </c>
      <c r="GE164" t="e">
        <f>AND(Bills!D665,"AAAAADe327o=")</f>
        <v>#VALUE!</v>
      </c>
      <c r="GF164" t="e">
        <f>AND(Bills!E665,"AAAAADe327s=")</f>
        <v>#VALUE!</v>
      </c>
      <c r="GG164" t="e">
        <f>AND(Bills!#REF!,"AAAAADe327w=")</f>
        <v>#REF!</v>
      </c>
      <c r="GH164" t="e">
        <f>AND(Bills!#REF!,"AAAAADe3270=")</f>
        <v>#REF!</v>
      </c>
      <c r="GI164" t="e">
        <f>AND(Bills!#REF!,"AAAAADe3274=")</f>
        <v>#REF!</v>
      </c>
      <c r="GJ164" t="e">
        <f>AND(Bills!F665,"AAAAADe3278=")</f>
        <v>#VALUE!</v>
      </c>
      <c r="GK164" t="e">
        <f>AND(Bills!#REF!,"AAAAADe328A=")</f>
        <v>#REF!</v>
      </c>
      <c r="GL164" t="e">
        <f>AND(Bills!G665,"AAAAADe328E=")</f>
        <v>#VALUE!</v>
      </c>
      <c r="GM164" t="e">
        <f>AND(Bills!H665,"AAAAADe328I=")</f>
        <v>#VALUE!</v>
      </c>
      <c r="GN164" t="e">
        <f>AND(Bills!I665,"AAAAADe328M=")</f>
        <v>#VALUE!</v>
      </c>
      <c r="GO164" t="e">
        <f>AND(Bills!J665,"AAAAADe328Q=")</f>
        <v>#VALUE!</v>
      </c>
      <c r="GP164" t="e">
        <f>AND(Bills!K665,"AAAAADe328U=")</f>
        <v>#VALUE!</v>
      </c>
      <c r="GQ164" t="e">
        <f>AND(Bills!L665,"AAAAADe328Y=")</f>
        <v>#VALUE!</v>
      </c>
      <c r="GR164" t="e">
        <f>AND(Bills!#REF!,"AAAAADe328c=")</f>
        <v>#REF!</v>
      </c>
      <c r="GS164" t="e">
        <f>AND(Bills!M665,"AAAAADe328g=")</f>
        <v>#VALUE!</v>
      </c>
      <c r="GT164" t="e">
        <f>AND(Bills!N665,"AAAAADe328k=")</f>
        <v>#VALUE!</v>
      </c>
      <c r="GU164" t="e">
        <f>AND(Bills!O665,"AAAAADe328o=")</f>
        <v>#VALUE!</v>
      </c>
      <c r="GV164" t="e">
        <f>AND(Bills!P665,"AAAAADe328s=")</f>
        <v>#VALUE!</v>
      </c>
      <c r="GW164" t="e">
        <f>AND(Bills!Q665,"AAAAADe328w=")</f>
        <v>#VALUE!</v>
      </c>
      <c r="GX164" t="e">
        <f>AND(Bills!R665,"AAAAADe3280=")</f>
        <v>#VALUE!</v>
      </c>
      <c r="GY164" t="e">
        <f>AND(Bills!S665,"AAAAADe3284=")</f>
        <v>#VALUE!</v>
      </c>
      <c r="GZ164" t="e">
        <f>AND(Bills!T665,"AAAAADe3288=")</f>
        <v>#VALUE!</v>
      </c>
      <c r="HA164" t="e">
        <f>AND(Bills!#REF!,"AAAAADe329A=")</f>
        <v>#REF!</v>
      </c>
      <c r="HB164" t="e">
        <f>AND(Bills!U665,"AAAAADe329E=")</f>
        <v>#VALUE!</v>
      </c>
      <c r="HC164" t="e">
        <f>AND(Bills!V665,"AAAAADe329I=")</f>
        <v>#VALUE!</v>
      </c>
      <c r="HD164" t="e">
        <f>AND(Bills!W665,"AAAAADe329M=")</f>
        <v>#VALUE!</v>
      </c>
      <c r="HE164" t="e">
        <f>AND(Bills!#REF!,"AAAAADe329Q=")</f>
        <v>#REF!</v>
      </c>
      <c r="HF164" t="e">
        <f>AND(Bills!#REF!,"AAAAADe329U=")</f>
        <v>#REF!</v>
      </c>
      <c r="HG164" t="e">
        <f>AND(Bills!Y665,"AAAAADe329Y=")</f>
        <v>#VALUE!</v>
      </c>
      <c r="HH164" t="e">
        <f>AND(Bills!Z665,"AAAAADe329c=")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AND(Bills!AA665,"AAAAADe32+E=")</f>
        <v>#VALUE!</v>
      </c>
      <c r="HS164" t="e">
        <f>AND(Bills!AB665,"AAAAADe32+I=")</f>
        <v>#VALUE!</v>
      </c>
      <c r="HT164" t="e">
        <f>AND(Bills!#REF!,"AAAAADe32+M=")</f>
        <v>#REF!</v>
      </c>
      <c r="HU164" t="e">
        <f>AND(Bills!#REF!,"AAAAADe32+Q=")</f>
        <v>#REF!</v>
      </c>
      <c r="HV164" t="e">
        <f>AND(Bills!#REF!,"AAAAADe32+U=")</f>
        <v>#REF!</v>
      </c>
      <c r="HW164" t="e">
        <f>AND(Bills!AC665,"AAAAADe32+Y=")</f>
        <v>#VALUE!</v>
      </c>
      <c r="HX164" t="e">
        <f>AND(Bills!AD665,"AAAAADe32+c=")</f>
        <v>#VALUE!</v>
      </c>
      <c r="HY164" t="e">
        <f>AND(Bills!#REF!,"AAAAADe32+g=")</f>
        <v>#REF!</v>
      </c>
      <c r="HZ164">
        <f>IF(Bills!666:666,"AAAAADe32+k=",0)</f>
        <v>0</v>
      </c>
      <c r="IA164" t="e">
        <f>AND(Bills!B666,"AAAAADe32+o=")</f>
        <v>#VALUE!</v>
      </c>
      <c r="IB164" t="e">
        <f>AND(Bills!#REF!,"AAAAADe32+s=")</f>
        <v>#REF!</v>
      </c>
      <c r="IC164" t="e">
        <f>AND(Bills!C666,"AAAAADe32+w=")</f>
        <v>#VALUE!</v>
      </c>
      <c r="ID164" t="e">
        <f>AND(Bills!D666,"AAAAADe32+0=")</f>
        <v>#VALUE!</v>
      </c>
      <c r="IE164" t="e">
        <f>AND(Bills!E666,"AAAAADe32+4=")</f>
        <v>#VALUE!</v>
      </c>
      <c r="IF164" t="e">
        <f>AND(Bills!#REF!,"AAAAADe32+8=")</f>
        <v>#REF!</v>
      </c>
      <c r="IG164" t="e">
        <f>AND(Bills!#REF!,"AAAAADe32/A=")</f>
        <v>#REF!</v>
      </c>
      <c r="IH164" t="e">
        <f>AND(Bills!#REF!,"AAAAADe32/E=")</f>
        <v>#REF!</v>
      </c>
      <c r="II164" t="e">
        <f>AND(Bills!F666,"AAAAADe32/I=")</f>
        <v>#VALUE!</v>
      </c>
      <c r="IJ164" t="e">
        <f>AND(Bills!#REF!,"AAAAADe32/M=")</f>
        <v>#REF!</v>
      </c>
      <c r="IK164" t="e">
        <f>AND(Bills!G666,"AAAAADe32/Q=")</f>
        <v>#VALUE!</v>
      </c>
      <c r="IL164" t="e">
        <f>AND(Bills!H666,"AAAAADe32/U=")</f>
        <v>#VALUE!</v>
      </c>
      <c r="IM164" t="e">
        <f>AND(Bills!I666,"AAAAADe32/Y=")</f>
        <v>#VALUE!</v>
      </c>
      <c r="IN164" t="e">
        <f>AND(Bills!J666,"AAAAADe32/c=")</f>
        <v>#VALUE!</v>
      </c>
      <c r="IO164" t="e">
        <f>AND(Bills!K666,"AAAAADe32/g=")</f>
        <v>#VALUE!</v>
      </c>
      <c r="IP164" t="e">
        <f>AND(Bills!L666,"AAAAADe32/k=")</f>
        <v>#VALUE!</v>
      </c>
      <c r="IQ164" t="e">
        <f>AND(Bills!#REF!,"AAAAADe32/o=")</f>
        <v>#REF!</v>
      </c>
      <c r="IR164" t="e">
        <f>AND(Bills!M666,"AAAAADe32/s=")</f>
        <v>#VALUE!</v>
      </c>
      <c r="IS164" t="e">
        <f>AND(Bills!N666,"AAAAADe32/w=")</f>
        <v>#VALUE!</v>
      </c>
      <c r="IT164" t="e">
        <f>AND(Bills!O666,"AAAAADe32/0=")</f>
        <v>#VALUE!</v>
      </c>
      <c r="IU164" t="e">
        <f>AND(Bills!P666,"AAAAADe32/4=")</f>
        <v>#VALUE!</v>
      </c>
      <c r="IV164" t="e">
        <f>AND(Bills!Q666,"AAAAADe32/8=")</f>
        <v>#VALUE!</v>
      </c>
    </row>
    <row r="165" spans="1:256">
      <c r="A165" t="e">
        <f>AND(Bills!R666,"AAAAAFp/JQA=")</f>
        <v>#VALUE!</v>
      </c>
      <c r="B165" t="e">
        <f>AND(Bills!S666,"AAAAAFp/JQE=")</f>
        <v>#VALUE!</v>
      </c>
      <c r="C165" t="e">
        <f>AND(Bills!T666,"AAAAAFp/JQI=")</f>
        <v>#VALUE!</v>
      </c>
      <c r="D165" t="e">
        <f>AND(Bills!#REF!,"AAAAAFp/JQM=")</f>
        <v>#REF!</v>
      </c>
      <c r="E165" t="e">
        <f>AND(Bills!U666,"AAAAAFp/JQQ=")</f>
        <v>#VALUE!</v>
      </c>
      <c r="F165" t="e">
        <f>AND(Bills!V666,"AAAAAFp/JQU=")</f>
        <v>#VALUE!</v>
      </c>
      <c r="G165" t="e">
        <f>AND(Bills!W666,"AAAAAFp/JQY=")</f>
        <v>#VALUE!</v>
      </c>
      <c r="H165" t="e">
        <f>AND(Bills!#REF!,"AAAAAFp/JQc=")</f>
        <v>#REF!</v>
      </c>
      <c r="I165" t="e">
        <f>AND(Bills!#REF!,"AAAAAFp/JQg=")</f>
        <v>#REF!</v>
      </c>
      <c r="J165" t="e">
        <f>AND(Bills!Y666,"AAAAAFp/JQk=")</f>
        <v>#VALUE!</v>
      </c>
      <c r="K165" t="e">
        <f>AND(Bills!Z666,"AAAAAFp/JQo=")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AND(Bills!AA666,"AAAAAFp/JRQ=")</f>
        <v>#VALUE!</v>
      </c>
      <c r="V165" t="e">
        <f>AND(Bills!AB666,"AAAAAFp/JRU=")</f>
        <v>#VALUE!</v>
      </c>
      <c r="W165" t="e">
        <f>AND(Bills!#REF!,"AAAAAFp/JRY=")</f>
        <v>#REF!</v>
      </c>
      <c r="X165" t="e">
        <f>AND(Bills!#REF!,"AAAAAFp/JRc=")</f>
        <v>#REF!</v>
      </c>
      <c r="Y165" t="e">
        <f>AND(Bills!#REF!,"AAAAAFp/JRg=")</f>
        <v>#REF!</v>
      </c>
      <c r="Z165" t="e">
        <f>AND(Bills!AC666,"AAAAAFp/JRk=")</f>
        <v>#VALUE!</v>
      </c>
      <c r="AA165" t="e">
        <f>AND(Bills!AD666,"AAAAAFp/JRo=")</f>
        <v>#VALUE!</v>
      </c>
      <c r="AB165" t="e">
        <f>AND(Bills!#REF!,"AAAAAFp/JRs=")</f>
        <v>#REF!</v>
      </c>
      <c r="AC165">
        <f>IF(Bills!667:667,"AAAAAFp/JRw=",0)</f>
        <v>0</v>
      </c>
      <c r="AD165" t="e">
        <f>AND(Bills!B667,"AAAAAFp/JR0=")</f>
        <v>#VALUE!</v>
      </c>
      <c r="AE165" t="e">
        <f>AND(Bills!#REF!,"AAAAAFp/JR4=")</f>
        <v>#REF!</v>
      </c>
      <c r="AF165" t="e">
        <f>AND(Bills!C667,"AAAAAFp/JR8=")</f>
        <v>#VALUE!</v>
      </c>
      <c r="AG165" t="e">
        <f>AND(Bills!D667,"AAAAAFp/JSA=")</f>
        <v>#VALUE!</v>
      </c>
      <c r="AH165" t="e">
        <f>AND(Bills!E667,"AAAAAFp/JSE=")</f>
        <v>#VALUE!</v>
      </c>
      <c r="AI165" t="e">
        <f>AND(Bills!#REF!,"AAAAAFp/JSI=")</f>
        <v>#REF!</v>
      </c>
      <c r="AJ165" t="e">
        <f>AND(Bills!#REF!,"AAAAAFp/JSM=")</f>
        <v>#REF!</v>
      </c>
      <c r="AK165" t="e">
        <f>AND(Bills!#REF!,"AAAAAFp/JSQ=")</f>
        <v>#REF!</v>
      </c>
      <c r="AL165" t="e">
        <f>AND(Bills!F667,"AAAAAFp/JSU=")</f>
        <v>#VALUE!</v>
      </c>
      <c r="AM165" t="e">
        <f>AND(Bills!#REF!,"AAAAAFp/JSY=")</f>
        <v>#REF!</v>
      </c>
      <c r="AN165" t="e">
        <f>AND(Bills!G667,"AAAAAFp/JSc=")</f>
        <v>#VALUE!</v>
      </c>
      <c r="AO165" t="e">
        <f>AND(Bills!H667,"AAAAAFp/JSg=")</f>
        <v>#VALUE!</v>
      </c>
      <c r="AP165" t="e">
        <f>AND(Bills!I667,"AAAAAFp/JSk=")</f>
        <v>#VALUE!</v>
      </c>
      <c r="AQ165" t="e">
        <f>AND(Bills!J667,"AAAAAFp/JSo=")</f>
        <v>#VALUE!</v>
      </c>
      <c r="AR165" t="e">
        <f>AND(Bills!K667,"AAAAAFp/JSs=")</f>
        <v>#VALUE!</v>
      </c>
      <c r="AS165" t="e">
        <f>AND(Bills!L667,"AAAAAFp/JSw=")</f>
        <v>#VALUE!</v>
      </c>
      <c r="AT165" t="e">
        <f>AND(Bills!#REF!,"AAAAAFp/JS0=")</f>
        <v>#REF!</v>
      </c>
      <c r="AU165" t="e">
        <f>AND(Bills!M667,"AAAAAFp/JS4=")</f>
        <v>#VALUE!</v>
      </c>
      <c r="AV165" t="e">
        <f>AND(Bills!N667,"AAAAAFp/JS8=")</f>
        <v>#VALUE!</v>
      </c>
      <c r="AW165" t="e">
        <f>AND(Bills!O667,"AAAAAFp/JTA=")</f>
        <v>#VALUE!</v>
      </c>
      <c r="AX165" t="e">
        <f>AND(Bills!P667,"AAAAAFp/JTE=")</f>
        <v>#VALUE!</v>
      </c>
      <c r="AY165" t="e">
        <f>AND(Bills!Q667,"AAAAAFp/JTI=")</f>
        <v>#VALUE!</v>
      </c>
      <c r="AZ165" t="e">
        <f>AND(Bills!R667,"AAAAAFp/JTM=")</f>
        <v>#VALUE!</v>
      </c>
      <c r="BA165" t="e">
        <f>AND(Bills!S667,"AAAAAFp/JTQ=")</f>
        <v>#VALUE!</v>
      </c>
      <c r="BB165" t="e">
        <f>AND(Bills!T667,"AAAAAFp/JTU=")</f>
        <v>#VALUE!</v>
      </c>
      <c r="BC165" t="e">
        <f>AND(Bills!#REF!,"AAAAAFp/JTY=")</f>
        <v>#REF!</v>
      </c>
      <c r="BD165" t="e">
        <f>AND(Bills!U667,"AAAAAFp/JTc=")</f>
        <v>#VALUE!</v>
      </c>
      <c r="BE165" t="e">
        <f>AND(Bills!V667,"AAAAAFp/JTg=")</f>
        <v>#VALUE!</v>
      </c>
      <c r="BF165" t="e">
        <f>AND(Bills!W667,"AAAAAFp/JTk=")</f>
        <v>#VALUE!</v>
      </c>
      <c r="BG165" t="e">
        <f>AND(Bills!#REF!,"AAAAAFp/JTo=")</f>
        <v>#REF!</v>
      </c>
      <c r="BH165" t="e">
        <f>AND(Bills!#REF!,"AAAAAFp/JTs=")</f>
        <v>#REF!</v>
      </c>
      <c r="BI165" t="e">
        <f>AND(Bills!Y667,"AAAAAFp/JTw=")</f>
        <v>#VALUE!</v>
      </c>
      <c r="BJ165" t="e">
        <f>AND(Bills!Z667,"AAAAAFp/JT0=")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AND(Bills!AA667,"AAAAAFp/JUc=")</f>
        <v>#VALUE!</v>
      </c>
      <c r="BU165" t="e">
        <f>AND(Bills!AB667,"AAAAAFp/JUg=")</f>
        <v>#VALUE!</v>
      </c>
      <c r="BV165" t="e">
        <f>AND(Bills!#REF!,"AAAAAFp/JUk=")</f>
        <v>#REF!</v>
      </c>
      <c r="BW165" t="e">
        <f>AND(Bills!#REF!,"AAAAAFp/JUo=")</f>
        <v>#REF!</v>
      </c>
      <c r="BX165" t="e">
        <f>AND(Bills!#REF!,"AAAAAFp/JUs=")</f>
        <v>#REF!</v>
      </c>
      <c r="BY165" t="e">
        <f>AND(Bills!AC667,"AAAAAFp/JUw=")</f>
        <v>#VALUE!</v>
      </c>
      <c r="BZ165" t="e">
        <f>AND(Bills!AD667,"AAAAAFp/JU0=")</f>
        <v>#VALUE!</v>
      </c>
      <c r="CA165" t="e">
        <f>AND(Bills!#REF!,"AAAAAFp/JU4=")</f>
        <v>#REF!</v>
      </c>
      <c r="CB165">
        <f>IF(Bills!668:668,"AAAAAFp/JU8=",0)</f>
        <v>0</v>
      </c>
      <c r="CC165" t="e">
        <f>AND(Bills!B668,"AAAAAFp/JVA=")</f>
        <v>#VALUE!</v>
      </c>
      <c r="CD165" t="e">
        <f>AND(Bills!#REF!,"AAAAAFp/JVE=")</f>
        <v>#REF!</v>
      </c>
      <c r="CE165" t="e">
        <f>AND(Bills!C668,"AAAAAFp/JVI=")</f>
        <v>#VALUE!</v>
      </c>
      <c r="CF165" t="e">
        <f>AND(Bills!D668,"AAAAAFp/JVM=")</f>
        <v>#VALUE!</v>
      </c>
      <c r="CG165" t="e">
        <f>AND(Bills!E668,"AAAAAFp/JVQ=")</f>
        <v>#VALUE!</v>
      </c>
      <c r="CH165" t="e">
        <f>AND(Bills!#REF!,"AAAAAFp/JVU=")</f>
        <v>#REF!</v>
      </c>
      <c r="CI165" t="e">
        <f>AND(Bills!#REF!,"AAAAAFp/JVY=")</f>
        <v>#REF!</v>
      </c>
      <c r="CJ165" t="e">
        <f>AND(Bills!#REF!,"AAAAAFp/JVc=")</f>
        <v>#REF!</v>
      </c>
      <c r="CK165" t="e">
        <f>AND(Bills!F668,"AAAAAFp/JVg=")</f>
        <v>#VALUE!</v>
      </c>
      <c r="CL165" t="e">
        <f>AND(Bills!#REF!,"AAAAAFp/JVk=")</f>
        <v>#REF!</v>
      </c>
      <c r="CM165" t="e">
        <f>AND(Bills!G668,"AAAAAFp/JVo=")</f>
        <v>#VALUE!</v>
      </c>
      <c r="CN165" t="e">
        <f>AND(Bills!H668,"AAAAAFp/JVs=")</f>
        <v>#VALUE!</v>
      </c>
      <c r="CO165" t="e">
        <f>AND(Bills!I668,"AAAAAFp/JVw=")</f>
        <v>#VALUE!</v>
      </c>
      <c r="CP165" t="e">
        <f>AND(Bills!J668,"AAAAAFp/JV0=")</f>
        <v>#VALUE!</v>
      </c>
      <c r="CQ165" t="e">
        <f>AND(Bills!K668,"AAAAAFp/JV4=")</f>
        <v>#VALUE!</v>
      </c>
      <c r="CR165" t="e">
        <f>AND(Bills!L668,"AAAAAFp/JV8=")</f>
        <v>#VALUE!</v>
      </c>
      <c r="CS165" t="e">
        <f>AND(Bills!#REF!,"AAAAAFp/JWA=")</f>
        <v>#REF!</v>
      </c>
      <c r="CT165" t="e">
        <f>AND(Bills!M668,"AAAAAFp/JWE=")</f>
        <v>#VALUE!</v>
      </c>
      <c r="CU165" t="e">
        <f>AND(Bills!N668,"AAAAAFp/JWI=")</f>
        <v>#VALUE!</v>
      </c>
      <c r="CV165" t="e">
        <f>AND(Bills!O668,"AAAAAFp/JWM=")</f>
        <v>#VALUE!</v>
      </c>
      <c r="CW165" t="e">
        <f>AND(Bills!P668,"AAAAAFp/JWQ=")</f>
        <v>#VALUE!</v>
      </c>
      <c r="CX165" t="e">
        <f>AND(Bills!Q668,"AAAAAFp/JWU=")</f>
        <v>#VALUE!</v>
      </c>
      <c r="CY165" t="e">
        <f>AND(Bills!R668,"AAAAAFp/JWY=")</f>
        <v>#VALUE!</v>
      </c>
      <c r="CZ165" t="e">
        <f>AND(Bills!S668,"AAAAAFp/JWc=")</f>
        <v>#VALUE!</v>
      </c>
      <c r="DA165" t="e">
        <f>AND(Bills!T668,"AAAAAFp/JWg=")</f>
        <v>#VALUE!</v>
      </c>
      <c r="DB165" t="e">
        <f>AND(Bills!#REF!,"AAAAAFp/JWk=")</f>
        <v>#REF!</v>
      </c>
      <c r="DC165" t="e">
        <f>AND(Bills!U668,"AAAAAFp/JWo=")</f>
        <v>#VALUE!</v>
      </c>
      <c r="DD165" t="e">
        <f>AND(Bills!V668,"AAAAAFp/JWs=")</f>
        <v>#VALUE!</v>
      </c>
      <c r="DE165" t="e">
        <f>AND(Bills!W668,"AAAAAFp/JWw=")</f>
        <v>#VALUE!</v>
      </c>
      <c r="DF165" t="e">
        <f>AND(Bills!#REF!,"AAAAAFp/JW0=")</f>
        <v>#REF!</v>
      </c>
      <c r="DG165" t="e">
        <f>AND(Bills!#REF!,"AAAAAFp/JW4=")</f>
        <v>#REF!</v>
      </c>
      <c r="DH165" t="e">
        <f>AND(Bills!Y668,"AAAAAFp/JW8=")</f>
        <v>#VALUE!</v>
      </c>
      <c r="DI165" t="e">
        <f>AND(Bills!Z668,"AAAAAFp/JXA=")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AND(Bills!AA668,"AAAAAFp/JXo=")</f>
        <v>#VALUE!</v>
      </c>
      <c r="DT165" t="e">
        <f>AND(Bills!AB668,"AAAAAFp/JXs=")</f>
        <v>#VALUE!</v>
      </c>
      <c r="DU165" t="e">
        <f>AND(Bills!#REF!,"AAAAAFp/JXw=")</f>
        <v>#REF!</v>
      </c>
      <c r="DV165" t="e">
        <f>AND(Bills!#REF!,"AAAAAFp/JX0=")</f>
        <v>#REF!</v>
      </c>
      <c r="DW165" t="e">
        <f>AND(Bills!#REF!,"AAAAAFp/JX4=")</f>
        <v>#REF!</v>
      </c>
      <c r="DX165" t="e">
        <f>AND(Bills!AC668,"AAAAAFp/JX8=")</f>
        <v>#VALUE!</v>
      </c>
      <c r="DY165" t="e">
        <f>AND(Bills!AD668,"AAAAAFp/JYA=")</f>
        <v>#VALUE!</v>
      </c>
      <c r="DZ165" t="e">
        <f>AND(Bills!#REF!,"AAAAAFp/JYE=")</f>
        <v>#REF!</v>
      </c>
      <c r="EA165">
        <f>IF(Bills!669:669,"AAAAAFp/JYI=",0)</f>
        <v>0</v>
      </c>
      <c r="EB165" t="e">
        <f>AND(Bills!B669,"AAAAAFp/JYM=")</f>
        <v>#VALUE!</v>
      </c>
      <c r="EC165" t="e">
        <f>AND(Bills!#REF!,"AAAAAFp/JYQ=")</f>
        <v>#REF!</v>
      </c>
      <c r="ED165" t="e">
        <f>AND(Bills!C669,"AAAAAFp/JYU=")</f>
        <v>#VALUE!</v>
      </c>
      <c r="EE165" t="e">
        <f>AND(Bills!D669,"AAAAAFp/JYY=")</f>
        <v>#VALUE!</v>
      </c>
      <c r="EF165" t="e">
        <f>AND(Bills!E669,"AAAAAFp/JYc=")</f>
        <v>#VALUE!</v>
      </c>
      <c r="EG165" t="e">
        <f>AND(Bills!#REF!,"AAAAAFp/JYg=")</f>
        <v>#REF!</v>
      </c>
      <c r="EH165" t="e">
        <f>AND(Bills!#REF!,"AAAAAFp/JYk=")</f>
        <v>#REF!</v>
      </c>
      <c r="EI165" t="e">
        <f>AND(Bills!#REF!,"AAAAAFp/JYo=")</f>
        <v>#REF!</v>
      </c>
      <c r="EJ165" t="e">
        <f>AND(Bills!F669,"AAAAAFp/JYs=")</f>
        <v>#VALUE!</v>
      </c>
      <c r="EK165" t="e">
        <f>AND(Bills!#REF!,"AAAAAFp/JYw=")</f>
        <v>#REF!</v>
      </c>
      <c r="EL165" t="e">
        <f>AND(Bills!G669,"AAAAAFp/JY0=")</f>
        <v>#VALUE!</v>
      </c>
      <c r="EM165" t="e">
        <f>AND(Bills!H669,"AAAAAFp/JY4=")</f>
        <v>#VALUE!</v>
      </c>
      <c r="EN165" t="e">
        <f>AND(Bills!I669,"AAAAAFp/JY8=")</f>
        <v>#VALUE!</v>
      </c>
      <c r="EO165" t="e">
        <f>AND(Bills!J669,"AAAAAFp/JZA=")</f>
        <v>#VALUE!</v>
      </c>
      <c r="EP165" t="e">
        <f>AND(Bills!K669,"AAAAAFp/JZE=")</f>
        <v>#VALUE!</v>
      </c>
      <c r="EQ165" t="e">
        <f>AND(Bills!L669,"AAAAAFp/JZI=")</f>
        <v>#VALUE!</v>
      </c>
      <c r="ER165" t="e">
        <f>AND(Bills!#REF!,"AAAAAFp/JZM=")</f>
        <v>#REF!</v>
      </c>
      <c r="ES165" t="e">
        <f>AND(Bills!M669,"AAAAAFp/JZQ=")</f>
        <v>#VALUE!</v>
      </c>
      <c r="ET165" t="e">
        <f>AND(Bills!N669,"AAAAAFp/JZU=")</f>
        <v>#VALUE!</v>
      </c>
      <c r="EU165" t="e">
        <f>AND(Bills!O669,"AAAAAFp/JZY=")</f>
        <v>#VALUE!</v>
      </c>
      <c r="EV165" t="e">
        <f>AND(Bills!P669,"AAAAAFp/JZc=")</f>
        <v>#VALUE!</v>
      </c>
      <c r="EW165" t="e">
        <f>AND(Bills!Q669,"AAAAAFp/JZg=")</f>
        <v>#VALUE!</v>
      </c>
      <c r="EX165" t="e">
        <f>AND(Bills!R669,"AAAAAFp/JZk=")</f>
        <v>#VALUE!</v>
      </c>
      <c r="EY165" t="e">
        <f>AND(Bills!S669,"AAAAAFp/JZo=")</f>
        <v>#VALUE!</v>
      </c>
      <c r="EZ165" t="e">
        <f>AND(Bills!T669,"AAAAAFp/JZs=")</f>
        <v>#VALUE!</v>
      </c>
      <c r="FA165" t="e">
        <f>AND(Bills!#REF!,"AAAAAFp/JZw=")</f>
        <v>#REF!</v>
      </c>
      <c r="FB165" t="e">
        <f>AND(Bills!U669,"AAAAAFp/JZ0=")</f>
        <v>#VALUE!</v>
      </c>
      <c r="FC165" t="e">
        <f>AND(Bills!V669,"AAAAAFp/JZ4=")</f>
        <v>#VALUE!</v>
      </c>
      <c r="FD165" t="e">
        <f>AND(Bills!W669,"AAAAAFp/JZ8=")</f>
        <v>#VALUE!</v>
      </c>
      <c r="FE165" t="e">
        <f>AND(Bills!#REF!,"AAAAAFp/JaA=")</f>
        <v>#REF!</v>
      </c>
      <c r="FF165" t="e">
        <f>AND(Bills!#REF!,"AAAAAFp/JaE=")</f>
        <v>#REF!</v>
      </c>
      <c r="FG165" t="e">
        <f>AND(Bills!Y669,"AAAAAFp/JaI=")</f>
        <v>#VALUE!</v>
      </c>
      <c r="FH165" t="e">
        <f>AND(Bills!Z669,"AAAAAFp/JaM=")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AND(Bills!AA669,"AAAAAFp/Ja0=")</f>
        <v>#VALUE!</v>
      </c>
      <c r="FS165" t="e">
        <f>AND(Bills!AB669,"AAAAAFp/Ja4=")</f>
        <v>#VALUE!</v>
      </c>
      <c r="FT165" t="e">
        <f>AND(Bills!#REF!,"AAAAAFp/Ja8=")</f>
        <v>#REF!</v>
      </c>
      <c r="FU165" t="e">
        <f>AND(Bills!#REF!,"AAAAAFp/JbA=")</f>
        <v>#REF!</v>
      </c>
      <c r="FV165" t="e">
        <f>AND(Bills!#REF!,"AAAAAFp/JbE=")</f>
        <v>#REF!</v>
      </c>
      <c r="FW165" t="e">
        <f>AND(Bills!AC669,"AAAAAFp/JbI=")</f>
        <v>#VALUE!</v>
      </c>
      <c r="FX165" t="e">
        <f>AND(Bills!AD669,"AAAAAFp/JbM=")</f>
        <v>#VALUE!</v>
      </c>
      <c r="FY165" t="e">
        <f>AND(Bills!#REF!,"AAAAAFp/JbQ=")</f>
        <v>#REF!</v>
      </c>
      <c r="FZ165">
        <f>IF(Bills!670:670,"AAAAAFp/JbU=",0)</f>
        <v>0</v>
      </c>
      <c r="GA165" t="e">
        <f>AND(Bills!B670,"AAAAAFp/JbY=")</f>
        <v>#VALUE!</v>
      </c>
      <c r="GB165" t="e">
        <f>AND(Bills!#REF!,"AAAAAFp/Jbc=")</f>
        <v>#REF!</v>
      </c>
      <c r="GC165" t="e">
        <f>AND(Bills!C670,"AAAAAFp/Jbg=")</f>
        <v>#VALUE!</v>
      </c>
      <c r="GD165" t="e">
        <f>AND(Bills!D670,"AAAAAFp/Jbk=")</f>
        <v>#VALUE!</v>
      </c>
      <c r="GE165" t="e">
        <f>AND(Bills!E670,"AAAAAFp/Jbo=")</f>
        <v>#VALUE!</v>
      </c>
      <c r="GF165" t="e">
        <f>AND(Bills!#REF!,"AAAAAFp/Jbs=")</f>
        <v>#REF!</v>
      </c>
      <c r="GG165" t="e">
        <f>AND(Bills!#REF!,"AAAAAFp/Jbw=")</f>
        <v>#REF!</v>
      </c>
      <c r="GH165" t="e">
        <f>AND(Bills!#REF!,"AAAAAFp/Jb0=")</f>
        <v>#REF!</v>
      </c>
      <c r="GI165" t="e">
        <f>AND(Bills!F670,"AAAAAFp/Jb4=")</f>
        <v>#VALUE!</v>
      </c>
      <c r="GJ165" t="e">
        <f>AND(Bills!#REF!,"AAAAAFp/Jb8=")</f>
        <v>#REF!</v>
      </c>
      <c r="GK165" t="e">
        <f>AND(Bills!G670,"AAAAAFp/JcA=")</f>
        <v>#VALUE!</v>
      </c>
      <c r="GL165" t="e">
        <f>AND(Bills!H670,"AAAAAFp/JcE=")</f>
        <v>#VALUE!</v>
      </c>
      <c r="GM165" t="e">
        <f>AND(Bills!I670,"AAAAAFp/JcI=")</f>
        <v>#VALUE!</v>
      </c>
      <c r="GN165" t="e">
        <f>AND(Bills!J670,"AAAAAFp/JcM=")</f>
        <v>#VALUE!</v>
      </c>
      <c r="GO165" t="e">
        <f>AND(Bills!K670,"AAAAAFp/JcQ=")</f>
        <v>#VALUE!</v>
      </c>
      <c r="GP165" t="e">
        <f>AND(Bills!L670,"AAAAAFp/JcU=")</f>
        <v>#VALUE!</v>
      </c>
      <c r="GQ165" t="e">
        <f>AND(Bills!#REF!,"AAAAAFp/JcY=")</f>
        <v>#REF!</v>
      </c>
      <c r="GR165" t="e">
        <f>AND(Bills!M670,"AAAAAFp/Jcc=")</f>
        <v>#VALUE!</v>
      </c>
      <c r="GS165" t="e">
        <f>AND(Bills!N670,"AAAAAFp/Jcg=")</f>
        <v>#VALUE!</v>
      </c>
      <c r="GT165" t="e">
        <f>AND(Bills!O670,"AAAAAFp/Jck=")</f>
        <v>#VALUE!</v>
      </c>
      <c r="GU165" t="e">
        <f>AND(Bills!P670,"AAAAAFp/Jco=")</f>
        <v>#VALUE!</v>
      </c>
      <c r="GV165" t="e">
        <f>AND(Bills!Q670,"AAAAAFp/Jcs=")</f>
        <v>#VALUE!</v>
      </c>
      <c r="GW165" t="e">
        <f>AND(Bills!R670,"AAAAAFp/Jcw=")</f>
        <v>#VALUE!</v>
      </c>
      <c r="GX165" t="e">
        <f>AND(Bills!S670,"AAAAAFp/Jc0=")</f>
        <v>#VALUE!</v>
      </c>
      <c r="GY165" t="e">
        <f>AND(Bills!T670,"AAAAAFp/Jc4=")</f>
        <v>#VALUE!</v>
      </c>
      <c r="GZ165" t="e">
        <f>AND(Bills!#REF!,"AAAAAFp/Jc8=")</f>
        <v>#REF!</v>
      </c>
      <c r="HA165" t="e">
        <f>AND(Bills!U670,"AAAAAFp/JdA=")</f>
        <v>#VALUE!</v>
      </c>
      <c r="HB165" t="e">
        <f>AND(Bills!V670,"AAAAAFp/JdE=")</f>
        <v>#VALUE!</v>
      </c>
      <c r="HC165" t="e">
        <f>AND(Bills!W670,"AAAAAFp/JdI=")</f>
        <v>#VALUE!</v>
      </c>
      <c r="HD165" t="e">
        <f>AND(Bills!#REF!,"AAAAAFp/JdM=")</f>
        <v>#REF!</v>
      </c>
      <c r="HE165" t="e">
        <f>AND(Bills!#REF!,"AAAAAFp/JdQ=")</f>
        <v>#REF!</v>
      </c>
      <c r="HF165" t="e">
        <f>AND(Bills!Y670,"AAAAAFp/JdU=")</f>
        <v>#VALUE!</v>
      </c>
      <c r="HG165" t="e">
        <f>AND(Bills!Z670,"AAAAAFp/JdY=")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AND(Bills!AA670,"AAAAAFp/JeA=")</f>
        <v>#VALUE!</v>
      </c>
      <c r="HR165" t="e">
        <f>AND(Bills!AB670,"AAAAAFp/JeE=")</f>
        <v>#VALUE!</v>
      </c>
      <c r="HS165" t="e">
        <f>AND(Bills!#REF!,"AAAAAFp/JeI=")</f>
        <v>#REF!</v>
      </c>
      <c r="HT165" t="e">
        <f>AND(Bills!#REF!,"AAAAAFp/JeM=")</f>
        <v>#REF!</v>
      </c>
      <c r="HU165" t="e">
        <f>AND(Bills!#REF!,"AAAAAFp/JeQ=")</f>
        <v>#REF!</v>
      </c>
      <c r="HV165" t="e">
        <f>AND(Bills!AC670,"AAAAAFp/JeU=")</f>
        <v>#VALUE!</v>
      </c>
      <c r="HW165" t="e">
        <f>AND(Bills!AD670,"AAAAAFp/JeY=")</f>
        <v>#VALUE!</v>
      </c>
      <c r="HX165" t="e">
        <f>AND(Bills!#REF!,"AAAAAFp/Jec=")</f>
        <v>#REF!</v>
      </c>
      <c r="HY165">
        <f>IF(Bills!671:671,"AAAAAFp/Jeg=",0)</f>
        <v>0</v>
      </c>
      <c r="HZ165" t="e">
        <f>AND(Bills!B671,"AAAAAFp/Jek=")</f>
        <v>#VALUE!</v>
      </c>
      <c r="IA165" t="e">
        <f>AND(Bills!#REF!,"AAAAAFp/Jeo=")</f>
        <v>#REF!</v>
      </c>
      <c r="IB165" t="e">
        <f>AND(Bills!C671,"AAAAAFp/Jes=")</f>
        <v>#VALUE!</v>
      </c>
      <c r="IC165" t="e">
        <f>AND(Bills!D671,"AAAAAFp/Jew=")</f>
        <v>#VALUE!</v>
      </c>
      <c r="ID165" t="e">
        <f>AND(Bills!E671,"AAAAAFp/Je0=")</f>
        <v>#VALUE!</v>
      </c>
      <c r="IE165" t="e">
        <f>AND(Bills!#REF!,"AAAAAFp/Je4=")</f>
        <v>#REF!</v>
      </c>
      <c r="IF165" t="e">
        <f>AND(Bills!#REF!,"AAAAAFp/Je8=")</f>
        <v>#REF!</v>
      </c>
      <c r="IG165" t="e">
        <f>AND(Bills!#REF!,"AAAAAFp/JfA=")</f>
        <v>#REF!</v>
      </c>
      <c r="IH165" t="e">
        <f>AND(Bills!F671,"AAAAAFp/JfE=")</f>
        <v>#VALUE!</v>
      </c>
      <c r="II165" t="e">
        <f>AND(Bills!#REF!,"AAAAAFp/JfI=")</f>
        <v>#REF!</v>
      </c>
      <c r="IJ165" t="e">
        <f>AND(Bills!G671,"AAAAAFp/JfM=")</f>
        <v>#VALUE!</v>
      </c>
      <c r="IK165" t="e">
        <f>AND(Bills!H671,"AAAAAFp/JfQ=")</f>
        <v>#VALUE!</v>
      </c>
      <c r="IL165" t="e">
        <f>AND(Bills!I671,"AAAAAFp/JfU=")</f>
        <v>#VALUE!</v>
      </c>
      <c r="IM165" t="e">
        <f>AND(Bills!J671,"AAAAAFp/JfY=")</f>
        <v>#VALUE!</v>
      </c>
      <c r="IN165" t="e">
        <f>AND(Bills!K671,"AAAAAFp/Jfc=")</f>
        <v>#VALUE!</v>
      </c>
      <c r="IO165" t="e">
        <f>AND(Bills!L671,"AAAAAFp/Jfg=")</f>
        <v>#VALUE!</v>
      </c>
      <c r="IP165" t="e">
        <f>AND(Bills!#REF!,"AAAAAFp/Jfk=")</f>
        <v>#REF!</v>
      </c>
      <c r="IQ165" t="e">
        <f>AND(Bills!M671,"AAAAAFp/Jfo=")</f>
        <v>#VALUE!</v>
      </c>
      <c r="IR165" t="e">
        <f>AND(Bills!N671,"AAAAAFp/Jfs=")</f>
        <v>#VALUE!</v>
      </c>
      <c r="IS165" t="e">
        <f>AND(Bills!O671,"AAAAAFp/Jfw=")</f>
        <v>#VALUE!</v>
      </c>
      <c r="IT165" t="e">
        <f>AND(Bills!P671,"AAAAAFp/Jf0=")</f>
        <v>#VALUE!</v>
      </c>
      <c r="IU165" t="e">
        <f>AND(Bills!Q671,"AAAAAFp/Jf4=")</f>
        <v>#VALUE!</v>
      </c>
      <c r="IV165" t="e">
        <f>AND(Bills!R671,"AAAAAFp/Jf8=")</f>
        <v>#VALUE!</v>
      </c>
    </row>
    <row r="166" spans="1:256">
      <c r="A166" t="e">
        <f>AND(Bills!S671,"AAAAAH2XPwA=")</f>
        <v>#VALUE!</v>
      </c>
      <c r="B166" t="e">
        <f>AND(Bills!T671,"AAAAAH2XPwE=")</f>
        <v>#VALUE!</v>
      </c>
      <c r="C166" t="e">
        <f>AND(Bills!#REF!,"AAAAAH2XPwI=")</f>
        <v>#REF!</v>
      </c>
      <c r="D166" t="e">
        <f>AND(Bills!U671,"AAAAAH2XPwM=")</f>
        <v>#VALUE!</v>
      </c>
      <c r="E166" t="e">
        <f>AND(Bills!V671,"AAAAAH2XPwQ=")</f>
        <v>#VALUE!</v>
      </c>
      <c r="F166" t="e">
        <f>AND(Bills!W671,"AAAAAH2XPwU=")</f>
        <v>#VALUE!</v>
      </c>
      <c r="G166" t="e">
        <f>AND(Bills!#REF!,"AAAAAH2XPwY=")</f>
        <v>#REF!</v>
      </c>
      <c r="H166" t="e">
        <f>AND(Bills!#REF!,"AAAAAH2XPwc=")</f>
        <v>#REF!</v>
      </c>
      <c r="I166" t="e">
        <f>AND(Bills!Y671,"AAAAAH2XPwg=")</f>
        <v>#VALUE!</v>
      </c>
      <c r="J166" t="e">
        <f>AND(Bills!Z671,"AAAAAH2XPwk=")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AND(Bills!AA671,"AAAAAH2XPxM=")</f>
        <v>#VALUE!</v>
      </c>
      <c r="U166" t="e">
        <f>AND(Bills!AB671,"AAAAAH2XPxQ=")</f>
        <v>#VALUE!</v>
      </c>
      <c r="V166" t="e">
        <f>AND(Bills!#REF!,"AAAAAH2XPxU=")</f>
        <v>#REF!</v>
      </c>
      <c r="W166" t="e">
        <f>AND(Bills!#REF!,"AAAAAH2XPxY=")</f>
        <v>#REF!</v>
      </c>
      <c r="X166" t="e">
        <f>AND(Bills!#REF!,"AAAAAH2XPxc=")</f>
        <v>#REF!</v>
      </c>
      <c r="Y166" t="e">
        <f>AND(Bills!AC671,"AAAAAH2XPxg=")</f>
        <v>#VALUE!</v>
      </c>
      <c r="Z166" t="e">
        <f>AND(Bills!AD671,"AAAAAH2XPxk=")</f>
        <v>#VALUE!</v>
      </c>
      <c r="AA166" t="e">
        <f>AND(Bills!#REF!,"AAAAAH2XPxo=")</f>
        <v>#REF!</v>
      </c>
      <c r="AB166">
        <f>IF(Bills!672:672,"AAAAAH2XPxs=",0)</f>
        <v>0</v>
      </c>
      <c r="AC166" t="e">
        <f>AND(Bills!B672,"AAAAAH2XPxw=")</f>
        <v>#VALUE!</v>
      </c>
      <c r="AD166" t="e">
        <f>AND(Bills!#REF!,"AAAAAH2XPx0=")</f>
        <v>#REF!</v>
      </c>
      <c r="AE166" t="e">
        <f>AND(Bills!C672,"AAAAAH2XPx4=")</f>
        <v>#VALUE!</v>
      </c>
      <c r="AF166" t="e">
        <f>AND(Bills!D672,"AAAAAH2XPx8=")</f>
        <v>#VALUE!</v>
      </c>
      <c r="AG166" t="e">
        <f>AND(Bills!E672,"AAAAAH2XPyA=")</f>
        <v>#VALUE!</v>
      </c>
      <c r="AH166" t="e">
        <f>AND(Bills!#REF!,"AAAAAH2XPyE=")</f>
        <v>#REF!</v>
      </c>
      <c r="AI166" t="e">
        <f>AND(Bills!#REF!,"AAAAAH2XPyI=")</f>
        <v>#REF!</v>
      </c>
      <c r="AJ166" t="e">
        <f>AND(Bills!#REF!,"AAAAAH2XPyM=")</f>
        <v>#REF!</v>
      </c>
      <c r="AK166" t="e">
        <f>AND(Bills!F672,"AAAAAH2XPyQ=")</f>
        <v>#VALUE!</v>
      </c>
      <c r="AL166" t="e">
        <f>AND(Bills!#REF!,"AAAAAH2XPyU=")</f>
        <v>#REF!</v>
      </c>
      <c r="AM166" t="e">
        <f>AND(Bills!G672,"AAAAAH2XPyY=")</f>
        <v>#VALUE!</v>
      </c>
      <c r="AN166" t="e">
        <f>AND(Bills!H672,"AAAAAH2XPyc=")</f>
        <v>#VALUE!</v>
      </c>
      <c r="AO166" t="e">
        <f>AND(Bills!I672,"AAAAAH2XPyg=")</f>
        <v>#VALUE!</v>
      </c>
      <c r="AP166" t="e">
        <f>AND(Bills!J672,"AAAAAH2XPyk=")</f>
        <v>#VALUE!</v>
      </c>
      <c r="AQ166" t="e">
        <f>AND(Bills!K672,"AAAAAH2XPyo=")</f>
        <v>#VALUE!</v>
      </c>
      <c r="AR166" t="e">
        <f>AND(Bills!L672,"AAAAAH2XPys=")</f>
        <v>#VALUE!</v>
      </c>
      <c r="AS166" t="e">
        <f>AND(Bills!#REF!,"AAAAAH2XPyw=")</f>
        <v>#REF!</v>
      </c>
      <c r="AT166" t="e">
        <f>AND(Bills!M672,"AAAAAH2XPy0=")</f>
        <v>#VALUE!</v>
      </c>
      <c r="AU166" t="e">
        <f>AND(Bills!N672,"AAAAAH2XPy4=")</f>
        <v>#VALUE!</v>
      </c>
      <c r="AV166" t="e">
        <f>AND(Bills!O672,"AAAAAH2XPy8=")</f>
        <v>#VALUE!</v>
      </c>
      <c r="AW166" t="e">
        <f>AND(Bills!P672,"AAAAAH2XPzA=")</f>
        <v>#VALUE!</v>
      </c>
      <c r="AX166" t="e">
        <f>AND(Bills!Q672,"AAAAAH2XPzE=")</f>
        <v>#VALUE!</v>
      </c>
      <c r="AY166" t="e">
        <f>AND(Bills!R672,"AAAAAH2XPzI=")</f>
        <v>#VALUE!</v>
      </c>
      <c r="AZ166" t="e">
        <f>AND(Bills!S672,"AAAAAH2XPzM=")</f>
        <v>#VALUE!</v>
      </c>
      <c r="BA166" t="e">
        <f>AND(Bills!T672,"AAAAAH2XPzQ=")</f>
        <v>#VALUE!</v>
      </c>
      <c r="BB166" t="e">
        <f>AND(Bills!#REF!,"AAAAAH2XPzU=")</f>
        <v>#REF!</v>
      </c>
      <c r="BC166" t="e">
        <f>AND(Bills!U672,"AAAAAH2XPzY=")</f>
        <v>#VALUE!</v>
      </c>
      <c r="BD166" t="e">
        <f>AND(Bills!V672,"AAAAAH2XPzc=")</f>
        <v>#VALUE!</v>
      </c>
      <c r="BE166" t="e">
        <f>AND(Bills!W672,"AAAAAH2XPzg=")</f>
        <v>#VALUE!</v>
      </c>
      <c r="BF166" t="e">
        <f>AND(Bills!#REF!,"AAAAAH2XPzk=")</f>
        <v>#REF!</v>
      </c>
      <c r="BG166" t="e">
        <f>AND(Bills!#REF!,"AAAAAH2XPzo=")</f>
        <v>#REF!</v>
      </c>
      <c r="BH166" t="e">
        <f>AND(Bills!Y672,"AAAAAH2XPzs=")</f>
        <v>#VALUE!</v>
      </c>
      <c r="BI166" t="e">
        <f>AND(Bills!Z672,"AAAAAH2XPzw=")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AND(Bills!AA672,"AAAAAH2XP0Y=")</f>
        <v>#VALUE!</v>
      </c>
      <c r="BT166" t="e">
        <f>AND(Bills!AB672,"AAAAAH2XP0c=")</f>
        <v>#VALUE!</v>
      </c>
      <c r="BU166" t="e">
        <f>AND(Bills!#REF!,"AAAAAH2XP0g=")</f>
        <v>#REF!</v>
      </c>
      <c r="BV166" t="e">
        <f>AND(Bills!#REF!,"AAAAAH2XP0k=")</f>
        <v>#REF!</v>
      </c>
      <c r="BW166" t="e">
        <f>AND(Bills!#REF!,"AAAAAH2XP0o=")</f>
        <v>#REF!</v>
      </c>
      <c r="BX166" t="e">
        <f>AND(Bills!AC672,"AAAAAH2XP0s=")</f>
        <v>#VALUE!</v>
      </c>
      <c r="BY166" t="e">
        <f>AND(Bills!AD672,"AAAAAH2XP0w=")</f>
        <v>#VALUE!</v>
      </c>
      <c r="BZ166" t="e">
        <f>AND(Bills!#REF!,"AAAAAH2XP00=")</f>
        <v>#REF!</v>
      </c>
      <c r="CA166">
        <f>IF(Bills!673:673,"AAAAAH2XP04=",0)</f>
        <v>0</v>
      </c>
      <c r="CB166" t="e">
        <f>AND(Bills!B673,"AAAAAH2XP08=")</f>
        <v>#VALUE!</v>
      </c>
      <c r="CC166" t="e">
        <f>AND(Bills!#REF!,"AAAAAH2XP1A=")</f>
        <v>#REF!</v>
      </c>
      <c r="CD166" t="e">
        <f>AND(Bills!C673,"AAAAAH2XP1E=")</f>
        <v>#VALUE!</v>
      </c>
      <c r="CE166" t="e">
        <f>AND(Bills!D673,"AAAAAH2XP1I=")</f>
        <v>#VALUE!</v>
      </c>
      <c r="CF166" t="e">
        <f>AND(Bills!E673,"AAAAAH2XP1M=")</f>
        <v>#VALUE!</v>
      </c>
      <c r="CG166" t="e">
        <f>AND(Bills!#REF!,"AAAAAH2XP1Q=")</f>
        <v>#REF!</v>
      </c>
      <c r="CH166" t="e">
        <f>AND(Bills!#REF!,"AAAAAH2XP1U=")</f>
        <v>#REF!</v>
      </c>
      <c r="CI166" t="e">
        <f>AND(Bills!#REF!,"AAAAAH2XP1Y=")</f>
        <v>#REF!</v>
      </c>
      <c r="CJ166" t="e">
        <f>AND(Bills!F673,"AAAAAH2XP1c=")</f>
        <v>#VALUE!</v>
      </c>
      <c r="CK166" t="e">
        <f>AND(Bills!#REF!,"AAAAAH2XP1g=")</f>
        <v>#REF!</v>
      </c>
      <c r="CL166" t="e">
        <f>AND(Bills!G673,"AAAAAH2XP1k=")</f>
        <v>#VALUE!</v>
      </c>
      <c r="CM166" t="e">
        <f>AND(Bills!H673,"AAAAAH2XP1o=")</f>
        <v>#VALUE!</v>
      </c>
      <c r="CN166" t="e">
        <f>AND(Bills!I673,"AAAAAH2XP1s=")</f>
        <v>#VALUE!</v>
      </c>
      <c r="CO166" t="e">
        <f>AND(Bills!J673,"AAAAAH2XP1w=")</f>
        <v>#VALUE!</v>
      </c>
      <c r="CP166" t="e">
        <f>AND(Bills!K673,"AAAAAH2XP10=")</f>
        <v>#VALUE!</v>
      </c>
      <c r="CQ166" t="e">
        <f>AND(Bills!L673,"AAAAAH2XP14=")</f>
        <v>#VALUE!</v>
      </c>
      <c r="CR166" t="e">
        <f>AND(Bills!#REF!,"AAAAAH2XP18=")</f>
        <v>#REF!</v>
      </c>
      <c r="CS166" t="e">
        <f>AND(Bills!M673,"AAAAAH2XP2A=")</f>
        <v>#VALUE!</v>
      </c>
      <c r="CT166" t="e">
        <f>AND(Bills!N673,"AAAAAH2XP2E=")</f>
        <v>#VALUE!</v>
      </c>
      <c r="CU166" t="e">
        <f>AND(Bills!O673,"AAAAAH2XP2I=")</f>
        <v>#VALUE!</v>
      </c>
      <c r="CV166" t="e">
        <f>AND(Bills!P673,"AAAAAH2XP2M=")</f>
        <v>#VALUE!</v>
      </c>
      <c r="CW166" t="e">
        <f>AND(Bills!Q673,"AAAAAH2XP2Q=")</f>
        <v>#VALUE!</v>
      </c>
      <c r="CX166" t="e">
        <f>AND(Bills!R673,"AAAAAH2XP2U=")</f>
        <v>#VALUE!</v>
      </c>
      <c r="CY166" t="e">
        <f>AND(Bills!S673,"AAAAAH2XP2Y=")</f>
        <v>#VALUE!</v>
      </c>
      <c r="CZ166" t="e">
        <f>AND(Bills!T673,"AAAAAH2XP2c=")</f>
        <v>#VALUE!</v>
      </c>
      <c r="DA166" t="e">
        <f>AND(Bills!#REF!,"AAAAAH2XP2g=")</f>
        <v>#REF!</v>
      </c>
      <c r="DB166" t="e">
        <f>AND(Bills!U673,"AAAAAH2XP2k=")</f>
        <v>#VALUE!</v>
      </c>
      <c r="DC166" t="e">
        <f>AND(Bills!V673,"AAAAAH2XP2o=")</f>
        <v>#VALUE!</v>
      </c>
      <c r="DD166" t="e">
        <f>AND(Bills!W673,"AAAAAH2XP2s=")</f>
        <v>#VALUE!</v>
      </c>
      <c r="DE166" t="e">
        <f>AND(Bills!#REF!,"AAAAAH2XP2w=")</f>
        <v>#REF!</v>
      </c>
      <c r="DF166" t="e">
        <f>AND(Bills!#REF!,"AAAAAH2XP20=")</f>
        <v>#REF!</v>
      </c>
      <c r="DG166" t="e">
        <f>AND(Bills!Y673,"AAAAAH2XP24=")</f>
        <v>#VALUE!</v>
      </c>
      <c r="DH166" t="e">
        <f>AND(Bills!Z673,"AAAAAH2XP28=")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AND(Bills!AA673,"AAAAAH2XP3k=")</f>
        <v>#VALUE!</v>
      </c>
      <c r="DS166" t="e">
        <f>AND(Bills!AB673,"AAAAAH2XP3o=")</f>
        <v>#VALUE!</v>
      </c>
      <c r="DT166" t="e">
        <f>AND(Bills!#REF!,"AAAAAH2XP3s=")</f>
        <v>#REF!</v>
      </c>
      <c r="DU166" t="e">
        <f>AND(Bills!#REF!,"AAAAAH2XP3w=")</f>
        <v>#REF!</v>
      </c>
      <c r="DV166" t="e">
        <f>AND(Bills!#REF!,"AAAAAH2XP30=")</f>
        <v>#REF!</v>
      </c>
      <c r="DW166" t="e">
        <f>AND(Bills!AC673,"AAAAAH2XP34=")</f>
        <v>#VALUE!</v>
      </c>
      <c r="DX166" t="e">
        <f>AND(Bills!AD673,"AAAAAH2XP38=")</f>
        <v>#VALUE!</v>
      </c>
      <c r="DY166" t="e">
        <f>AND(Bills!#REF!,"AAAAAH2XP4A=")</f>
        <v>#REF!</v>
      </c>
      <c r="DZ166">
        <f>IF(Bills!674:674,"AAAAAH2XP4E=",0)</f>
        <v>0</v>
      </c>
      <c r="EA166" t="e">
        <f>AND(Bills!B674,"AAAAAH2XP4I=")</f>
        <v>#VALUE!</v>
      </c>
      <c r="EB166" t="e">
        <f>AND(Bills!#REF!,"AAAAAH2XP4M=")</f>
        <v>#REF!</v>
      </c>
      <c r="EC166" t="e">
        <f>AND(Bills!C674,"AAAAAH2XP4Q=")</f>
        <v>#VALUE!</v>
      </c>
      <c r="ED166" t="e">
        <f>AND(Bills!D674,"AAAAAH2XP4U=")</f>
        <v>#VALUE!</v>
      </c>
      <c r="EE166" t="e">
        <f>AND(Bills!E674,"AAAAAH2XP4Y=")</f>
        <v>#VALUE!</v>
      </c>
      <c r="EF166" t="e">
        <f>AND(Bills!#REF!,"AAAAAH2XP4c=")</f>
        <v>#REF!</v>
      </c>
      <c r="EG166" t="e">
        <f>AND(Bills!#REF!,"AAAAAH2XP4g=")</f>
        <v>#REF!</v>
      </c>
      <c r="EH166" t="e">
        <f>AND(Bills!#REF!,"AAAAAH2XP4k=")</f>
        <v>#REF!</v>
      </c>
      <c r="EI166" t="e">
        <f>AND(Bills!F674,"AAAAAH2XP4o=")</f>
        <v>#VALUE!</v>
      </c>
      <c r="EJ166" t="e">
        <f>AND(Bills!#REF!,"AAAAAH2XP4s=")</f>
        <v>#REF!</v>
      </c>
      <c r="EK166" t="e">
        <f>AND(Bills!G674,"AAAAAH2XP4w=")</f>
        <v>#VALUE!</v>
      </c>
      <c r="EL166" t="e">
        <f>AND(Bills!H674,"AAAAAH2XP40=")</f>
        <v>#VALUE!</v>
      </c>
      <c r="EM166" t="e">
        <f>AND(Bills!I674,"AAAAAH2XP44=")</f>
        <v>#VALUE!</v>
      </c>
      <c r="EN166" t="e">
        <f>AND(Bills!J674,"AAAAAH2XP48=")</f>
        <v>#VALUE!</v>
      </c>
      <c r="EO166" t="e">
        <f>AND(Bills!K674,"AAAAAH2XP5A=")</f>
        <v>#VALUE!</v>
      </c>
      <c r="EP166" t="e">
        <f>AND(Bills!L674,"AAAAAH2XP5E=")</f>
        <v>#VALUE!</v>
      </c>
      <c r="EQ166" t="e">
        <f>AND(Bills!#REF!,"AAAAAH2XP5I=")</f>
        <v>#REF!</v>
      </c>
      <c r="ER166" t="e">
        <f>AND(Bills!M674,"AAAAAH2XP5M=")</f>
        <v>#VALUE!</v>
      </c>
      <c r="ES166" t="e">
        <f>AND(Bills!N674,"AAAAAH2XP5Q=")</f>
        <v>#VALUE!</v>
      </c>
      <c r="ET166" t="e">
        <f>AND(Bills!O674,"AAAAAH2XP5U=")</f>
        <v>#VALUE!</v>
      </c>
      <c r="EU166" t="e">
        <f>AND(Bills!P674,"AAAAAH2XP5Y=")</f>
        <v>#VALUE!</v>
      </c>
      <c r="EV166" t="e">
        <f>AND(Bills!Q674,"AAAAAH2XP5c=")</f>
        <v>#VALUE!</v>
      </c>
      <c r="EW166" t="e">
        <f>AND(Bills!R674,"AAAAAH2XP5g=")</f>
        <v>#VALUE!</v>
      </c>
      <c r="EX166" t="e">
        <f>AND(Bills!S674,"AAAAAH2XP5k=")</f>
        <v>#VALUE!</v>
      </c>
      <c r="EY166" t="e">
        <f>AND(Bills!T674,"AAAAAH2XP5o=")</f>
        <v>#VALUE!</v>
      </c>
      <c r="EZ166" t="e">
        <f>AND(Bills!#REF!,"AAAAAH2XP5s=")</f>
        <v>#REF!</v>
      </c>
      <c r="FA166" t="e">
        <f>AND(Bills!U674,"AAAAAH2XP5w=")</f>
        <v>#VALUE!</v>
      </c>
      <c r="FB166" t="e">
        <f>AND(Bills!V674,"AAAAAH2XP50=")</f>
        <v>#VALUE!</v>
      </c>
      <c r="FC166" t="e">
        <f>AND(Bills!W674,"AAAAAH2XP54=")</f>
        <v>#VALUE!</v>
      </c>
      <c r="FD166" t="e">
        <f>AND(Bills!#REF!,"AAAAAH2XP58=")</f>
        <v>#REF!</v>
      </c>
      <c r="FE166" t="e">
        <f>AND(Bills!#REF!,"AAAAAH2XP6A=")</f>
        <v>#REF!</v>
      </c>
      <c r="FF166" t="e">
        <f>AND(Bills!Y674,"AAAAAH2XP6E=")</f>
        <v>#VALUE!</v>
      </c>
      <c r="FG166" t="e">
        <f>AND(Bills!Z674,"AAAAAH2XP6I=")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AND(Bills!AA674,"AAAAAH2XP6w=")</f>
        <v>#VALUE!</v>
      </c>
      <c r="FR166" t="e">
        <f>AND(Bills!AB674,"AAAAAH2XP60=")</f>
        <v>#VALUE!</v>
      </c>
      <c r="FS166" t="e">
        <f>AND(Bills!#REF!,"AAAAAH2XP64=")</f>
        <v>#REF!</v>
      </c>
      <c r="FT166" t="e">
        <f>AND(Bills!#REF!,"AAAAAH2XP68=")</f>
        <v>#REF!</v>
      </c>
      <c r="FU166" t="e">
        <f>AND(Bills!#REF!,"AAAAAH2XP7A=")</f>
        <v>#REF!</v>
      </c>
      <c r="FV166" t="e">
        <f>AND(Bills!AC674,"AAAAAH2XP7E=")</f>
        <v>#VALUE!</v>
      </c>
      <c r="FW166" t="e">
        <f>AND(Bills!AD674,"AAAAAH2XP7I=")</f>
        <v>#VALUE!</v>
      </c>
      <c r="FX166" t="e">
        <f>AND(Bills!#REF!,"AAAAAH2XP7M=")</f>
        <v>#REF!</v>
      </c>
      <c r="FY166">
        <f>IF(Bills!675:675,"AAAAAH2XP7Q=",0)</f>
        <v>0</v>
      </c>
      <c r="FZ166" t="e">
        <f>AND(Bills!B675,"AAAAAH2XP7U=")</f>
        <v>#VALUE!</v>
      </c>
      <c r="GA166" t="e">
        <f>AND(Bills!#REF!,"AAAAAH2XP7Y=")</f>
        <v>#REF!</v>
      </c>
      <c r="GB166" t="e">
        <f>AND(Bills!C675,"AAAAAH2XP7c=")</f>
        <v>#VALUE!</v>
      </c>
      <c r="GC166" t="e">
        <f>AND(Bills!D675,"AAAAAH2XP7g=")</f>
        <v>#VALUE!</v>
      </c>
      <c r="GD166" t="e">
        <f>AND(Bills!E675,"AAAAAH2XP7k=")</f>
        <v>#VALUE!</v>
      </c>
      <c r="GE166" t="e">
        <f>AND(Bills!#REF!,"AAAAAH2XP7o=")</f>
        <v>#REF!</v>
      </c>
      <c r="GF166" t="e">
        <f>AND(Bills!#REF!,"AAAAAH2XP7s=")</f>
        <v>#REF!</v>
      </c>
      <c r="GG166" t="e">
        <f>AND(Bills!#REF!,"AAAAAH2XP7w=")</f>
        <v>#REF!</v>
      </c>
      <c r="GH166" t="e">
        <f>AND(Bills!F675,"AAAAAH2XP70=")</f>
        <v>#VALUE!</v>
      </c>
      <c r="GI166" t="e">
        <f>AND(Bills!#REF!,"AAAAAH2XP74=")</f>
        <v>#REF!</v>
      </c>
      <c r="GJ166" t="e">
        <f>AND(Bills!G675,"AAAAAH2XP78=")</f>
        <v>#VALUE!</v>
      </c>
      <c r="GK166" t="e">
        <f>AND(Bills!H675,"AAAAAH2XP8A=")</f>
        <v>#VALUE!</v>
      </c>
      <c r="GL166" t="e">
        <f>AND(Bills!I675,"AAAAAH2XP8E=")</f>
        <v>#VALUE!</v>
      </c>
      <c r="GM166" t="e">
        <f>AND(Bills!J675,"AAAAAH2XP8I=")</f>
        <v>#VALUE!</v>
      </c>
      <c r="GN166" t="e">
        <f>AND(Bills!K675,"AAAAAH2XP8M=")</f>
        <v>#VALUE!</v>
      </c>
      <c r="GO166" t="e">
        <f>AND(Bills!L675,"AAAAAH2XP8Q=")</f>
        <v>#VALUE!</v>
      </c>
      <c r="GP166" t="e">
        <f>AND(Bills!#REF!,"AAAAAH2XP8U=")</f>
        <v>#REF!</v>
      </c>
      <c r="GQ166" t="e">
        <f>AND(Bills!M675,"AAAAAH2XP8Y=")</f>
        <v>#VALUE!</v>
      </c>
      <c r="GR166" t="e">
        <f>AND(Bills!N675,"AAAAAH2XP8c=")</f>
        <v>#VALUE!</v>
      </c>
      <c r="GS166" t="e">
        <f>AND(Bills!O675,"AAAAAH2XP8g=")</f>
        <v>#VALUE!</v>
      </c>
      <c r="GT166" t="e">
        <f>AND(Bills!P675,"AAAAAH2XP8k=")</f>
        <v>#VALUE!</v>
      </c>
      <c r="GU166" t="e">
        <f>AND(Bills!Q675,"AAAAAH2XP8o=")</f>
        <v>#VALUE!</v>
      </c>
      <c r="GV166" t="e">
        <f>AND(Bills!R675,"AAAAAH2XP8s=")</f>
        <v>#VALUE!</v>
      </c>
      <c r="GW166" t="e">
        <f>AND(Bills!S675,"AAAAAH2XP8w=")</f>
        <v>#VALUE!</v>
      </c>
      <c r="GX166" t="e">
        <f>AND(Bills!T675,"AAAAAH2XP80=")</f>
        <v>#VALUE!</v>
      </c>
      <c r="GY166" t="e">
        <f>AND(Bills!#REF!,"AAAAAH2XP84=")</f>
        <v>#REF!</v>
      </c>
      <c r="GZ166" t="e">
        <f>AND(Bills!U675,"AAAAAH2XP88=")</f>
        <v>#VALUE!</v>
      </c>
      <c r="HA166" t="e">
        <f>AND(Bills!V675,"AAAAAH2XP9A=")</f>
        <v>#VALUE!</v>
      </c>
      <c r="HB166" t="e">
        <f>AND(Bills!W675,"AAAAAH2XP9E=")</f>
        <v>#VALUE!</v>
      </c>
      <c r="HC166" t="e">
        <f>AND(Bills!#REF!,"AAAAAH2XP9I=")</f>
        <v>#REF!</v>
      </c>
      <c r="HD166" t="e">
        <f>AND(Bills!#REF!,"AAAAAH2XP9M=")</f>
        <v>#REF!</v>
      </c>
      <c r="HE166" t="e">
        <f>AND(Bills!Y675,"AAAAAH2XP9Q=")</f>
        <v>#VALUE!</v>
      </c>
      <c r="HF166" t="e">
        <f>AND(Bills!Z675,"AAAAAH2XP9U=")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AND(Bills!AA675,"AAAAAH2XP98=")</f>
        <v>#VALUE!</v>
      </c>
      <c r="HQ166" t="e">
        <f>AND(Bills!AB675,"AAAAAH2XP+A=")</f>
        <v>#VALUE!</v>
      </c>
      <c r="HR166" t="e">
        <f>AND(Bills!#REF!,"AAAAAH2XP+E=")</f>
        <v>#REF!</v>
      </c>
      <c r="HS166" t="e">
        <f>AND(Bills!#REF!,"AAAAAH2XP+I=")</f>
        <v>#REF!</v>
      </c>
      <c r="HT166" t="e">
        <f>AND(Bills!#REF!,"AAAAAH2XP+M=")</f>
        <v>#REF!</v>
      </c>
      <c r="HU166" t="e">
        <f>AND(Bills!AC675,"AAAAAH2XP+Q=")</f>
        <v>#VALUE!</v>
      </c>
      <c r="HV166" t="e">
        <f>AND(Bills!AD675,"AAAAAH2XP+U=")</f>
        <v>#VALUE!</v>
      </c>
      <c r="HW166" t="e">
        <f>AND(Bills!#REF!,"AAAAAH2XP+Y=")</f>
        <v>#REF!</v>
      </c>
      <c r="HX166">
        <f>IF(Bills!676:676,"AAAAAH2XP+c=",0)</f>
        <v>0</v>
      </c>
      <c r="HY166" t="e">
        <f>AND(Bills!B676,"AAAAAH2XP+g=")</f>
        <v>#VALUE!</v>
      </c>
      <c r="HZ166" t="e">
        <f>AND(Bills!#REF!,"AAAAAH2XP+k=")</f>
        <v>#REF!</v>
      </c>
      <c r="IA166" t="e">
        <f>AND(Bills!C676,"AAAAAH2XP+o=")</f>
        <v>#VALUE!</v>
      </c>
      <c r="IB166" t="e">
        <f>AND(Bills!D676,"AAAAAH2XP+s=")</f>
        <v>#VALUE!</v>
      </c>
      <c r="IC166" t="e">
        <f>AND(Bills!E676,"AAAAAH2XP+w=")</f>
        <v>#VALUE!</v>
      </c>
      <c r="ID166" t="e">
        <f>AND(Bills!#REF!,"AAAAAH2XP+0=")</f>
        <v>#REF!</v>
      </c>
      <c r="IE166" t="e">
        <f>AND(Bills!#REF!,"AAAAAH2XP+4=")</f>
        <v>#REF!</v>
      </c>
      <c r="IF166" t="e">
        <f>AND(Bills!#REF!,"AAAAAH2XP+8=")</f>
        <v>#REF!</v>
      </c>
      <c r="IG166" t="e">
        <f>AND(Bills!F676,"AAAAAH2XP/A=")</f>
        <v>#VALUE!</v>
      </c>
      <c r="IH166" t="e">
        <f>AND(Bills!#REF!,"AAAAAH2XP/E=")</f>
        <v>#REF!</v>
      </c>
      <c r="II166" t="e">
        <f>AND(Bills!G676,"AAAAAH2XP/I=")</f>
        <v>#VALUE!</v>
      </c>
      <c r="IJ166" t="e">
        <f>AND(Bills!H676,"AAAAAH2XP/M=")</f>
        <v>#VALUE!</v>
      </c>
      <c r="IK166" t="e">
        <f>AND(Bills!I676,"AAAAAH2XP/Q=")</f>
        <v>#VALUE!</v>
      </c>
      <c r="IL166" t="e">
        <f>AND(Bills!J676,"AAAAAH2XP/U=")</f>
        <v>#VALUE!</v>
      </c>
      <c r="IM166" t="e">
        <f>AND(Bills!K676,"AAAAAH2XP/Y=")</f>
        <v>#VALUE!</v>
      </c>
      <c r="IN166" t="e">
        <f>AND(Bills!L676,"AAAAAH2XP/c=")</f>
        <v>#VALUE!</v>
      </c>
      <c r="IO166" t="e">
        <f>AND(Bills!#REF!,"AAAAAH2XP/g=")</f>
        <v>#REF!</v>
      </c>
      <c r="IP166" t="e">
        <f>AND(Bills!M676,"AAAAAH2XP/k=")</f>
        <v>#VALUE!</v>
      </c>
      <c r="IQ166" t="e">
        <f>AND(Bills!N676,"AAAAAH2XP/o=")</f>
        <v>#VALUE!</v>
      </c>
      <c r="IR166" t="e">
        <f>AND(Bills!O676,"AAAAAH2XP/s=")</f>
        <v>#VALUE!</v>
      </c>
      <c r="IS166" t="e">
        <f>AND(Bills!P676,"AAAAAH2XP/w=")</f>
        <v>#VALUE!</v>
      </c>
      <c r="IT166" t="e">
        <f>AND(Bills!Q676,"AAAAAH2XP/0=")</f>
        <v>#VALUE!</v>
      </c>
      <c r="IU166" t="e">
        <f>AND(Bills!R676,"AAAAAH2XP/4=")</f>
        <v>#VALUE!</v>
      </c>
      <c r="IV166" t="e">
        <f>AND(Bills!S676,"AAAAAH2XP/8=")</f>
        <v>#VALUE!</v>
      </c>
    </row>
    <row r="167" spans="1:256">
      <c r="A167" t="e">
        <f>AND(Bills!T676,"AAAAAH/egwA=")</f>
        <v>#VALUE!</v>
      </c>
      <c r="B167" t="e">
        <f>AND(Bills!#REF!,"AAAAAH/egwE=")</f>
        <v>#REF!</v>
      </c>
      <c r="C167" t="e">
        <f>AND(Bills!U676,"AAAAAH/egwI=")</f>
        <v>#VALUE!</v>
      </c>
      <c r="D167" t="e">
        <f>AND(Bills!V676,"AAAAAH/egwM=")</f>
        <v>#VALUE!</v>
      </c>
      <c r="E167" t="e">
        <f>AND(Bills!W676,"AAAAAH/egwQ=")</f>
        <v>#VALUE!</v>
      </c>
      <c r="F167" t="e">
        <f>AND(Bills!#REF!,"AAAAAH/egwU=")</f>
        <v>#REF!</v>
      </c>
      <c r="G167" t="e">
        <f>AND(Bills!#REF!,"AAAAAH/egwY=")</f>
        <v>#REF!</v>
      </c>
      <c r="H167" t="e">
        <f>AND(Bills!Y676,"AAAAAH/egwc=")</f>
        <v>#VALUE!</v>
      </c>
      <c r="I167" t="e">
        <f>AND(Bills!Z676,"AAAAAH/egwg=")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AND(Bills!AA676,"AAAAAH/egxI=")</f>
        <v>#VALUE!</v>
      </c>
      <c r="T167" t="e">
        <f>AND(Bills!AB676,"AAAAAH/egxM=")</f>
        <v>#VALUE!</v>
      </c>
      <c r="U167" t="e">
        <f>AND(Bills!#REF!,"AAAAAH/egxQ=")</f>
        <v>#REF!</v>
      </c>
      <c r="V167" t="e">
        <f>AND(Bills!#REF!,"AAAAAH/egxU=")</f>
        <v>#REF!</v>
      </c>
      <c r="W167" t="e">
        <f>AND(Bills!#REF!,"AAAAAH/egxY=")</f>
        <v>#REF!</v>
      </c>
      <c r="X167" t="e">
        <f>AND(Bills!AC676,"AAAAAH/egxc=")</f>
        <v>#VALUE!</v>
      </c>
      <c r="Y167" t="e">
        <f>AND(Bills!AD676,"AAAAAH/egxg=")</f>
        <v>#VALUE!</v>
      </c>
      <c r="Z167" t="e">
        <f>AND(Bills!#REF!,"AAAAAH/egxk=")</f>
        <v>#REF!</v>
      </c>
      <c r="AA167">
        <f>IF(Bills!677:677,"AAAAAH/egxo=",0)</f>
        <v>0</v>
      </c>
      <c r="AB167" t="e">
        <f>AND(Bills!B677,"AAAAAH/egxs=")</f>
        <v>#VALUE!</v>
      </c>
      <c r="AC167" t="e">
        <f>AND(Bills!#REF!,"AAAAAH/egxw=")</f>
        <v>#REF!</v>
      </c>
      <c r="AD167" t="e">
        <f>AND(Bills!C677,"AAAAAH/egx0=")</f>
        <v>#VALUE!</v>
      </c>
      <c r="AE167" t="e">
        <f>AND(Bills!D677,"AAAAAH/egx4=")</f>
        <v>#VALUE!</v>
      </c>
      <c r="AF167" t="e">
        <f>AND(Bills!E677,"AAAAAH/egx8=")</f>
        <v>#VALUE!</v>
      </c>
      <c r="AG167" t="e">
        <f>AND(Bills!#REF!,"AAAAAH/egyA=")</f>
        <v>#REF!</v>
      </c>
      <c r="AH167" t="e">
        <f>AND(Bills!#REF!,"AAAAAH/egyE=")</f>
        <v>#REF!</v>
      </c>
      <c r="AI167" t="e">
        <f>AND(Bills!#REF!,"AAAAAH/egyI=")</f>
        <v>#REF!</v>
      </c>
      <c r="AJ167" t="e">
        <f>AND(Bills!F677,"AAAAAH/egyM=")</f>
        <v>#VALUE!</v>
      </c>
      <c r="AK167" t="e">
        <f>AND(Bills!#REF!,"AAAAAH/egyQ=")</f>
        <v>#REF!</v>
      </c>
      <c r="AL167" t="e">
        <f>AND(Bills!G677,"AAAAAH/egyU=")</f>
        <v>#VALUE!</v>
      </c>
      <c r="AM167" t="e">
        <f>AND(Bills!H677,"AAAAAH/egyY=")</f>
        <v>#VALUE!</v>
      </c>
      <c r="AN167" t="e">
        <f>AND(Bills!I677,"AAAAAH/egyc=")</f>
        <v>#VALUE!</v>
      </c>
      <c r="AO167" t="e">
        <f>AND(Bills!J677,"AAAAAH/egyg=")</f>
        <v>#VALUE!</v>
      </c>
      <c r="AP167" t="e">
        <f>AND(Bills!K677,"AAAAAH/egyk=")</f>
        <v>#VALUE!</v>
      </c>
      <c r="AQ167" t="e">
        <f>AND(Bills!L677,"AAAAAH/egyo=")</f>
        <v>#VALUE!</v>
      </c>
      <c r="AR167" t="e">
        <f>AND(Bills!#REF!,"AAAAAH/egys=")</f>
        <v>#REF!</v>
      </c>
      <c r="AS167" t="e">
        <f>AND(Bills!M677,"AAAAAH/egyw=")</f>
        <v>#VALUE!</v>
      </c>
      <c r="AT167" t="e">
        <f>AND(Bills!N677,"AAAAAH/egy0=")</f>
        <v>#VALUE!</v>
      </c>
      <c r="AU167" t="e">
        <f>AND(Bills!O677,"AAAAAH/egy4=")</f>
        <v>#VALUE!</v>
      </c>
      <c r="AV167" t="e">
        <f>AND(Bills!P677,"AAAAAH/egy8=")</f>
        <v>#VALUE!</v>
      </c>
      <c r="AW167" t="e">
        <f>AND(Bills!Q677,"AAAAAH/egzA=")</f>
        <v>#VALUE!</v>
      </c>
      <c r="AX167" t="e">
        <f>AND(Bills!R677,"AAAAAH/egzE=")</f>
        <v>#VALUE!</v>
      </c>
      <c r="AY167" t="e">
        <f>AND(Bills!S677,"AAAAAH/egzI=")</f>
        <v>#VALUE!</v>
      </c>
      <c r="AZ167" t="e">
        <f>AND(Bills!T677,"AAAAAH/egzM=")</f>
        <v>#VALUE!</v>
      </c>
      <c r="BA167" t="e">
        <f>AND(Bills!#REF!,"AAAAAH/egzQ=")</f>
        <v>#REF!</v>
      </c>
      <c r="BB167" t="e">
        <f>AND(Bills!U677,"AAAAAH/egzU=")</f>
        <v>#VALUE!</v>
      </c>
      <c r="BC167" t="e">
        <f>AND(Bills!V677,"AAAAAH/egzY=")</f>
        <v>#VALUE!</v>
      </c>
      <c r="BD167" t="e">
        <f>AND(Bills!W677,"AAAAAH/egzc=")</f>
        <v>#VALUE!</v>
      </c>
      <c r="BE167" t="e">
        <f>AND(Bills!#REF!,"AAAAAH/egzg=")</f>
        <v>#REF!</v>
      </c>
      <c r="BF167" t="e">
        <f>AND(Bills!#REF!,"AAAAAH/egzk=")</f>
        <v>#REF!</v>
      </c>
      <c r="BG167" t="e">
        <f>AND(Bills!Y677,"AAAAAH/egzo=")</f>
        <v>#VALUE!</v>
      </c>
      <c r="BH167" t="e">
        <f>AND(Bills!Z677,"AAAAAH/egzs=")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AND(Bills!AA677,"AAAAAH/eg0U=")</f>
        <v>#VALUE!</v>
      </c>
      <c r="BS167" t="e">
        <f>AND(Bills!AB677,"AAAAAH/eg0Y=")</f>
        <v>#VALUE!</v>
      </c>
      <c r="BT167" t="e">
        <f>AND(Bills!#REF!,"AAAAAH/eg0c=")</f>
        <v>#REF!</v>
      </c>
      <c r="BU167" t="e">
        <f>AND(Bills!#REF!,"AAAAAH/eg0g=")</f>
        <v>#REF!</v>
      </c>
      <c r="BV167" t="e">
        <f>AND(Bills!#REF!,"AAAAAH/eg0k=")</f>
        <v>#REF!</v>
      </c>
      <c r="BW167" t="e">
        <f>AND(Bills!AC677,"AAAAAH/eg0o=")</f>
        <v>#VALUE!</v>
      </c>
      <c r="BX167" t="e">
        <f>AND(Bills!AD677,"AAAAAH/eg0s=")</f>
        <v>#VALUE!</v>
      </c>
      <c r="BY167" t="e">
        <f>AND(Bills!#REF!,"AAAAAH/eg0w=")</f>
        <v>#REF!</v>
      </c>
      <c r="BZ167">
        <f>IF(Bills!678:678,"AAAAAH/eg00=",0)</f>
        <v>0</v>
      </c>
      <c r="CA167" t="e">
        <f>AND(Bills!B678,"AAAAAH/eg04=")</f>
        <v>#VALUE!</v>
      </c>
      <c r="CB167" t="e">
        <f>AND(Bills!#REF!,"AAAAAH/eg08=")</f>
        <v>#REF!</v>
      </c>
      <c r="CC167" t="e">
        <f>AND(Bills!C678,"AAAAAH/eg1A=")</f>
        <v>#VALUE!</v>
      </c>
      <c r="CD167" t="e">
        <f>AND(Bills!D678,"AAAAAH/eg1E=")</f>
        <v>#VALUE!</v>
      </c>
      <c r="CE167" t="e">
        <f>AND(Bills!E678,"AAAAAH/eg1I=")</f>
        <v>#VALUE!</v>
      </c>
      <c r="CF167" t="e">
        <f>AND(Bills!#REF!,"AAAAAH/eg1M=")</f>
        <v>#REF!</v>
      </c>
      <c r="CG167" t="e">
        <f>AND(Bills!#REF!,"AAAAAH/eg1Q=")</f>
        <v>#REF!</v>
      </c>
      <c r="CH167" t="e">
        <f>AND(Bills!#REF!,"AAAAAH/eg1U=")</f>
        <v>#REF!</v>
      </c>
      <c r="CI167" t="e">
        <f>AND(Bills!F678,"AAAAAH/eg1Y=")</f>
        <v>#VALUE!</v>
      </c>
      <c r="CJ167" t="e">
        <f>AND(Bills!#REF!,"AAAAAH/eg1c=")</f>
        <v>#REF!</v>
      </c>
      <c r="CK167" t="e">
        <f>AND(Bills!G678,"AAAAAH/eg1g=")</f>
        <v>#VALUE!</v>
      </c>
      <c r="CL167" t="e">
        <f>AND(Bills!H678,"AAAAAH/eg1k=")</f>
        <v>#VALUE!</v>
      </c>
      <c r="CM167" t="e">
        <f>AND(Bills!I678,"AAAAAH/eg1o=")</f>
        <v>#VALUE!</v>
      </c>
      <c r="CN167" t="e">
        <f>AND(Bills!J678,"AAAAAH/eg1s=")</f>
        <v>#VALUE!</v>
      </c>
      <c r="CO167" t="e">
        <f>AND(Bills!K678,"AAAAAH/eg1w=")</f>
        <v>#VALUE!</v>
      </c>
      <c r="CP167" t="e">
        <f>AND(Bills!L678,"AAAAAH/eg10=")</f>
        <v>#VALUE!</v>
      </c>
      <c r="CQ167" t="e">
        <f>AND(Bills!#REF!,"AAAAAH/eg14=")</f>
        <v>#REF!</v>
      </c>
      <c r="CR167" t="e">
        <f>AND(Bills!M678,"AAAAAH/eg18=")</f>
        <v>#VALUE!</v>
      </c>
      <c r="CS167" t="e">
        <f>AND(Bills!N678,"AAAAAH/eg2A=")</f>
        <v>#VALUE!</v>
      </c>
      <c r="CT167" t="e">
        <f>AND(Bills!O678,"AAAAAH/eg2E=")</f>
        <v>#VALUE!</v>
      </c>
      <c r="CU167" t="e">
        <f>AND(Bills!P678,"AAAAAH/eg2I=")</f>
        <v>#VALUE!</v>
      </c>
      <c r="CV167" t="e">
        <f>AND(Bills!Q678,"AAAAAH/eg2M=")</f>
        <v>#VALUE!</v>
      </c>
      <c r="CW167" t="e">
        <f>AND(Bills!R678,"AAAAAH/eg2Q=")</f>
        <v>#VALUE!</v>
      </c>
      <c r="CX167" t="e">
        <f>AND(Bills!S678,"AAAAAH/eg2U=")</f>
        <v>#VALUE!</v>
      </c>
      <c r="CY167" t="e">
        <f>AND(Bills!T678,"AAAAAH/eg2Y=")</f>
        <v>#VALUE!</v>
      </c>
      <c r="CZ167" t="e">
        <f>AND(Bills!#REF!,"AAAAAH/eg2c=")</f>
        <v>#REF!</v>
      </c>
      <c r="DA167" t="e">
        <f>AND(Bills!U678,"AAAAAH/eg2g=")</f>
        <v>#VALUE!</v>
      </c>
      <c r="DB167" t="e">
        <f>AND(Bills!V678,"AAAAAH/eg2k=")</f>
        <v>#VALUE!</v>
      </c>
      <c r="DC167" t="e">
        <f>AND(Bills!W678,"AAAAAH/eg2o=")</f>
        <v>#VALUE!</v>
      </c>
      <c r="DD167" t="e">
        <f>AND(Bills!#REF!,"AAAAAH/eg2s=")</f>
        <v>#REF!</v>
      </c>
      <c r="DE167" t="e">
        <f>AND(Bills!#REF!,"AAAAAH/eg2w=")</f>
        <v>#REF!</v>
      </c>
      <c r="DF167" t="e">
        <f>AND(Bills!Y678,"AAAAAH/eg20=")</f>
        <v>#VALUE!</v>
      </c>
      <c r="DG167" t="e">
        <f>AND(Bills!Z678,"AAAAAH/eg24=")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AND(Bills!AA678,"AAAAAH/eg3g=")</f>
        <v>#VALUE!</v>
      </c>
      <c r="DR167" t="e">
        <f>AND(Bills!AB678,"AAAAAH/eg3k=")</f>
        <v>#VALUE!</v>
      </c>
      <c r="DS167" t="e">
        <f>AND(Bills!#REF!,"AAAAAH/eg3o=")</f>
        <v>#REF!</v>
      </c>
      <c r="DT167" t="e">
        <f>AND(Bills!#REF!,"AAAAAH/eg3s=")</f>
        <v>#REF!</v>
      </c>
      <c r="DU167" t="e">
        <f>AND(Bills!#REF!,"AAAAAH/eg3w=")</f>
        <v>#REF!</v>
      </c>
      <c r="DV167" t="e">
        <f>AND(Bills!AC678,"AAAAAH/eg30=")</f>
        <v>#VALUE!</v>
      </c>
      <c r="DW167" t="e">
        <f>AND(Bills!AD678,"AAAAAH/eg34=")</f>
        <v>#VALUE!</v>
      </c>
      <c r="DX167" t="e">
        <f>AND(Bills!#REF!,"AAAAAH/eg38=")</f>
        <v>#REF!</v>
      </c>
      <c r="DY167">
        <f>IF(Bills!679:679,"AAAAAH/eg4A=",0)</f>
        <v>0</v>
      </c>
      <c r="DZ167" t="e">
        <f>AND(Bills!B679,"AAAAAH/eg4E=")</f>
        <v>#VALUE!</v>
      </c>
      <c r="EA167" t="e">
        <f>AND(Bills!#REF!,"AAAAAH/eg4I=")</f>
        <v>#REF!</v>
      </c>
      <c r="EB167" t="e">
        <f>AND(Bills!C679,"AAAAAH/eg4M=")</f>
        <v>#VALUE!</v>
      </c>
      <c r="EC167" t="e">
        <f>AND(Bills!D679,"AAAAAH/eg4Q=")</f>
        <v>#VALUE!</v>
      </c>
      <c r="ED167" t="e">
        <f>AND(Bills!E679,"AAAAAH/eg4U=")</f>
        <v>#VALUE!</v>
      </c>
      <c r="EE167" t="e">
        <f>AND(Bills!#REF!,"AAAAAH/eg4Y=")</f>
        <v>#REF!</v>
      </c>
      <c r="EF167" t="e">
        <f>AND(Bills!#REF!,"AAAAAH/eg4c=")</f>
        <v>#REF!</v>
      </c>
      <c r="EG167" t="e">
        <f>AND(Bills!#REF!,"AAAAAH/eg4g=")</f>
        <v>#REF!</v>
      </c>
      <c r="EH167" t="e">
        <f>AND(Bills!F679,"AAAAAH/eg4k=")</f>
        <v>#VALUE!</v>
      </c>
      <c r="EI167" t="e">
        <f>AND(Bills!#REF!,"AAAAAH/eg4o=")</f>
        <v>#REF!</v>
      </c>
      <c r="EJ167" t="e">
        <f>AND(Bills!G679,"AAAAAH/eg4s=")</f>
        <v>#VALUE!</v>
      </c>
      <c r="EK167" t="e">
        <f>AND(Bills!H679,"AAAAAH/eg4w=")</f>
        <v>#VALUE!</v>
      </c>
      <c r="EL167" t="e">
        <f>AND(Bills!I679,"AAAAAH/eg40=")</f>
        <v>#VALUE!</v>
      </c>
      <c r="EM167" t="e">
        <f>AND(Bills!J679,"AAAAAH/eg44=")</f>
        <v>#VALUE!</v>
      </c>
      <c r="EN167" t="e">
        <f>AND(Bills!K679,"AAAAAH/eg48=")</f>
        <v>#VALUE!</v>
      </c>
      <c r="EO167" t="e">
        <f>AND(Bills!L679,"AAAAAH/eg5A=")</f>
        <v>#VALUE!</v>
      </c>
      <c r="EP167" t="e">
        <f>AND(Bills!#REF!,"AAAAAH/eg5E=")</f>
        <v>#REF!</v>
      </c>
      <c r="EQ167" t="e">
        <f>AND(Bills!M679,"AAAAAH/eg5I=")</f>
        <v>#VALUE!</v>
      </c>
      <c r="ER167" t="e">
        <f>AND(Bills!N679,"AAAAAH/eg5M=")</f>
        <v>#VALUE!</v>
      </c>
      <c r="ES167" t="e">
        <f>AND(Bills!O679,"AAAAAH/eg5Q=")</f>
        <v>#VALUE!</v>
      </c>
      <c r="ET167" t="e">
        <f>AND(Bills!P679,"AAAAAH/eg5U=")</f>
        <v>#VALUE!</v>
      </c>
      <c r="EU167" t="e">
        <f>AND(Bills!Q679,"AAAAAH/eg5Y=")</f>
        <v>#VALUE!</v>
      </c>
      <c r="EV167" t="e">
        <f>AND(Bills!R679,"AAAAAH/eg5c=")</f>
        <v>#VALUE!</v>
      </c>
      <c r="EW167" t="e">
        <f>AND(Bills!S679,"AAAAAH/eg5g=")</f>
        <v>#VALUE!</v>
      </c>
      <c r="EX167" t="e">
        <f>AND(Bills!T679,"AAAAAH/eg5k=")</f>
        <v>#VALUE!</v>
      </c>
      <c r="EY167" t="e">
        <f>AND(Bills!#REF!,"AAAAAH/eg5o=")</f>
        <v>#REF!</v>
      </c>
      <c r="EZ167" t="e">
        <f>AND(Bills!U679,"AAAAAH/eg5s=")</f>
        <v>#VALUE!</v>
      </c>
      <c r="FA167" t="e">
        <f>AND(Bills!V679,"AAAAAH/eg5w=")</f>
        <v>#VALUE!</v>
      </c>
      <c r="FB167" t="e">
        <f>AND(Bills!W679,"AAAAAH/eg50=")</f>
        <v>#VALUE!</v>
      </c>
      <c r="FC167" t="e">
        <f>AND(Bills!#REF!,"AAAAAH/eg54=")</f>
        <v>#REF!</v>
      </c>
      <c r="FD167" t="e">
        <f>AND(Bills!#REF!,"AAAAAH/eg58=")</f>
        <v>#REF!</v>
      </c>
      <c r="FE167" t="e">
        <f>AND(Bills!Y679,"AAAAAH/eg6A=")</f>
        <v>#VALUE!</v>
      </c>
      <c r="FF167" t="e">
        <f>AND(Bills!Z679,"AAAAAH/eg6E=")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AND(Bills!AA679,"AAAAAH/eg6s=")</f>
        <v>#VALUE!</v>
      </c>
      <c r="FQ167" t="e">
        <f>AND(Bills!AB679,"AAAAAH/eg6w=")</f>
        <v>#VALUE!</v>
      </c>
      <c r="FR167" t="e">
        <f>AND(Bills!#REF!,"AAAAAH/eg60=")</f>
        <v>#REF!</v>
      </c>
      <c r="FS167" t="e">
        <f>AND(Bills!#REF!,"AAAAAH/eg64=")</f>
        <v>#REF!</v>
      </c>
      <c r="FT167" t="e">
        <f>AND(Bills!#REF!,"AAAAAH/eg68=")</f>
        <v>#REF!</v>
      </c>
      <c r="FU167" t="e">
        <f>AND(Bills!AC679,"AAAAAH/eg7A=")</f>
        <v>#VALUE!</v>
      </c>
      <c r="FV167" t="e">
        <f>AND(Bills!AD679,"AAAAAH/eg7E=")</f>
        <v>#VALUE!</v>
      </c>
      <c r="FW167" t="e">
        <f>AND(Bills!#REF!,"AAAAAH/eg7I=")</f>
        <v>#REF!</v>
      </c>
      <c r="FX167">
        <f>IF(Bills!680:680,"AAAAAH/eg7M=",0)</f>
        <v>0</v>
      </c>
      <c r="FY167" t="e">
        <f>AND(Bills!B680,"AAAAAH/eg7Q=")</f>
        <v>#VALUE!</v>
      </c>
      <c r="FZ167" t="e">
        <f>AND(Bills!#REF!,"AAAAAH/eg7U=")</f>
        <v>#REF!</v>
      </c>
      <c r="GA167" t="e">
        <f>AND(Bills!C680,"AAAAAH/eg7Y=")</f>
        <v>#VALUE!</v>
      </c>
      <c r="GB167" t="e">
        <f>AND(Bills!D680,"AAAAAH/eg7c=")</f>
        <v>#VALUE!</v>
      </c>
      <c r="GC167" t="e">
        <f>AND(Bills!E680,"AAAAAH/eg7g=")</f>
        <v>#VALUE!</v>
      </c>
      <c r="GD167" t="e">
        <f>AND(Bills!#REF!,"AAAAAH/eg7k=")</f>
        <v>#REF!</v>
      </c>
      <c r="GE167" t="e">
        <f>AND(Bills!#REF!,"AAAAAH/eg7o=")</f>
        <v>#REF!</v>
      </c>
      <c r="GF167" t="e">
        <f>AND(Bills!#REF!,"AAAAAH/eg7s=")</f>
        <v>#REF!</v>
      </c>
      <c r="GG167" t="e">
        <f>AND(Bills!F680,"AAAAAH/eg7w=")</f>
        <v>#VALUE!</v>
      </c>
      <c r="GH167" t="e">
        <f>AND(Bills!#REF!,"AAAAAH/eg70=")</f>
        <v>#REF!</v>
      </c>
      <c r="GI167" t="e">
        <f>AND(Bills!G680,"AAAAAH/eg74=")</f>
        <v>#VALUE!</v>
      </c>
      <c r="GJ167" t="e">
        <f>AND(Bills!H680,"AAAAAH/eg78=")</f>
        <v>#VALUE!</v>
      </c>
      <c r="GK167" t="e">
        <f>AND(Bills!I680,"AAAAAH/eg8A=")</f>
        <v>#VALUE!</v>
      </c>
      <c r="GL167" t="e">
        <f>AND(Bills!J680,"AAAAAH/eg8E=")</f>
        <v>#VALUE!</v>
      </c>
      <c r="GM167" t="e">
        <f>AND(Bills!K680,"AAAAAH/eg8I=")</f>
        <v>#VALUE!</v>
      </c>
      <c r="GN167" t="e">
        <f>AND(Bills!L680,"AAAAAH/eg8M=")</f>
        <v>#VALUE!</v>
      </c>
      <c r="GO167" t="e">
        <f>AND(Bills!#REF!,"AAAAAH/eg8Q=")</f>
        <v>#REF!</v>
      </c>
      <c r="GP167" t="e">
        <f>AND(Bills!M680,"AAAAAH/eg8U=")</f>
        <v>#VALUE!</v>
      </c>
      <c r="GQ167" t="e">
        <f>AND(Bills!N680,"AAAAAH/eg8Y=")</f>
        <v>#VALUE!</v>
      </c>
      <c r="GR167" t="e">
        <f>AND(Bills!O680,"AAAAAH/eg8c=")</f>
        <v>#VALUE!</v>
      </c>
      <c r="GS167" t="e">
        <f>AND(Bills!P680,"AAAAAH/eg8g=")</f>
        <v>#VALUE!</v>
      </c>
      <c r="GT167" t="e">
        <f>AND(Bills!Q680,"AAAAAH/eg8k=")</f>
        <v>#VALUE!</v>
      </c>
      <c r="GU167" t="e">
        <f>AND(Bills!R680,"AAAAAH/eg8o=")</f>
        <v>#VALUE!</v>
      </c>
      <c r="GV167" t="e">
        <f>AND(Bills!S680,"AAAAAH/eg8s=")</f>
        <v>#VALUE!</v>
      </c>
      <c r="GW167" t="e">
        <f>AND(Bills!T680,"AAAAAH/eg8w=")</f>
        <v>#VALUE!</v>
      </c>
      <c r="GX167" t="e">
        <f>AND(Bills!#REF!,"AAAAAH/eg80=")</f>
        <v>#REF!</v>
      </c>
      <c r="GY167" t="e">
        <f>AND(Bills!U680,"AAAAAH/eg84=")</f>
        <v>#VALUE!</v>
      </c>
      <c r="GZ167" t="e">
        <f>AND(Bills!V680,"AAAAAH/eg88=")</f>
        <v>#VALUE!</v>
      </c>
      <c r="HA167" t="e">
        <f>AND(Bills!W680,"AAAAAH/eg9A=")</f>
        <v>#VALUE!</v>
      </c>
      <c r="HB167" t="e">
        <f>AND(Bills!#REF!,"AAAAAH/eg9E=")</f>
        <v>#REF!</v>
      </c>
      <c r="HC167" t="e">
        <f>AND(Bills!#REF!,"AAAAAH/eg9I=")</f>
        <v>#REF!</v>
      </c>
      <c r="HD167" t="e">
        <f>AND(Bills!Y680,"AAAAAH/eg9M=")</f>
        <v>#VALUE!</v>
      </c>
      <c r="HE167" t="e">
        <f>AND(Bills!Z680,"AAAAAH/eg9Q=")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AND(Bills!AA680,"AAAAAH/eg94=")</f>
        <v>#VALUE!</v>
      </c>
      <c r="HP167" t="e">
        <f>AND(Bills!AB680,"AAAAAH/eg98=")</f>
        <v>#VALUE!</v>
      </c>
      <c r="HQ167" t="e">
        <f>AND(Bills!#REF!,"AAAAAH/eg+A=")</f>
        <v>#REF!</v>
      </c>
      <c r="HR167" t="e">
        <f>AND(Bills!#REF!,"AAAAAH/eg+E=")</f>
        <v>#REF!</v>
      </c>
      <c r="HS167" t="e">
        <f>AND(Bills!#REF!,"AAAAAH/eg+I=")</f>
        <v>#REF!</v>
      </c>
      <c r="HT167" t="e">
        <f>AND(Bills!AC680,"AAAAAH/eg+M=")</f>
        <v>#VALUE!</v>
      </c>
      <c r="HU167" t="e">
        <f>AND(Bills!AD680,"AAAAAH/eg+Q=")</f>
        <v>#VALUE!</v>
      </c>
      <c r="HV167" t="e">
        <f>AND(Bills!#REF!,"AAAAAH/eg+U=")</f>
        <v>#REF!</v>
      </c>
      <c r="HW167">
        <f>IF(Bills!681:681,"AAAAAH/eg+Y=",0)</f>
        <v>0</v>
      </c>
      <c r="HX167" t="e">
        <f>AND(Bills!B681,"AAAAAH/eg+c=")</f>
        <v>#VALUE!</v>
      </c>
      <c r="HY167" t="e">
        <f>AND(Bills!#REF!,"AAAAAH/eg+g=")</f>
        <v>#REF!</v>
      </c>
      <c r="HZ167" t="e">
        <f>AND(Bills!C681,"AAAAAH/eg+k=")</f>
        <v>#VALUE!</v>
      </c>
      <c r="IA167" t="e">
        <f>AND(Bills!D681,"AAAAAH/eg+o=")</f>
        <v>#VALUE!</v>
      </c>
      <c r="IB167" t="e">
        <f>AND(Bills!E681,"AAAAAH/eg+s=")</f>
        <v>#VALUE!</v>
      </c>
      <c r="IC167" t="e">
        <f>AND(Bills!#REF!,"AAAAAH/eg+w=")</f>
        <v>#REF!</v>
      </c>
      <c r="ID167" t="e">
        <f>AND(Bills!#REF!,"AAAAAH/eg+0=")</f>
        <v>#REF!</v>
      </c>
      <c r="IE167" t="e">
        <f>AND(Bills!#REF!,"AAAAAH/eg+4=")</f>
        <v>#REF!</v>
      </c>
      <c r="IF167" t="e">
        <f>AND(Bills!F681,"AAAAAH/eg+8=")</f>
        <v>#VALUE!</v>
      </c>
      <c r="IG167" t="e">
        <f>AND(Bills!#REF!,"AAAAAH/eg/A=")</f>
        <v>#REF!</v>
      </c>
      <c r="IH167" t="e">
        <f>AND(Bills!G681,"AAAAAH/eg/E=")</f>
        <v>#VALUE!</v>
      </c>
      <c r="II167" t="e">
        <f>AND(Bills!H681,"AAAAAH/eg/I=")</f>
        <v>#VALUE!</v>
      </c>
      <c r="IJ167" t="e">
        <f>AND(Bills!I681,"AAAAAH/eg/M=")</f>
        <v>#VALUE!</v>
      </c>
      <c r="IK167" t="e">
        <f>AND(Bills!J681,"AAAAAH/eg/Q=")</f>
        <v>#VALUE!</v>
      </c>
      <c r="IL167" t="e">
        <f>AND(Bills!K681,"AAAAAH/eg/U=")</f>
        <v>#VALUE!</v>
      </c>
      <c r="IM167" t="e">
        <f>AND(Bills!L681,"AAAAAH/eg/Y=")</f>
        <v>#VALUE!</v>
      </c>
      <c r="IN167" t="e">
        <f>AND(Bills!#REF!,"AAAAAH/eg/c=")</f>
        <v>#REF!</v>
      </c>
      <c r="IO167" t="e">
        <f>AND(Bills!M681,"AAAAAH/eg/g=")</f>
        <v>#VALUE!</v>
      </c>
      <c r="IP167" t="e">
        <f>AND(Bills!N681,"AAAAAH/eg/k=")</f>
        <v>#VALUE!</v>
      </c>
      <c r="IQ167" t="e">
        <f>AND(Bills!O681,"AAAAAH/eg/o=")</f>
        <v>#VALUE!</v>
      </c>
      <c r="IR167" t="e">
        <f>AND(Bills!P681,"AAAAAH/eg/s=")</f>
        <v>#VALUE!</v>
      </c>
      <c r="IS167" t="e">
        <f>AND(Bills!Q681,"AAAAAH/eg/w=")</f>
        <v>#VALUE!</v>
      </c>
      <c r="IT167" t="e">
        <f>AND(Bills!R681,"AAAAAH/eg/0=")</f>
        <v>#VALUE!</v>
      </c>
      <c r="IU167" t="e">
        <f>AND(Bills!S681,"AAAAAH/eg/4=")</f>
        <v>#VALUE!</v>
      </c>
      <c r="IV167" t="e">
        <f>AND(Bills!T681,"AAAAAH/eg/8=")</f>
        <v>#VALUE!</v>
      </c>
    </row>
    <row r="168" spans="1:256">
      <c r="A168" t="e">
        <f>AND(Bills!#REF!,"AAAAAA3v3wA=")</f>
        <v>#REF!</v>
      </c>
      <c r="B168" t="e">
        <f>AND(Bills!U681,"AAAAAA3v3wE=")</f>
        <v>#VALUE!</v>
      </c>
      <c r="C168" t="e">
        <f>AND(Bills!V681,"AAAAAA3v3wI=")</f>
        <v>#VALUE!</v>
      </c>
      <c r="D168" t="e">
        <f>AND(Bills!W681,"AAAAAA3v3wM=")</f>
        <v>#VALUE!</v>
      </c>
      <c r="E168" t="e">
        <f>AND(Bills!#REF!,"AAAAAA3v3wQ=")</f>
        <v>#REF!</v>
      </c>
      <c r="F168" t="e">
        <f>AND(Bills!#REF!,"AAAAAA3v3wU=")</f>
        <v>#REF!</v>
      </c>
      <c r="G168" t="e">
        <f>AND(Bills!Y681,"AAAAAA3v3wY=")</f>
        <v>#VALUE!</v>
      </c>
      <c r="H168" t="e">
        <f>AND(Bills!Z681,"AAAAAA3v3wc=")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AND(Bills!AA681,"AAAAAA3v3xE=")</f>
        <v>#VALUE!</v>
      </c>
      <c r="S168" t="e">
        <f>AND(Bills!AB681,"AAAAAA3v3xI=")</f>
        <v>#VALUE!</v>
      </c>
      <c r="T168" t="e">
        <f>AND(Bills!#REF!,"AAAAAA3v3xM=")</f>
        <v>#REF!</v>
      </c>
      <c r="U168" t="e">
        <f>AND(Bills!#REF!,"AAAAAA3v3xQ=")</f>
        <v>#REF!</v>
      </c>
      <c r="V168" t="e">
        <f>AND(Bills!#REF!,"AAAAAA3v3xU=")</f>
        <v>#REF!</v>
      </c>
      <c r="W168" t="e">
        <f>AND(Bills!AC681,"AAAAAA3v3xY=")</f>
        <v>#VALUE!</v>
      </c>
      <c r="X168" t="e">
        <f>AND(Bills!AD681,"AAAAAA3v3xc=")</f>
        <v>#VALUE!</v>
      </c>
      <c r="Y168" t="e">
        <f>AND(Bills!#REF!,"AAAAAA3v3xg=")</f>
        <v>#REF!</v>
      </c>
      <c r="Z168">
        <f>IF(Bills!682:682,"AAAAAA3v3xk=",0)</f>
        <v>0</v>
      </c>
      <c r="AA168" t="e">
        <f>AND(Bills!B682,"AAAAAA3v3xo=")</f>
        <v>#VALUE!</v>
      </c>
      <c r="AB168" t="e">
        <f>AND(Bills!#REF!,"AAAAAA3v3xs=")</f>
        <v>#REF!</v>
      </c>
      <c r="AC168" t="e">
        <f>AND(Bills!C682,"AAAAAA3v3xw=")</f>
        <v>#VALUE!</v>
      </c>
      <c r="AD168" t="e">
        <f>AND(Bills!D682,"AAAAAA3v3x0=")</f>
        <v>#VALUE!</v>
      </c>
      <c r="AE168" t="e">
        <f>AND(Bills!E682,"AAAAAA3v3x4=")</f>
        <v>#VALUE!</v>
      </c>
      <c r="AF168" t="e">
        <f>AND(Bills!#REF!,"AAAAAA3v3x8=")</f>
        <v>#REF!</v>
      </c>
      <c r="AG168" t="e">
        <f>AND(Bills!#REF!,"AAAAAA3v3yA=")</f>
        <v>#REF!</v>
      </c>
      <c r="AH168" t="e">
        <f>AND(Bills!#REF!,"AAAAAA3v3yE=")</f>
        <v>#REF!</v>
      </c>
      <c r="AI168" t="e">
        <f>AND(Bills!F682,"AAAAAA3v3yI=")</f>
        <v>#VALUE!</v>
      </c>
      <c r="AJ168" t="e">
        <f>AND(Bills!#REF!,"AAAAAA3v3yM=")</f>
        <v>#REF!</v>
      </c>
      <c r="AK168" t="e">
        <f>AND(Bills!G682,"AAAAAA3v3yQ=")</f>
        <v>#VALUE!</v>
      </c>
      <c r="AL168" t="e">
        <f>AND(Bills!H682,"AAAAAA3v3yU=")</f>
        <v>#VALUE!</v>
      </c>
      <c r="AM168" t="e">
        <f>AND(Bills!I682,"AAAAAA3v3yY=")</f>
        <v>#VALUE!</v>
      </c>
      <c r="AN168" t="e">
        <f>AND(Bills!J682,"AAAAAA3v3yc=")</f>
        <v>#VALUE!</v>
      </c>
      <c r="AO168" t="e">
        <f>AND(Bills!K682,"AAAAAA3v3yg=")</f>
        <v>#VALUE!</v>
      </c>
      <c r="AP168" t="e">
        <f>AND(Bills!L682,"AAAAAA3v3yk=")</f>
        <v>#VALUE!</v>
      </c>
      <c r="AQ168" t="e">
        <f>AND(Bills!#REF!,"AAAAAA3v3yo=")</f>
        <v>#REF!</v>
      </c>
      <c r="AR168" t="e">
        <f>AND(Bills!M682,"AAAAAA3v3ys=")</f>
        <v>#VALUE!</v>
      </c>
      <c r="AS168" t="e">
        <f>AND(Bills!N682,"AAAAAA3v3yw=")</f>
        <v>#VALUE!</v>
      </c>
      <c r="AT168" t="e">
        <f>AND(Bills!O682,"AAAAAA3v3y0=")</f>
        <v>#VALUE!</v>
      </c>
      <c r="AU168" t="e">
        <f>AND(Bills!P682,"AAAAAA3v3y4=")</f>
        <v>#VALUE!</v>
      </c>
      <c r="AV168" t="e">
        <f>AND(Bills!Q682,"AAAAAA3v3y8=")</f>
        <v>#VALUE!</v>
      </c>
      <c r="AW168" t="e">
        <f>AND(Bills!R682,"AAAAAA3v3zA=")</f>
        <v>#VALUE!</v>
      </c>
      <c r="AX168" t="e">
        <f>AND(Bills!S682,"AAAAAA3v3zE=")</f>
        <v>#VALUE!</v>
      </c>
      <c r="AY168" t="e">
        <f>AND(Bills!T682,"AAAAAA3v3zI=")</f>
        <v>#VALUE!</v>
      </c>
      <c r="AZ168" t="e">
        <f>AND(Bills!#REF!,"AAAAAA3v3zM=")</f>
        <v>#REF!</v>
      </c>
      <c r="BA168" t="e">
        <f>AND(Bills!U682,"AAAAAA3v3zQ=")</f>
        <v>#VALUE!</v>
      </c>
      <c r="BB168" t="e">
        <f>AND(Bills!V682,"AAAAAA3v3zU=")</f>
        <v>#VALUE!</v>
      </c>
      <c r="BC168" t="e">
        <f>AND(Bills!W682,"AAAAAA3v3zY=")</f>
        <v>#VALUE!</v>
      </c>
      <c r="BD168" t="e">
        <f>AND(Bills!#REF!,"AAAAAA3v3zc=")</f>
        <v>#REF!</v>
      </c>
      <c r="BE168" t="e">
        <f>AND(Bills!#REF!,"AAAAAA3v3zg=")</f>
        <v>#REF!</v>
      </c>
      <c r="BF168" t="e">
        <f>AND(Bills!Y682,"AAAAAA3v3zk=")</f>
        <v>#VALUE!</v>
      </c>
      <c r="BG168" t="e">
        <f>AND(Bills!Z682,"AAAAAA3v3zo=")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AND(Bills!AA682,"AAAAAA3v30Q=")</f>
        <v>#VALUE!</v>
      </c>
      <c r="BR168" t="e">
        <f>AND(Bills!AB682,"AAAAAA3v30U=")</f>
        <v>#VALUE!</v>
      </c>
      <c r="BS168" t="e">
        <f>AND(Bills!#REF!,"AAAAAA3v30Y=")</f>
        <v>#REF!</v>
      </c>
      <c r="BT168" t="e">
        <f>AND(Bills!#REF!,"AAAAAA3v30c=")</f>
        <v>#REF!</v>
      </c>
      <c r="BU168" t="e">
        <f>AND(Bills!#REF!,"AAAAAA3v30g=")</f>
        <v>#REF!</v>
      </c>
      <c r="BV168" t="e">
        <f>AND(Bills!AC682,"AAAAAA3v30k=")</f>
        <v>#VALUE!</v>
      </c>
      <c r="BW168" t="e">
        <f>AND(Bills!AD682,"AAAAAA3v30o=")</f>
        <v>#VALUE!</v>
      </c>
      <c r="BX168" t="e">
        <f>AND(Bills!#REF!,"AAAAAA3v30s=")</f>
        <v>#REF!</v>
      </c>
      <c r="BY168">
        <f>IF(Bills!683:683,"AAAAAA3v30w=",0)</f>
        <v>0</v>
      </c>
      <c r="BZ168" t="e">
        <f>AND(Bills!B683,"AAAAAA3v300=")</f>
        <v>#VALUE!</v>
      </c>
      <c r="CA168" t="e">
        <f>AND(Bills!#REF!,"AAAAAA3v304=")</f>
        <v>#REF!</v>
      </c>
      <c r="CB168" t="e">
        <f>AND(Bills!C683,"AAAAAA3v308=")</f>
        <v>#VALUE!</v>
      </c>
      <c r="CC168" t="e">
        <f>AND(Bills!D683,"AAAAAA3v31A=")</f>
        <v>#VALUE!</v>
      </c>
      <c r="CD168" t="e">
        <f>AND(Bills!E683,"AAAAAA3v31E=")</f>
        <v>#VALUE!</v>
      </c>
      <c r="CE168" t="e">
        <f>AND(Bills!#REF!,"AAAAAA3v31I=")</f>
        <v>#REF!</v>
      </c>
      <c r="CF168" t="e">
        <f>AND(Bills!#REF!,"AAAAAA3v31M=")</f>
        <v>#REF!</v>
      </c>
      <c r="CG168" t="e">
        <f>AND(Bills!#REF!,"AAAAAA3v31Q=")</f>
        <v>#REF!</v>
      </c>
      <c r="CH168" t="e">
        <f>AND(Bills!F683,"AAAAAA3v31U=")</f>
        <v>#VALUE!</v>
      </c>
      <c r="CI168" t="e">
        <f>AND(Bills!#REF!,"AAAAAA3v31Y=")</f>
        <v>#REF!</v>
      </c>
      <c r="CJ168" t="e">
        <f>AND(Bills!G683,"AAAAAA3v31c=")</f>
        <v>#VALUE!</v>
      </c>
      <c r="CK168" t="e">
        <f>AND(Bills!H683,"AAAAAA3v31g=")</f>
        <v>#VALUE!</v>
      </c>
      <c r="CL168" t="e">
        <f>AND(Bills!I683,"AAAAAA3v31k=")</f>
        <v>#VALUE!</v>
      </c>
      <c r="CM168" t="e">
        <f>AND(Bills!J683,"AAAAAA3v31o=")</f>
        <v>#VALUE!</v>
      </c>
      <c r="CN168" t="e">
        <f>AND(Bills!K683,"AAAAAA3v31s=")</f>
        <v>#VALUE!</v>
      </c>
      <c r="CO168" t="e">
        <f>AND(Bills!L683,"AAAAAA3v31w=")</f>
        <v>#VALUE!</v>
      </c>
      <c r="CP168" t="e">
        <f>AND(Bills!#REF!,"AAAAAA3v310=")</f>
        <v>#REF!</v>
      </c>
      <c r="CQ168" t="e">
        <f>AND(Bills!M683,"AAAAAA3v314=")</f>
        <v>#VALUE!</v>
      </c>
      <c r="CR168" t="e">
        <f>AND(Bills!N683,"AAAAAA3v318=")</f>
        <v>#VALUE!</v>
      </c>
      <c r="CS168" t="e">
        <f>AND(Bills!O683,"AAAAAA3v32A=")</f>
        <v>#VALUE!</v>
      </c>
      <c r="CT168" t="e">
        <f>AND(Bills!P683,"AAAAAA3v32E=")</f>
        <v>#VALUE!</v>
      </c>
      <c r="CU168" t="e">
        <f>AND(Bills!Q683,"AAAAAA3v32I=")</f>
        <v>#VALUE!</v>
      </c>
      <c r="CV168" t="e">
        <f>AND(Bills!R683,"AAAAAA3v32M=")</f>
        <v>#VALUE!</v>
      </c>
      <c r="CW168" t="e">
        <f>AND(Bills!S683,"AAAAAA3v32Q=")</f>
        <v>#VALUE!</v>
      </c>
      <c r="CX168" t="e">
        <f>AND(Bills!T683,"AAAAAA3v32U=")</f>
        <v>#VALUE!</v>
      </c>
      <c r="CY168" t="e">
        <f>AND(Bills!#REF!,"AAAAAA3v32Y=")</f>
        <v>#REF!</v>
      </c>
      <c r="CZ168" t="e">
        <f>AND(Bills!U683,"AAAAAA3v32c=")</f>
        <v>#VALUE!</v>
      </c>
      <c r="DA168" t="e">
        <f>AND(Bills!V683,"AAAAAA3v32g=")</f>
        <v>#VALUE!</v>
      </c>
      <c r="DB168" t="e">
        <f>AND(Bills!W683,"AAAAAA3v32k=")</f>
        <v>#VALUE!</v>
      </c>
      <c r="DC168" t="e">
        <f>AND(Bills!#REF!,"AAAAAA3v32o=")</f>
        <v>#REF!</v>
      </c>
      <c r="DD168" t="e">
        <f>AND(Bills!#REF!,"AAAAAA3v32s=")</f>
        <v>#REF!</v>
      </c>
      <c r="DE168" t="e">
        <f>AND(Bills!Y683,"AAAAAA3v32w=")</f>
        <v>#VALUE!</v>
      </c>
      <c r="DF168" t="e">
        <f>AND(Bills!Z683,"AAAAAA3v320=")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AND(Bills!AA683,"AAAAAA3v33c=")</f>
        <v>#VALUE!</v>
      </c>
      <c r="DQ168" t="e">
        <f>AND(Bills!AB683,"AAAAAA3v33g=")</f>
        <v>#VALUE!</v>
      </c>
      <c r="DR168" t="e">
        <f>AND(Bills!#REF!,"AAAAAA3v33k=")</f>
        <v>#REF!</v>
      </c>
      <c r="DS168" t="e">
        <f>AND(Bills!#REF!,"AAAAAA3v33o=")</f>
        <v>#REF!</v>
      </c>
      <c r="DT168" t="e">
        <f>AND(Bills!#REF!,"AAAAAA3v33s=")</f>
        <v>#REF!</v>
      </c>
      <c r="DU168" t="e">
        <f>AND(Bills!AC683,"AAAAAA3v33w=")</f>
        <v>#VALUE!</v>
      </c>
      <c r="DV168" t="e">
        <f>AND(Bills!AD683,"AAAAAA3v330=")</f>
        <v>#VALUE!</v>
      </c>
      <c r="DW168" t="e">
        <f>AND(Bills!#REF!,"AAAAAA3v334=")</f>
        <v>#REF!</v>
      </c>
      <c r="DX168">
        <f>IF(Bills!684:684,"AAAAAA3v338=",0)</f>
        <v>0</v>
      </c>
      <c r="DY168" t="e">
        <f>AND(Bills!B684,"AAAAAA3v34A=")</f>
        <v>#VALUE!</v>
      </c>
      <c r="DZ168" t="e">
        <f>AND(Bills!#REF!,"AAAAAA3v34E=")</f>
        <v>#REF!</v>
      </c>
      <c r="EA168" t="e">
        <f>AND(Bills!C684,"AAAAAA3v34I=")</f>
        <v>#VALUE!</v>
      </c>
      <c r="EB168" t="e">
        <f>AND(Bills!D684,"AAAAAA3v34M=")</f>
        <v>#VALUE!</v>
      </c>
      <c r="EC168" t="e">
        <f>AND(Bills!E684,"AAAAAA3v34Q=")</f>
        <v>#VALUE!</v>
      </c>
      <c r="ED168" t="e">
        <f>AND(Bills!#REF!,"AAAAAA3v34U=")</f>
        <v>#REF!</v>
      </c>
      <c r="EE168" t="e">
        <f>AND(Bills!#REF!,"AAAAAA3v34Y=")</f>
        <v>#REF!</v>
      </c>
      <c r="EF168" t="e">
        <f>AND(Bills!#REF!,"AAAAAA3v34c=")</f>
        <v>#REF!</v>
      </c>
      <c r="EG168" t="e">
        <f>AND(Bills!F684,"AAAAAA3v34g=")</f>
        <v>#VALUE!</v>
      </c>
      <c r="EH168" t="e">
        <f>AND(Bills!#REF!,"AAAAAA3v34k=")</f>
        <v>#REF!</v>
      </c>
      <c r="EI168" t="e">
        <f>AND(Bills!G684,"AAAAAA3v34o=")</f>
        <v>#VALUE!</v>
      </c>
      <c r="EJ168" t="e">
        <f>AND(Bills!H684,"AAAAAA3v34s=")</f>
        <v>#VALUE!</v>
      </c>
      <c r="EK168" t="e">
        <f>AND(Bills!I684,"AAAAAA3v34w=")</f>
        <v>#VALUE!</v>
      </c>
      <c r="EL168" t="e">
        <f>AND(Bills!J684,"AAAAAA3v340=")</f>
        <v>#VALUE!</v>
      </c>
      <c r="EM168" t="e">
        <f>AND(Bills!K684,"AAAAAA3v344=")</f>
        <v>#VALUE!</v>
      </c>
      <c r="EN168" t="e">
        <f>AND(Bills!L684,"AAAAAA3v348=")</f>
        <v>#VALUE!</v>
      </c>
      <c r="EO168" t="e">
        <f>AND(Bills!#REF!,"AAAAAA3v35A=")</f>
        <v>#REF!</v>
      </c>
      <c r="EP168" t="e">
        <f>AND(Bills!M684,"AAAAAA3v35E=")</f>
        <v>#VALUE!</v>
      </c>
      <c r="EQ168" t="e">
        <f>AND(Bills!N684,"AAAAAA3v35I=")</f>
        <v>#VALUE!</v>
      </c>
      <c r="ER168" t="e">
        <f>AND(Bills!O684,"AAAAAA3v35M=")</f>
        <v>#VALUE!</v>
      </c>
      <c r="ES168" t="e">
        <f>AND(Bills!P684,"AAAAAA3v35Q=")</f>
        <v>#VALUE!</v>
      </c>
      <c r="ET168" t="e">
        <f>AND(Bills!Q684,"AAAAAA3v35U=")</f>
        <v>#VALUE!</v>
      </c>
      <c r="EU168" t="e">
        <f>AND(Bills!R684,"AAAAAA3v35Y=")</f>
        <v>#VALUE!</v>
      </c>
      <c r="EV168" t="e">
        <f>AND(Bills!S684,"AAAAAA3v35c=")</f>
        <v>#VALUE!</v>
      </c>
      <c r="EW168" t="e">
        <f>AND(Bills!T684,"AAAAAA3v35g=")</f>
        <v>#VALUE!</v>
      </c>
      <c r="EX168" t="e">
        <f>AND(Bills!#REF!,"AAAAAA3v35k=")</f>
        <v>#REF!</v>
      </c>
      <c r="EY168" t="e">
        <f>AND(Bills!U684,"AAAAAA3v35o=")</f>
        <v>#VALUE!</v>
      </c>
      <c r="EZ168" t="e">
        <f>AND(Bills!V684,"AAAAAA3v35s=")</f>
        <v>#VALUE!</v>
      </c>
      <c r="FA168" t="e">
        <f>AND(Bills!W684,"AAAAAA3v35w=")</f>
        <v>#VALUE!</v>
      </c>
      <c r="FB168" t="e">
        <f>AND(Bills!#REF!,"AAAAAA3v350=")</f>
        <v>#REF!</v>
      </c>
      <c r="FC168" t="e">
        <f>AND(Bills!#REF!,"AAAAAA3v354=")</f>
        <v>#REF!</v>
      </c>
      <c r="FD168" t="e">
        <f>AND(Bills!Y684,"AAAAAA3v358=")</f>
        <v>#VALUE!</v>
      </c>
      <c r="FE168" t="e">
        <f>AND(Bills!Z684,"AAAAAA3v36A=")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AND(Bills!AA684,"AAAAAA3v36o=")</f>
        <v>#VALUE!</v>
      </c>
      <c r="FP168" t="e">
        <f>AND(Bills!AB684,"AAAAAA3v36s=")</f>
        <v>#VALUE!</v>
      </c>
      <c r="FQ168" t="e">
        <f>AND(Bills!#REF!,"AAAAAA3v36w=")</f>
        <v>#REF!</v>
      </c>
      <c r="FR168" t="e">
        <f>AND(Bills!#REF!,"AAAAAA3v360=")</f>
        <v>#REF!</v>
      </c>
      <c r="FS168" t="e">
        <f>AND(Bills!#REF!,"AAAAAA3v364=")</f>
        <v>#REF!</v>
      </c>
      <c r="FT168" t="e">
        <f>AND(Bills!AC684,"AAAAAA3v368=")</f>
        <v>#VALUE!</v>
      </c>
      <c r="FU168" t="e">
        <f>AND(Bills!AD684,"AAAAAA3v37A=")</f>
        <v>#VALUE!</v>
      </c>
      <c r="FV168" t="e">
        <f>AND(Bills!#REF!,"AAAAAA3v37E=")</f>
        <v>#REF!</v>
      </c>
      <c r="FW168">
        <f>IF(Bills!685:685,"AAAAAA3v37I=",0)</f>
        <v>0</v>
      </c>
      <c r="FX168" t="e">
        <f>AND(Bills!B685,"AAAAAA3v37M=")</f>
        <v>#VALUE!</v>
      </c>
      <c r="FY168" t="e">
        <f>AND(Bills!#REF!,"AAAAAA3v37Q=")</f>
        <v>#REF!</v>
      </c>
      <c r="FZ168" t="e">
        <f>AND(Bills!C685,"AAAAAA3v37U=")</f>
        <v>#VALUE!</v>
      </c>
      <c r="GA168" t="e">
        <f>AND(Bills!D685,"AAAAAA3v37Y=")</f>
        <v>#VALUE!</v>
      </c>
      <c r="GB168" t="e">
        <f>AND(Bills!E685,"AAAAAA3v37c=")</f>
        <v>#VALUE!</v>
      </c>
      <c r="GC168" t="e">
        <f>AND(Bills!#REF!,"AAAAAA3v37g=")</f>
        <v>#REF!</v>
      </c>
      <c r="GD168" t="e">
        <f>AND(Bills!#REF!,"AAAAAA3v37k=")</f>
        <v>#REF!</v>
      </c>
      <c r="GE168" t="e">
        <f>AND(Bills!#REF!,"AAAAAA3v37o=")</f>
        <v>#REF!</v>
      </c>
      <c r="GF168" t="e">
        <f>AND(Bills!F685,"AAAAAA3v37s=")</f>
        <v>#VALUE!</v>
      </c>
      <c r="GG168" t="e">
        <f>AND(Bills!#REF!,"AAAAAA3v37w=")</f>
        <v>#REF!</v>
      </c>
      <c r="GH168" t="e">
        <f>AND(Bills!G685,"AAAAAA3v370=")</f>
        <v>#VALUE!</v>
      </c>
      <c r="GI168" t="e">
        <f>AND(Bills!H685,"AAAAAA3v374=")</f>
        <v>#VALUE!</v>
      </c>
      <c r="GJ168" t="e">
        <f>AND(Bills!I685,"AAAAAA3v378=")</f>
        <v>#VALUE!</v>
      </c>
      <c r="GK168" t="e">
        <f>AND(Bills!J685,"AAAAAA3v38A=")</f>
        <v>#VALUE!</v>
      </c>
      <c r="GL168" t="e">
        <f>AND(Bills!K685,"AAAAAA3v38E=")</f>
        <v>#VALUE!</v>
      </c>
      <c r="GM168" t="e">
        <f>AND(Bills!L685,"AAAAAA3v38I=")</f>
        <v>#VALUE!</v>
      </c>
      <c r="GN168" t="e">
        <f>AND(Bills!#REF!,"AAAAAA3v38M=")</f>
        <v>#REF!</v>
      </c>
      <c r="GO168" t="e">
        <f>AND(Bills!M685,"AAAAAA3v38Q=")</f>
        <v>#VALUE!</v>
      </c>
      <c r="GP168" t="e">
        <f>AND(Bills!N685,"AAAAAA3v38U=")</f>
        <v>#VALUE!</v>
      </c>
      <c r="GQ168" t="e">
        <f>AND(Bills!O685,"AAAAAA3v38Y=")</f>
        <v>#VALUE!</v>
      </c>
      <c r="GR168" t="e">
        <f>AND(Bills!P685,"AAAAAA3v38c=")</f>
        <v>#VALUE!</v>
      </c>
      <c r="GS168" t="e">
        <f>AND(Bills!Q685,"AAAAAA3v38g=")</f>
        <v>#VALUE!</v>
      </c>
      <c r="GT168" t="e">
        <f>AND(Bills!R685,"AAAAAA3v38k=")</f>
        <v>#VALUE!</v>
      </c>
      <c r="GU168" t="e">
        <f>AND(Bills!S685,"AAAAAA3v38o=")</f>
        <v>#VALUE!</v>
      </c>
      <c r="GV168" t="e">
        <f>AND(Bills!T685,"AAAAAA3v38s=")</f>
        <v>#VALUE!</v>
      </c>
      <c r="GW168" t="e">
        <f>AND(Bills!#REF!,"AAAAAA3v38w=")</f>
        <v>#REF!</v>
      </c>
      <c r="GX168" t="e">
        <f>AND(Bills!U685,"AAAAAA3v380=")</f>
        <v>#VALUE!</v>
      </c>
      <c r="GY168" t="e">
        <f>AND(Bills!V685,"AAAAAA3v384=")</f>
        <v>#VALUE!</v>
      </c>
      <c r="GZ168" t="e">
        <f>AND(Bills!W685,"AAAAAA3v388=")</f>
        <v>#VALUE!</v>
      </c>
      <c r="HA168" t="e">
        <f>AND(Bills!#REF!,"AAAAAA3v39A=")</f>
        <v>#REF!</v>
      </c>
      <c r="HB168" t="e">
        <f>AND(Bills!#REF!,"AAAAAA3v39E=")</f>
        <v>#REF!</v>
      </c>
      <c r="HC168" t="e">
        <f>AND(Bills!Y685,"AAAAAA3v39I=")</f>
        <v>#VALUE!</v>
      </c>
      <c r="HD168" t="e">
        <f>AND(Bills!Z685,"AAAAAA3v39M=")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AND(Bills!AA685,"AAAAAA3v390=")</f>
        <v>#VALUE!</v>
      </c>
      <c r="HO168" t="e">
        <f>AND(Bills!AB685,"AAAAAA3v394=")</f>
        <v>#VALUE!</v>
      </c>
      <c r="HP168" t="e">
        <f>AND(Bills!#REF!,"AAAAAA3v398=")</f>
        <v>#REF!</v>
      </c>
      <c r="HQ168" t="e">
        <f>AND(Bills!#REF!,"AAAAAA3v3+A=")</f>
        <v>#REF!</v>
      </c>
      <c r="HR168" t="e">
        <f>AND(Bills!#REF!,"AAAAAA3v3+E=")</f>
        <v>#REF!</v>
      </c>
      <c r="HS168" t="e">
        <f>AND(Bills!AC685,"AAAAAA3v3+I=")</f>
        <v>#VALUE!</v>
      </c>
      <c r="HT168" t="e">
        <f>AND(Bills!AD685,"AAAAAA3v3+M=")</f>
        <v>#VALUE!</v>
      </c>
      <c r="HU168" t="e">
        <f>AND(Bills!#REF!,"AAAAAA3v3+Q=")</f>
        <v>#REF!</v>
      </c>
      <c r="HV168">
        <f>IF(Bills!686:686,"AAAAAA3v3+U=",0)</f>
        <v>0</v>
      </c>
      <c r="HW168" t="e">
        <f>AND(Bills!B686,"AAAAAA3v3+Y=")</f>
        <v>#VALUE!</v>
      </c>
      <c r="HX168" t="e">
        <f>AND(Bills!#REF!,"AAAAAA3v3+c=")</f>
        <v>#REF!</v>
      </c>
      <c r="HY168" t="e">
        <f>AND(Bills!C686,"AAAAAA3v3+g=")</f>
        <v>#VALUE!</v>
      </c>
      <c r="HZ168" t="e">
        <f>AND(Bills!D686,"AAAAAA3v3+k=")</f>
        <v>#VALUE!</v>
      </c>
      <c r="IA168" t="e">
        <f>AND(Bills!E686,"AAAAAA3v3+o=")</f>
        <v>#VALUE!</v>
      </c>
      <c r="IB168" t="e">
        <f>AND(Bills!#REF!,"AAAAAA3v3+s=")</f>
        <v>#REF!</v>
      </c>
      <c r="IC168" t="e">
        <f>AND(Bills!#REF!,"AAAAAA3v3+w=")</f>
        <v>#REF!</v>
      </c>
      <c r="ID168" t="e">
        <f>AND(Bills!#REF!,"AAAAAA3v3+0=")</f>
        <v>#REF!</v>
      </c>
      <c r="IE168" t="e">
        <f>AND(Bills!F686,"AAAAAA3v3+4=")</f>
        <v>#VALUE!</v>
      </c>
      <c r="IF168" t="e">
        <f>AND(Bills!#REF!,"AAAAAA3v3+8=")</f>
        <v>#REF!</v>
      </c>
      <c r="IG168" t="e">
        <f>AND(Bills!G686,"AAAAAA3v3/A=")</f>
        <v>#VALUE!</v>
      </c>
      <c r="IH168" t="e">
        <f>AND(Bills!H686,"AAAAAA3v3/E=")</f>
        <v>#VALUE!</v>
      </c>
      <c r="II168" t="e">
        <f>AND(Bills!I686,"AAAAAA3v3/I=")</f>
        <v>#VALUE!</v>
      </c>
      <c r="IJ168" t="e">
        <f>AND(Bills!J686,"AAAAAA3v3/M=")</f>
        <v>#VALUE!</v>
      </c>
      <c r="IK168" t="e">
        <f>AND(Bills!K686,"AAAAAA3v3/Q=")</f>
        <v>#VALUE!</v>
      </c>
      <c r="IL168" t="e">
        <f>AND(Bills!L686,"AAAAAA3v3/U=")</f>
        <v>#VALUE!</v>
      </c>
      <c r="IM168" t="e">
        <f>AND(Bills!#REF!,"AAAAAA3v3/Y=")</f>
        <v>#REF!</v>
      </c>
      <c r="IN168" t="e">
        <f>AND(Bills!M686,"AAAAAA3v3/c=")</f>
        <v>#VALUE!</v>
      </c>
      <c r="IO168" t="e">
        <f>AND(Bills!N686,"AAAAAA3v3/g=")</f>
        <v>#VALUE!</v>
      </c>
      <c r="IP168" t="e">
        <f>AND(Bills!O686,"AAAAAA3v3/k=")</f>
        <v>#VALUE!</v>
      </c>
      <c r="IQ168" t="e">
        <f>AND(Bills!P686,"AAAAAA3v3/o=")</f>
        <v>#VALUE!</v>
      </c>
      <c r="IR168" t="e">
        <f>AND(Bills!Q686,"AAAAAA3v3/s=")</f>
        <v>#VALUE!</v>
      </c>
      <c r="IS168" t="e">
        <f>AND(Bills!R686,"AAAAAA3v3/w=")</f>
        <v>#VALUE!</v>
      </c>
      <c r="IT168" t="e">
        <f>AND(Bills!S686,"AAAAAA3v3/0=")</f>
        <v>#VALUE!</v>
      </c>
      <c r="IU168" t="e">
        <f>AND(Bills!T686,"AAAAAA3v3/4=")</f>
        <v>#VALUE!</v>
      </c>
      <c r="IV168" t="e">
        <f>AND(Bills!#REF!,"AAAAAA3v3/8=")</f>
        <v>#REF!</v>
      </c>
    </row>
    <row r="169" spans="1:256">
      <c r="A169" t="e">
        <f>AND(Bills!U686,"AAAAAD9uuwA=")</f>
        <v>#VALUE!</v>
      </c>
      <c r="B169" t="e">
        <f>AND(Bills!V686,"AAAAAD9uuwE=")</f>
        <v>#VALUE!</v>
      </c>
      <c r="C169" t="e">
        <f>AND(Bills!W686,"AAAAAD9uuwI=")</f>
        <v>#VALUE!</v>
      </c>
      <c r="D169" t="e">
        <f>AND(Bills!#REF!,"AAAAAD9uuwM=")</f>
        <v>#REF!</v>
      </c>
      <c r="E169" t="e">
        <f>AND(Bills!#REF!,"AAAAAD9uuwQ=")</f>
        <v>#REF!</v>
      </c>
      <c r="F169" t="e">
        <f>AND(Bills!Y686,"AAAAAD9uuwU=")</f>
        <v>#VALUE!</v>
      </c>
      <c r="G169" t="e">
        <f>AND(Bills!Z686,"AAAAAD9uuwY=")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AND(Bills!AA686,"AAAAAD9uuxA=")</f>
        <v>#VALUE!</v>
      </c>
      <c r="R169" t="e">
        <f>AND(Bills!AB686,"AAAAAD9uuxE=")</f>
        <v>#VALUE!</v>
      </c>
      <c r="S169" t="e">
        <f>AND(Bills!#REF!,"AAAAAD9uuxI=")</f>
        <v>#REF!</v>
      </c>
      <c r="T169" t="e">
        <f>AND(Bills!#REF!,"AAAAAD9uuxM=")</f>
        <v>#REF!</v>
      </c>
      <c r="U169" t="e">
        <f>AND(Bills!#REF!,"AAAAAD9uuxQ=")</f>
        <v>#REF!</v>
      </c>
      <c r="V169" t="e">
        <f>AND(Bills!AC686,"AAAAAD9uuxU=")</f>
        <v>#VALUE!</v>
      </c>
      <c r="W169" t="e">
        <f>AND(Bills!AD686,"AAAAAD9uuxY=")</f>
        <v>#VALUE!</v>
      </c>
      <c r="X169" t="e">
        <f>AND(Bills!#REF!,"AAAAAD9uuxc=")</f>
        <v>#REF!</v>
      </c>
      <c r="Y169">
        <f>IF(Bills!687:687,"AAAAAD9uuxg=",0)</f>
        <v>0</v>
      </c>
      <c r="Z169" t="e">
        <f>AND(Bills!B687,"AAAAAD9uuxk=")</f>
        <v>#VALUE!</v>
      </c>
      <c r="AA169" t="e">
        <f>AND(Bills!#REF!,"AAAAAD9uuxo=")</f>
        <v>#REF!</v>
      </c>
      <c r="AB169" t="e">
        <f>AND(Bills!C687,"AAAAAD9uuxs=")</f>
        <v>#VALUE!</v>
      </c>
      <c r="AC169" t="e">
        <f>AND(Bills!D687,"AAAAAD9uuxw=")</f>
        <v>#VALUE!</v>
      </c>
      <c r="AD169" t="e">
        <f>AND(Bills!E687,"AAAAAD9uux0=")</f>
        <v>#VALUE!</v>
      </c>
      <c r="AE169" t="e">
        <f>AND(Bills!#REF!,"AAAAAD9uux4=")</f>
        <v>#REF!</v>
      </c>
      <c r="AF169" t="e">
        <f>AND(Bills!#REF!,"AAAAAD9uux8=")</f>
        <v>#REF!</v>
      </c>
      <c r="AG169" t="e">
        <f>AND(Bills!#REF!,"AAAAAD9uuyA=")</f>
        <v>#REF!</v>
      </c>
      <c r="AH169" t="e">
        <f>AND(Bills!F687,"AAAAAD9uuyE=")</f>
        <v>#VALUE!</v>
      </c>
      <c r="AI169" t="e">
        <f>AND(Bills!#REF!,"AAAAAD9uuyI=")</f>
        <v>#REF!</v>
      </c>
      <c r="AJ169" t="e">
        <f>AND(Bills!G687,"AAAAAD9uuyM=")</f>
        <v>#VALUE!</v>
      </c>
      <c r="AK169" t="e">
        <f>AND(Bills!H687,"AAAAAD9uuyQ=")</f>
        <v>#VALUE!</v>
      </c>
      <c r="AL169" t="e">
        <f>AND(Bills!I687,"AAAAAD9uuyU=")</f>
        <v>#VALUE!</v>
      </c>
      <c r="AM169" t="e">
        <f>AND(Bills!J687,"AAAAAD9uuyY=")</f>
        <v>#VALUE!</v>
      </c>
      <c r="AN169" t="e">
        <f>AND(Bills!K687,"AAAAAD9uuyc=")</f>
        <v>#VALUE!</v>
      </c>
      <c r="AO169" t="e">
        <f>AND(Bills!L687,"AAAAAD9uuyg=")</f>
        <v>#VALUE!</v>
      </c>
      <c r="AP169" t="e">
        <f>AND(Bills!#REF!,"AAAAAD9uuyk=")</f>
        <v>#REF!</v>
      </c>
      <c r="AQ169" t="e">
        <f>AND(Bills!M687,"AAAAAD9uuyo=")</f>
        <v>#VALUE!</v>
      </c>
      <c r="AR169" t="e">
        <f>AND(Bills!N687,"AAAAAD9uuys=")</f>
        <v>#VALUE!</v>
      </c>
      <c r="AS169" t="e">
        <f>AND(Bills!O687,"AAAAAD9uuyw=")</f>
        <v>#VALUE!</v>
      </c>
      <c r="AT169" t="e">
        <f>AND(Bills!P687,"AAAAAD9uuy0=")</f>
        <v>#VALUE!</v>
      </c>
      <c r="AU169" t="e">
        <f>AND(Bills!Q687,"AAAAAD9uuy4=")</f>
        <v>#VALUE!</v>
      </c>
      <c r="AV169" t="e">
        <f>AND(Bills!R687,"AAAAAD9uuy8=")</f>
        <v>#VALUE!</v>
      </c>
      <c r="AW169" t="e">
        <f>AND(Bills!S687,"AAAAAD9uuzA=")</f>
        <v>#VALUE!</v>
      </c>
      <c r="AX169" t="e">
        <f>AND(Bills!T687,"AAAAAD9uuzE=")</f>
        <v>#VALUE!</v>
      </c>
      <c r="AY169" t="e">
        <f>AND(Bills!#REF!,"AAAAAD9uuzI=")</f>
        <v>#REF!</v>
      </c>
      <c r="AZ169" t="e">
        <f>AND(Bills!U687,"AAAAAD9uuzM=")</f>
        <v>#VALUE!</v>
      </c>
      <c r="BA169" t="e">
        <f>AND(Bills!V687,"AAAAAD9uuzQ=")</f>
        <v>#VALUE!</v>
      </c>
      <c r="BB169" t="e">
        <f>AND(Bills!W687,"AAAAAD9uuzU=")</f>
        <v>#VALUE!</v>
      </c>
      <c r="BC169" t="e">
        <f>AND(Bills!#REF!,"AAAAAD9uuzY=")</f>
        <v>#REF!</v>
      </c>
      <c r="BD169" t="e">
        <f>AND(Bills!#REF!,"AAAAAD9uuzc=")</f>
        <v>#REF!</v>
      </c>
      <c r="BE169" t="e">
        <f>AND(Bills!Y687,"AAAAAD9uuzg=")</f>
        <v>#VALUE!</v>
      </c>
      <c r="BF169" t="e">
        <f>AND(Bills!Z687,"AAAAAD9uuzk=")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AND(Bills!AA687,"AAAAAD9uu0M=")</f>
        <v>#VALUE!</v>
      </c>
      <c r="BQ169" t="e">
        <f>AND(Bills!AB687,"AAAAAD9uu0Q=")</f>
        <v>#VALUE!</v>
      </c>
      <c r="BR169" t="e">
        <f>AND(Bills!#REF!,"AAAAAD9uu0U=")</f>
        <v>#REF!</v>
      </c>
      <c r="BS169" t="e">
        <f>AND(Bills!#REF!,"AAAAAD9uu0Y=")</f>
        <v>#REF!</v>
      </c>
      <c r="BT169" t="e">
        <f>AND(Bills!#REF!,"AAAAAD9uu0c=")</f>
        <v>#REF!</v>
      </c>
      <c r="BU169" t="e">
        <f>AND(Bills!AC687,"AAAAAD9uu0g=")</f>
        <v>#VALUE!</v>
      </c>
      <c r="BV169" t="e">
        <f>AND(Bills!AD687,"AAAAAD9uu0k=")</f>
        <v>#VALUE!</v>
      </c>
      <c r="BW169" t="e">
        <f>AND(Bills!#REF!,"AAAAAD9uu0o=")</f>
        <v>#REF!</v>
      </c>
      <c r="BX169">
        <f>IF(Bills!688:688,"AAAAAD9uu0s=",0)</f>
        <v>0</v>
      </c>
      <c r="BY169" t="e">
        <f>AND(Bills!B688,"AAAAAD9uu0w=")</f>
        <v>#VALUE!</v>
      </c>
      <c r="BZ169" t="e">
        <f>AND(Bills!#REF!,"AAAAAD9uu00=")</f>
        <v>#REF!</v>
      </c>
      <c r="CA169" t="e">
        <f>AND(Bills!C688,"AAAAAD9uu04=")</f>
        <v>#VALUE!</v>
      </c>
      <c r="CB169" t="e">
        <f>AND(Bills!D688,"AAAAAD9uu08=")</f>
        <v>#VALUE!</v>
      </c>
      <c r="CC169" t="e">
        <f>AND(Bills!E688,"AAAAAD9uu1A=")</f>
        <v>#VALUE!</v>
      </c>
      <c r="CD169" t="e">
        <f>AND(Bills!#REF!,"AAAAAD9uu1E=")</f>
        <v>#REF!</v>
      </c>
      <c r="CE169" t="e">
        <f>AND(Bills!#REF!,"AAAAAD9uu1I=")</f>
        <v>#REF!</v>
      </c>
      <c r="CF169" t="e">
        <f>AND(Bills!#REF!,"AAAAAD9uu1M=")</f>
        <v>#REF!</v>
      </c>
      <c r="CG169" t="e">
        <f>AND(Bills!F688,"AAAAAD9uu1Q=")</f>
        <v>#VALUE!</v>
      </c>
      <c r="CH169" t="e">
        <f>AND(Bills!#REF!,"AAAAAD9uu1U=")</f>
        <v>#REF!</v>
      </c>
      <c r="CI169" t="e">
        <f>AND(Bills!G688,"AAAAAD9uu1Y=")</f>
        <v>#VALUE!</v>
      </c>
      <c r="CJ169" t="e">
        <f>AND(Bills!H688,"AAAAAD9uu1c=")</f>
        <v>#VALUE!</v>
      </c>
      <c r="CK169" t="e">
        <f>AND(Bills!I688,"AAAAAD9uu1g=")</f>
        <v>#VALUE!</v>
      </c>
      <c r="CL169" t="e">
        <f>AND(Bills!J688,"AAAAAD9uu1k=")</f>
        <v>#VALUE!</v>
      </c>
      <c r="CM169" t="e">
        <f>AND(Bills!K688,"AAAAAD9uu1o=")</f>
        <v>#VALUE!</v>
      </c>
      <c r="CN169" t="e">
        <f>AND(Bills!L688,"AAAAAD9uu1s=")</f>
        <v>#VALUE!</v>
      </c>
      <c r="CO169" t="e">
        <f>AND(Bills!#REF!,"AAAAAD9uu1w=")</f>
        <v>#REF!</v>
      </c>
      <c r="CP169" t="e">
        <f>AND(Bills!M688,"AAAAAD9uu10=")</f>
        <v>#VALUE!</v>
      </c>
      <c r="CQ169" t="e">
        <f>AND(Bills!N688,"AAAAAD9uu14=")</f>
        <v>#VALUE!</v>
      </c>
      <c r="CR169" t="e">
        <f>AND(Bills!O688,"AAAAAD9uu18=")</f>
        <v>#VALUE!</v>
      </c>
      <c r="CS169" t="e">
        <f>AND(Bills!P688,"AAAAAD9uu2A=")</f>
        <v>#VALUE!</v>
      </c>
      <c r="CT169" t="e">
        <f>AND(Bills!Q688,"AAAAAD9uu2E=")</f>
        <v>#VALUE!</v>
      </c>
      <c r="CU169" t="e">
        <f>AND(Bills!R688,"AAAAAD9uu2I=")</f>
        <v>#VALUE!</v>
      </c>
      <c r="CV169" t="e">
        <f>AND(Bills!S688,"AAAAAD9uu2M=")</f>
        <v>#VALUE!</v>
      </c>
      <c r="CW169" t="e">
        <f>AND(Bills!T688,"AAAAAD9uu2Q=")</f>
        <v>#VALUE!</v>
      </c>
      <c r="CX169" t="e">
        <f>AND(Bills!#REF!,"AAAAAD9uu2U=")</f>
        <v>#REF!</v>
      </c>
      <c r="CY169" t="e">
        <f>AND(Bills!U688,"AAAAAD9uu2Y=")</f>
        <v>#VALUE!</v>
      </c>
      <c r="CZ169" t="e">
        <f>AND(Bills!V688,"AAAAAD9uu2c=")</f>
        <v>#VALUE!</v>
      </c>
      <c r="DA169" t="e">
        <f>AND(Bills!W688,"AAAAAD9uu2g=")</f>
        <v>#VALUE!</v>
      </c>
      <c r="DB169" t="e">
        <f>AND(Bills!#REF!,"AAAAAD9uu2k=")</f>
        <v>#REF!</v>
      </c>
      <c r="DC169" t="e">
        <f>AND(Bills!#REF!,"AAAAAD9uu2o=")</f>
        <v>#REF!</v>
      </c>
      <c r="DD169" t="e">
        <f>AND(Bills!Y688,"AAAAAD9uu2s=")</f>
        <v>#VALUE!</v>
      </c>
      <c r="DE169" t="e">
        <f>AND(Bills!Z688,"AAAAAD9uu2w=")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AND(Bills!AA688,"AAAAAD9uu3Y=")</f>
        <v>#VALUE!</v>
      </c>
      <c r="DP169" t="e">
        <f>AND(Bills!AB688,"AAAAAD9uu3c=")</f>
        <v>#VALUE!</v>
      </c>
      <c r="DQ169" t="e">
        <f>AND(Bills!#REF!,"AAAAAD9uu3g=")</f>
        <v>#REF!</v>
      </c>
      <c r="DR169" t="e">
        <f>AND(Bills!#REF!,"AAAAAD9uu3k=")</f>
        <v>#REF!</v>
      </c>
      <c r="DS169" t="e">
        <f>AND(Bills!#REF!,"AAAAAD9uu3o=")</f>
        <v>#REF!</v>
      </c>
      <c r="DT169" t="e">
        <f>AND(Bills!AC688,"AAAAAD9uu3s=")</f>
        <v>#VALUE!</v>
      </c>
      <c r="DU169" t="e">
        <f>AND(Bills!AD688,"AAAAAD9uu3w=")</f>
        <v>#VALUE!</v>
      </c>
      <c r="DV169" t="e">
        <f>AND(Bills!#REF!,"AAAAAD9uu30=")</f>
        <v>#REF!</v>
      </c>
      <c r="DW169">
        <f>IF(Bills!689:689,"AAAAAD9uu34=",0)</f>
        <v>0</v>
      </c>
      <c r="DX169" t="e">
        <f>AND(Bills!B689,"AAAAAD9uu38=")</f>
        <v>#VALUE!</v>
      </c>
      <c r="DY169" t="e">
        <f>AND(Bills!#REF!,"AAAAAD9uu4A=")</f>
        <v>#REF!</v>
      </c>
      <c r="DZ169" t="e">
        <f>AND(Bills!C689,"AAAAAD9uu4E=")</f>
        <v>#VALUE!</v>
      </c>
      <c r="EA169" t="e">
        <f>AND(Bills!D689,"AAAAAD9uu4I=")</f>
        <v>#VALUE!</v>
      </c>
      <c r="EB169" t="e">
        <f>AND(Bills!E689,"AAAAAD9uu4M=")</f>
        <v>#VALUE!</v>
      </c>
      <c r="EC169" t="e">
        <f>AND(Bills!#REF!,"AAAAAD9uu4Q=")</f>
        <v>#REF!</v>
      </c>
      <c r="ED169" t="e">
        <f>AND(Bills!#REF!,"AAAAAD9uu4U=")</f>
        <v>#REF!</v>
      </c>
      <c r="EE169" t="e">
        <f>AND(Bills!#REF!,"AAAAAD9uu4Y=")</f>
        <v>#REF!</v>
      </c>
      <c r="EF169" t="e">
        <f>AND(Bills!F689,"AAAAAD9uu4c=")</f>
        <v>#VALUE!</v>
      </c>
      <c r="EG169" t="e">
        <f>AND(Bills!#REF!,"AAAAAD9uu4g=")</f>
        <v>#REF!</v>
      </c>
      <c r="EH169" t="e">
        <f>AND(Bills!G689,"AAAAAD9uu4k=")</f>
        <v>#VALUE!</v>
      </c>
      <c r="EI169" t="e">
        <f>AND(Bills!H689,"AAAAAD9uu4o=")</f>
        <v>#VALUE!</v>
      </c>
      <c r="EJ169" t="e">
        <f>AND(Bills!I689,"AAAAAD9uu4s=")</f>
        <v>#VALUE!</v>
      </c>
      <c r="EK169" t="e">
        <f>AND(Bills!J689,"AAAAAD9uu4w=")</f>
        <v>#VALUE!</v>
      </c>
      <c r="EL169" t="e">
        <f>AND(Bills!K689,"AAAAAD9uu40=")</f>
        <v>#VALUE!</v>
      </c>
      <c r="EM169" t="e">
        <f>AND(Bills!L689,"AAAAAD9uu44=")</f>
        <v>#VALUE!</v>
      </c>
      <c r="EN169" t="e">
        <f>AND(Bills!#REF!,"AAAAAD9uu48=")</f>
        <v>#REF!</v>
      </c>
      <c r="EO169" t="e">
        <f>AND(Bills!M689,"AAAAAD9uu5A=")</f>
        <v>#VALUE!</v>
      </c>
      <c r="EP169" t="e">
        <f>AND(Bills!N689,"AAAAAD9uu5E=")</f>
        <v>#VALUE!</v>
      </c>
      <c r="EQ169" t="e">
        <f>AND(Bills!O689,"AAAAAD9uu5I=")</f>
        <v>#VALUE!</v>
      </c>
      <c r="ER169" t="e">
        <f>AND(Bills!P689,"AAAAAD9uu5M=")</f>
        <v>#VALUE!</v>
      </c>
      <c r="ES169" t="e">
        <f>AND(Bills!Q689,"AAAAAD9uu5Q=")</f>
        <v>#VALUE!</v>
      </c>
      <c r="ET169" t="e">
        <f>AND(Bills!R689,"AAAAAD9uu5U=")</f>
        <v>#VALUE!</v>
      </c>
      <c r="EU169" t="e">
        <f>AND(Bills!S689,"AAAAAD9uu5Y=")</f>
        <v>#VALUE!</v>
      </c>
      <c r="EV169" t="e">
        <f>AND(Bills!T689,"AAAAAD9uu5c=")</f>
        <v>#VALUE!</v>
      </c>
      <c r="EW169" t="e">
        <f>AND(Bills!#REF!,"AAAAAD9uu5g=")</f>
        <v>#REF!</v>
      </c>
      <c r="EX169" t="e">
        <f>AND(Bills!U689,"AAAAAD9uu5k=")</f>
        <v>#VALUE!</v>
      </c>
      <c r="EY169" t="e">
        <f>AND(Bills!V689,"AAAAAD9uu5o=")</f>
        <v>#VALUE!</v>
      </c>
      <c r="EZ169" t="e">
        <f>AND(Bills!W689,"AAAAAD9uu5s=")</f>
        <v>#VALUE!</v>
      </c>
      <c r="FA169" t="e">
        <f>AND(Bills!#REF!,"AAAAAD9uu5w=")</f>
        <v>#REF!</v>
      </c>
      <c r="FB169" t="e">
        <f>AND(Bills!#REF!,"AAAAAD9uu50=")</f>
        <v>#REF!</v>
      </c>
      <c r="FC169" t="e">
        <f>AND(Bills!Y689,"AAAAAD9uu54=")</f>
        <v>#VALUE!</v>
      </c>
      <c r="FD169" t="e">
        <f>AND(Bills!Z689,"AAAAAD9uu58=")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AND(Bills!AA689,"AAAAAD9uu6k=")</f>
        <v>#VALUE!</v>
      </c>
      <c r="FO169" t="e">
        <f>AND(Bills!AB689,"AAAAAD9uu6o=")</f>
        <v>#VALUE!</v>
      </c>
      <c r="FP169" t="e">
        <f>AND(Bills!#REF!,"AAAAAD9uu6s=")</f>
        <v>#REF!</v>
      </c>
      <c r="FQ169" t="e">
        <f>AND(Bills!#REF!,"AAAAAD9uu6w=")</f>
        <v>#REF!</v>
      </c>
      <c r="FR169" t="e">
        <f>AND(Bills!#REF!,"AAAAAD9uu60=")</f>
        <v>#REF!</v>
      </c>
      <c r="FS169" t="e">
        <f>AND(Bills!AC689,"AAAAAD9uu64=")</f>
        <v>#VALUE!</v>
      </c>
      <c r="FT169" t="e">
        <f>AND(Bills!AD689,"AAAAAD9uu68=")</f>
        <v>#VALUE!</v>
      </c>
      <c r="FU169" t="e">
        <f>AND(Bills!#REF!,"AAAAAD9uu7A=")</f>
        <v>#REF!</v>
      </c>
      <c r="FV169">
        <f>IF(Bills!690:690,"AAAAAD9uu7E=",0)</f>
        <v>0</v>
      </c>
      <c r="FW169" t="e">
        <f>AND(Bills!B690,"AAAAAD9uu7I=")</f>
        <v>#VALUE!</v>
      </c>
      <c r="FX169" t="e">
        <f>AND(Bills!#REF!,"AAAAAD9uu7M=")</f>
        <v>#REF!</v>
      </c>
      <c r="FY169" t="e">
        <f>AND(Bills!C690,"AAAAAD9uu7Q=")</f>
        <v>#VALUE!</v>
      </c>
      <c r="FZ169" t="e">
        <f>AND(Bills!D690,"AAAAAD9uu7U=")</f>
        <v>#VALUE!</v>
      </c>
      <c r="GA169" t="e">
        <f>AND(Bills!E690,"AAAAAD9uu7Y=")</f>
        <v>#VALUE!</v>
      </c>
      <c r="GB169" t="e">
        <f>AND(Bills!#REF!,"AAAAAD9uu7c=")</f>
        <v>#REF!</v>
      </c>
      <c r="GC169" t="e">
        <f>AND(Bills!#REF!,"AAAAAD9uu7g=")</f>
        <v>#REF!</v>
      </c>
      <c r="GD169" t="e">
        <f>AND(Bills!#REF!,"AAAAAD9uu7k=")</f>
        <v>#REF!</v>
      </c>
      <c r="GE169" t="e">
        <f>AND(Bills!F690,"AAAAAD9uu7o=")</f>
        <v>#VALUE!</v>
      </c>
      <c r="GF169" t="e">
        <f>AND(Bills!#REF!,"AAAAAD9uu7s=")</f>
        <v>#REF!</v>
      </c>
      <c r="GG169" t="e">
        <f>AND(Bills!G690,"AAAAAD9uu7w=")</f>
        <v>#VALUE!</v>
      </c>
      <c r="GH169" t="e">
        <f>AND(Bills!H690,"AAAAAD9uu70=")</f>
        <v>#VALUE!</v>
      </c>
      <c r="GI169" t="e">
        <f>AND(Bills!I690,"AAAAAD9uu74=")</f>
        <v>#VALUE!</v>
      </c>
      <c r="GJ169" t="e">
        <f>AND(Bills!J690,"AAAAAD9uu78=")</f>
        <v>#VALUE!</v>
      </c>
      <c r="GK169" t="e">
        <f>AND(Bills!K690,"AAAAAD9uu8A=")</f>
        <v>#VALUE!</v>
      </c>
      <c r="GL169" t="e">
        <f>AND(Bills!L690,"AAAAAD9uu8E=")</f>
        <v>#VALUE!</v>
      </c>
      <c r="GM169" t="e">
        <f>AND(Bills!#REF!,"AAAAAD9uu8I=")</f>
        <v>#REF!</v>
      </c>
      <c r="GN169" t="e">
        <f>AND(Bills!M690,"AAAAAD9uu8M=")</f>
        <v>#VALUE!</v>
      </c>
      <c r="GO169" t="e">
        <f>AND(Bills!N690,"AAAAAD9uu8Q=")</f>
        <v>#VALUE!</v>
      </c>
      <c r="GP169" t="e">
        <f>AND(Bills!O690,"AAAAAD9uu8U=")</f>
        <v>#VALUE!</v>
      </c>
      <c r="GQ169" t="e">
        <f>AND(Bills!P690,"AAAAAD9uu8Y=")</f>
        <v>#VALUE!</v>
      </c>
      <c r="GR169" t="e">
        <f>AND(Bills!Q690,"AAAAAD9uu8c=")</f>
        <v>#VALUE!</v>
      </c>
      <c r="GS169" t="e">
        <f>AND(Bills!R690,"AAAAAD9uu8g=")</f>
        <v>#VALUE!</v>
      </c>
      <c r="GT169" t="e">
        <f>AND(Bills!S690,"AAAAAD9uu8k=")</f>
        <v>#VALUE!</v>
      </c>
      <c r="GU169" t="e">
        <f>AND(Bills!T690,"AAAAAD9uu8o=")</f>
        <v>#VALUE!</v>
      </c>
      <c r="GV169" t="e">
        <f>AND(Bills!#REF!,"AAAAAD9uu8s=")</f>
        <v>#REF!</v>
      </c>
      <c r="GW169" t="e">
        <f>AND(Bills!U690,"AAAAAD9uu8w=")</f>
        <v>#VALUE!</v>
      </c>
      <c r="GX169" t="e">
        <f>AND(Bills!V690,"AAAAAD9uu80=")</f>
        <v>#VALUE!</v>
      </c>
      <c r="GY169" t="e">
        <f>AND(Bills!W690,"AAAAAD9uu84=")</f>
        <v>#VALUE!</v>
      </c>
      <c r="GZ169" t="e">
        <f>AND(Bills!#REF!,"AAAAAD9uu88=")</f>
        <v>#REF!</v>
      </c>
      <c r="HA169" t="e">
        <f>AND(Bills!#REF!,"AAAAAD9uu9A=")</f>
        <v>#REF!</v>
      </c>
      <c r="HB169" t="e">
        <f>AND(Bills!Y690,"AAAAAD9uu9E=")</f>
        <v>#VALUE!</v>
      </c>
      <c r="HC169" t="e">
        <f>AND(Bills!Z690,"AAAAAD9uu9I=")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AND(Bills!AA690,"AAAAAD9uu9w=")</f>
        <v>#VALUE!</v>
      </c>
      <c r="HN169" t="e">
        <f>AND(Bills!AB690,"AAAAAD9uu90=")</f>
        <v>#VALUE!</v>
      </c>
      <c r="HO169" t="e">
        <f>AND(Bills!#REF!,"AAAAAD9uu94=")</f>
        <v>#REF!</v>
      </c>
      <c r="HP169" t="e">
        <f>AND(Bills!#REF!,"AAAAAD9uu98=")</f>
        <v>#REF!</v>
      </c>
      <c r="HQ169" t="e">
        <f>AND(Bills!#REF!,"AAAAAD9uu+A=")</f>
        <v>#REF!</v>
      </c>
      <c r="HR169" t="e">
        <f>AND(Bills!AC690,"AAAAAD9uu+E=")</f>
        <v>#VALUE!</v>
      </c>
      <c r="HS169" t="e">
        <f>AND(Bills!AD690,"AAAAAD9uu+I=")</f>
        <v>#VALUE!</v>
      </c>
      <c r="HT169" t="e">
        <f>AND(Bills!#REF!,"AAAAAD9uu+M=")</f>
        <v>#REF!</v>
      </c>
      <c r="HU169">
        <f>IF(Bills!691:691,"AAAAAD9uu+Q=",0)</f>
        <v>0</v>
      </c>
      <c r="HV169" t="e">
        <f>AND(Bills!B691,"AAAAAD9uu+U=")</f>
        <v>#VALUE!</v>
      </c>
      <c r="HW169" t="e">
        <f>AND(Bills!#REF!,"AAAAAD9uu+Y=")</f>
        <v>#REF!</v>
      </c>
      <c r="HX169" t="e">
        <f>AND(Bills!C691,"AAAAAD9uu+c=")</f>
        <v>#VALUE!</v>
      </c>
      <c r="HY169" t="e">
        <f>AND(Bills!D691,"AAAAAD9uu+g=")</f>
        <v>#VALUE!</v>
      </c>
      <c r="HZ169" t="e">
        <f>AND(Bills!E691,"AAAAAD9uu+k=")</f>
        <v>#VALUE!</v>
      </c>
      <c r="IA169" t="e">
        <f>AND(Bills!#REF!,"AAAAAD9uu+o=")</f>
        <v>#REF!</v>
      </c>
      <c r="IB169" t="e">
        <f>AND(Bills!#REF!,"AAAAAD9uu+s=")</f>
        <v>#REF!</v>
      </c>
      <c r="IC169" t="e">
        <f>AND(Bills!#REF!,"AAAAAD9uu+w=")</f>
        <v>#REF!</v>
      </c>
      <c r="ID169" t="e">
        <f>AND(Bills!F691,"AAAAAD9uu+0=")</f>
        <v>#VALUE!</v>
      </c>
      <c r="IE169" t="e">
        <f>AND(Bills!#REF!,"AAAAAD9uu+4=")</f>
        <v>#REF!</v>
      </c>
      <c r="IF169" t="e">
        <f>AND(Bills!G691,"AAAAAD9uu+8=")</f>
        <v>#VALUE!</v>
      </c>
      <c r="IG169" t="e">
        <f>AND(Bills!H691,"AAAAAD9uu/A=")</f>
        <v>#VALUE!</v>
      </c>
      <c r="IH169" t="e">
        <f>AND(Bills!I691,"AAAAAD9uu/E=")</f>
        <v>#VALUE!</v>
      </c>
      <c r="II169" t="e">
        <f>AND(Bills!J691,"AAAAAD9uu/I=")</f>
        <v>#VALUE!</v>
      </c>
      <c r="IJ169" t="e">
        <f>AND(Bills!K691,"AAAAAD9uu/M=")</f>
        <v>#VALUE!</v>
      </c>
      <c r="IK169" t="e">
        <f>AND(Bills!L691,"AAAAAD9uu/Q=")</f>
        <v>#VALUE!</v>
      </c>
      <c r="IL169" t="e">
        <f>AND(Bills!#REF!,"AAAAAD9uu/U=")</f>
        <v>#REF!</v>
      </c>
      <c r="IM169" t="e">
        <f>AND(Bills!M691,"AAAAAD9uu/Y=")</f>
        <v>#VALUE!</v>
      </c>
      <c r="IN169" t="e">
        <f>AND(Bills!N691,"AAAAAD9uu/c=")</f>
        <v>#VALUE!</v>
      </c>
      <c r="IO169" t="e">
        <f>AND(Bills!O691,"AAAAAD9uu/g=")</f>
        <v>#VALUE!</v>
      </c>
      <c r="IP169" t="e">
        <f>AND(Bills!P691,"AAAAAD9uu/k=")</f>
        <v>#VALUE!</v>
      </c>
      <c r="IQ169" t="e">
        <f>AND(Bills!Q691,"AAAAAD9uu/o=")</f>
        <v>#VALUE!</v>
      </c>
      <c r="IR169" t="e">
        <f>AND(Bills!R691,"AAAAAD9uu/s=")</f>
        <v>#VALUE!</v>
      </c>
      <c r="IS169" t="e">
        <f>AND(Bills!S691,"AAAAAD9uu/w=")</f>
        <v>#VALUE!</v>
      </c>
      <c r="IT169" t="e">
        <f>AND(Bills!T691,"AAAAAD9uu/0=")</f>
        <v>#VALUE!</v>
      </c>
      <c r="IU169" t="e">
        <f>AND(Bills!#REF!,"AAAAAD9uu/4=")</f>
        <v>#REF!</v>
      </c>
      <c r="IV169" t="e">
        <f>AND(Bills!U691,"AAAAAD9uu/8=")</f>
        <v>#VALUE!</v>
      </c>
    </row>
    <row r="170" spans="1:256">
      <c r="A170" t="e">
        <f>AND(Bills!V691,"AAAAAD/+PwA=")</f>
        <v>#VALUE!</v>
      </c>
      <c r="B170" t="e">
        <f>AND(Bills!W691,"AAAAAD/+PwE=")</f>
        <v>#VALUE!</v>
      </c>
      <c r="C170" t="e">
        <f>AND(Bills!#REF!,"AAAAAD/+PwI=")</f>
        <v>#REF!</v>
      </c>
      <c r="D170" t="e">
        <f>AND(Bills!#REF!,"AAAAAD/+PwM=")</f>
        <v>#REF!</v>
      </c>
      <c r="E170" t="e">
        <f>AND(Bills!Y691,"AAAAAD/+PwQ=")</f>
        <v>#VALUE!</v>
      </c>
      <c r="F170" t="e">
        <f>AND(Bills!Z691,"AAAAAD/+PwU=")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AND(Bills!AA691,"AAAAAD/+Pw8=")</f>
        <v>#VALUE!</v>
      </c>
      <c r="Q170" t="e">
        <f>AND(Bills!AB691,"AAAAAD/+PxA=")</f>
        <v>#VALUE!</v>
      </c>
      <c r="R170" t="e">
        <f>AND(Bills!#REF!,"AAAAAD/+PxE=")</f>
        <v>#REF!</v>
      </c>
      <c r="S170" t="e">
        <f>AND(Bills!#REF!,"AAAAAD/+PxI=")</f>
        <v>#REF!</v>
      </c>
      <c r="T170" t="e">
        <f>AND(Bills!#REF!,"AAAAAD/+PxM=")</f>
        <v>#REF!</v>
      </c>
      <c r="U170" t="e">
        <f>AND(Bills!AC691,"AAAAAD/+PxQ=")</f>
        <v>#VALUE!</v>
      </c>
      <c r="V170" t="e">
        <f>AND(Bills!AD691,"AAAAAD/+PxU=")</f>
        <v>#VALUE!</v>
      </c>
      <c r="W170" t="e">
        <f>AND(Bills!#REF!,"AAAAAD/+PxY=")</f>
        <v>#REF!</v>
      </c>
      <c r="X170">
        <f>IF(Bills!692:692,"AAAAAD/+Pxc=",0)</f>
        <v>0</v>
      </c>
      <c r="Y170" t="e">
        <f>AND(Bills!B692,"AAAAAD/+Pxg=")</f>
        <v>#VALUE!</v>
      </c>
      <c r="Z170" t="e">
        <f>AND(Bills!#REF!,"AAAAAD/+Pxk=")</f>
        <v>#REF!</v>
      </c>
      <c r="AA170" t="e">
        <f>AND(Bills!C692,"AAAAAD/+Pxo=")</f>
        <v>#VALUE!</v>
      </c>
      <c r="AB170" t="e">
        <f>AND(Bills!D692,"AAAAAD/+Pxs=")</f>
        <v>#VALUE!</v>
      </c>
      <c r="AC170" t="e">
        <f>AND(Bills!E692,"AAAAAD/+Pxw=")</f>
        <v>#VALUE!</v>
      </c>
      <c r="AD170" t="e">
        <f>AND(Bills!#REF!,"AAAAAD/+Px0=")</f>
        <v>#REF!</v>
      </c>
      <c r="AE170" t="e">
        <f>AND(Bills!#REF!,"AAAAAD/+Px4=")</f>
        <v>#REF!</v>
      </c>
      <c r="AF170" t="e">
        <f>AND(Bills!#REF!,"AAAAAD/+Px8=")</f>
        <v>#REF!</v>
      </c>
      <c r="AG170" t="e">
        <f>AND(Bills!F692,"AAAAAD/+PyA=")</f>
        <v>#VALUE!</v>
      </c>
      <c r="AH170" t="e">
        <f>AND(Bills!#REF!,"AAAAAD/+PyE=")</f>
        <v>#REF!</v>
      </c>
      <c r="AI170" t="e">
        <f>AND(Bills!G692,"AAAAAD/+PyI=")</f>
        <v>#VALUE!</v>
      </c>
      <c r="AJ170" t="e">
        <f>AND(Bills!H692,"AAAAAD/+PyM=")</f>
        <v>#VALUE!</v>
      </c>
      <c r="AK170" t="e">
        <f>AND(Bills!I692,"AAAAAD/+PyQ=")</f>
        <v>#VALUE!</v>
      </c>
      <c r="AL170" t="e">
        <f>AND(Bills!J692,"AAAAAD/+PyU=")</f>
        <v>#VALUE!</v>
      </c>
      <c r="AM170" t="e">
        <f>AND(Bills!K692,"AAAAAD/+PyY=")</f>
        <v>#VALUE!</v>
      </c>
      <c r="AN170" t="e">
        <f>AND(Bills!L692,"AAAAAD/+Pyc=")</f>
        <v>#VALUE!</v>
      </c>
      <c r="AO170" t="e">
        <f>AND(Bills!#REF!,"AAAAAD/+Pyg=")</f>
        <v>#REF!</v>
      </c>
      <c r="AP170" t="e">
        <f>AND(Bills!M692,"AAAAAD/+Pyk=")</f>
        <v>#VALUE!</v>
      </c>
      <c r="AQ170" t="e">
        <f>AND(Bills!N692,"AAAAAD/+Pyo=")</f>
        <v>#VALUE!</v>
      </c>
      <c r="AR170" t="e">
        <f>AND(Bills!O692,"AAAAAD/+Pys=")</f>
        <v>#VALUE!</v>
      </c>
      <c r="AS170" t="e">
        <f>AND(Bills!P692,"AAAAAD/+Pyw=")</f>
        <v>#VALUE!</v>
      </c>
      <c r="AT170" t="e">
        <f>AND(Bills!Q692,"AAAAAD/+Py0=")</f>
        <v>#VALUE!</v>
      </c>
      <c r="AU170" t="e">
        <f>AND(Bills!R692,"AAAAAD/+Py4=")</f>
        <v>#VALUE!</v>
      </c>
      <c r="AV170" t="e">
        <f>AND(Bills!S692,"AAAAAD/+Py8=")</f>
        <v>#VALUE!</v>
      </c>
      <c r="AW170" t="e">
        <f>AND(Bills!T692,"AAAAAD/+PzA=")</f>
        <v>#VALUE!</v>
      </c>
      <c r="AX170" t="e">
        <f>AND(Bills!#REF!,"AAAAAD/+PzE=")</f>
        <v>#REF!</v>
      </c>
      <c r="AY170" t="e">
        <f>AND(Bills!U692,"AAAAAD/+PzI=")</f>
        <v>#VALUE!</v>
      </c>
      <c r="AZ170" t="e">
        <f>AND(Bills!V692,"AAAAAD/+PzM=")</f>
        <v>#VALUE!</v>
      </c>
      <c r="BA170" t="e">
        <f>AND(Bills!W692,"AAAAAD/+PzQ=")</f>
        <v>#VALUE!</v>
      </c>
      <c r="BB170" t="e">
        <f>AND(Bills!#REF!,"AAAAAD/+PzU=")</f>
        <v>#REF!</v>
      </c>
      <c r="BC170" t="e">
        <f>AND(Bills!#REF!,"AAAAAD/+PzY=")</f>
        <v>#REF!</v>
      </c>
      <c r="BD170" t="e">
        <f>AND(Bills!Y692,"AAAAAD/+Pzc=")</f>
        <v>#VALUE!</v>
      </c>
      <c r="BE170" t="e">
        <f>AND(Bills!Z692,"AAAAAD/+Pzg=")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AND(Bills!AA692,"AAAAAD/+P0I=")</f>
        <v>#VALUE!</v>
      </c>
      <c r="BP170" t="e">
        <f>AND(Bills!AB692,"AAAAAD/+P0M=")</f>
        <v>#VALUE!</v>
      </c>
      <c r="BQ170" t="e">
        <f>AND(Bills!#REF!,"AAAAAD/+P0Q=")</f>
        <v>#REF!</v>
      </c>
      <c r="BR170" t="e">
        <f>AND(Bills!#REF!,"AAAAAD/+P0U=")</f>
        <v>#REF!</v>
      </c>
      <c r="BS170" t="e">
        <f>AND(Bills!#REF!,"AAAAAD/+P0Y=")</f>
        <v>#REF!</v>
      </c>
      <c r="BT170" t="e">
        <f>AND(Bills!AC692,"AAAAAD/+P0c=")</f>
        <v>#VALUE!</v>
      </c>
      <c r="BU170" t="e">
        <f>AND(Bills!AD692,"AAAAAD/+P0g=")</f>
        <v>#VALUE!</v>
      </c>
      <c r="BV170" t="e">
        <f>AND(Bills!#REF!,"AAAAAD/+P0k=")</f>
        <v>#REF!</v>
      </c>
      <c r="BW170">
        <f>IF(Bills!693:693,"AAAAAD/+P0o=",0)</f>
        <v>0</v>
      </c>
      <c r="BX170" t="e">
        <f>AND(Bills!B693,"AAAAAD/+P0s=")</f>
        <v>#VALUE!</v>
      </c>
      <c r="BY170" t="e">
        <f>AND(Bills!#REF!,"AAAAAD/+P0w=")</f>
        <v>#REF!</v>
      </c>
      <c r="BZ170" t="e">
        <f>AND(Bills!C693,"AAAAAD/+P00=")</f>
        <v>#VALUE!</v>
      </c>
      <c r="CA170" t="e">
        <f>AND(Bills!D693,"AAAAAD/+P04=")</f>
        <v>#VALUE!</v>
      </c>
      <c r="CB170" t="e">
        <f>AND(Bills!E693,"AAAAAD/+P08=")</f>
        <v>#VALUE!</v>
      </c>
      <c r="CC170" t="e">
        <f>AND(Bills!#REF!,"AAAAAD/+P1A=")</f>
        <v>#REF!</v>
      </c>
      <c r="CD170" t="e">
        <f>AND(Bills!#REF!,"AAAAAD/+P1E=")</f>
        <v>#REF!</v>
      </c>
      <c r="CE170" t="e">
        <f>AND(Bills!#REF!,"AAAAAD/+P1I=")</f>
        <v>#REF!</v>
      </c>
      <c r="CF170" t="e">
        <f>AND(Bills!F693,"AAAAAD/+P1M=")</f>
        <v>#VALUE!</v>
      </c>
      <c r="CG170" t="e">
        <f>AND(Bills!#REF!,"AAAAAD/+P1Q=")</f>
        <v>#REF!</v>
      </c>
      <c r="CH170" t="e">
        <f>AND(Bills!G693,"AAAAAD/+P1U=")</f>
        <v>#VALUE!</v>
      </c>
      <c r="CI170" t="e">
        <f>AND(Bills!H693,"AAAAAD/+P1Y=")</f>
        <v>#VALUE!</v>
      </c>
      <c r="CJ170" t="e">
        <f>AND(Bills!I693,"AAAAAD/+P1c=")</f>
        <v>#VALUE!</v>
      </c>
      <c r="CK170" t="e">
        <f>AND(Bills!J693,"AAAAAD/+P1g=")</f>
        <v>#VALUE!</v>
      </c>
      <c r="CL170" t="e">
        <f>AND(Bills!K693,"AAAAAD/+P1k=")</f>
        <v>#VALUE!</v>
      </c>
      <c r="CM170" t="e">
        <f>AND(Bills!L693,"AAAAAD/+P1o=")</f>
        <v>#VALUE!</v>
      </c>
      <c r="CN170" t="e">
        <f>AND(Bills!#REF!,"AAAAAD/+P1s=")</f>
        <v>#REF!</v>
      </c>
      <c r="CO170" t="e">
        <f>AND(Bills!M693,"AAAAAD/+P1w=")</f>
        <v>#VALUE!</v>
      </c>
      <c r="CP170" t="e">
        <f>AND(Bills!N693,"AAAAAD/+P10=")</f>
        <v>#VALUE!</v>
      </c>
      <c r="CQ170" t="e">
        <f>AND(Bills!O693,"AAAAAD/+P14=")</f>
        <v>#VALUE!</v>
      </c>
      <c r="CR170" t="e">
        <f>AND(Bills!P693,"AAAAAD/+P18=")</f>
        <v>#VALUE!</v>
      </c>
      <c r="CS170" t="e">
        <f>AND(Bills!Q693,"AAAAAD/+P2A=")</f>
        <v>#VALUE!</v>
      </c>
      <c r="CT170" t="e">
        <f>AND(Bills!R693,"AAAAAD/+P2E=")</f>
        <v>#VALUE!</v>
      </c>
      <c r="CU170" t="e">
        <f>AND(Bills!S693,"AAAAAD/+P2I=")</f>
        <v>#VALUE!</v>
      </c>
      <c r="CV170" t="e">
        <f>AND(Bills!T693,"AAAAAD/+P2M=")</f>
        <v>#VALUE!</v>
      </c>
      <c r="CW170" t="e">
        <f>AND(Bills!#REF!,"AAAAAD/+P2Q=")</f>
        <v>#REF!</v>
      </c>
      <c r="CX170" t="e">
        <f>AND(Bills!U693,"AAAAAD/+P2U=")</f>
        <v>#VALUE!</v>
      </c>
      <c r="CY170" t="e">
        <f>AND(Bills!V693,"AAAAAD/+P2Y=")</f>
        <v>#VALUE!</v>
      </c>
      <c r="CZ170" t="e">
        <f>AND(Bills!W693,"AAAAAD/+P2c=")</f>
        <v>#VALUE!</v>
      </c>
      <c r="DA170" t="e">
        <f>AND(Bills!#REF!,"AAAAAD/+P2g=")</f>
        <v>#REF!</v>
      </c>
      <c r="DB170" t="e">
        <f>AND(Bills!#REF!,"AAAAAD/+P2k=")</f>
        <v>#REF!</v>
      </c>
      <c r="DC170" t="e">
        <f>AND(Bills!Y693,"AAAAAD/+P2o=")</f>
        <v>#VALUE!</v>
      </c>
      <c r="DD170" t="e">
        <f>AND(Bills!Z693,"AAAAAD/+P2s=")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AND(Bills!AA693,"AAAAAD/+P3U=")</f>
        <v>#VALUE!</v>
      </c>
      <c r="DO170" t="e">
        <f>AND(Bills!AB693,"AAAAAD/+P3Y=")</f>
        <v>#VALUE!</v>
      </c>
      <c r="DP170" t="e">
        <f>AND(Bills!#REF!,"AAAAAD/+P3c=")</f>
        <v>#REF!</v>
      </c>
      <c r="DQ170" t="e">
        <f>AND(Bills!#REF!,"AAAAAD/+P3g=")</f>
        <v>#REF!</v>
      </c>
      <c r="DR170" t="e">
        <f>AND(Bills!#REF!,"AAAAAD/+P3k=")</f>
        <v>#REF!</v>
      </c>
      <c r="DS170" t="e">
        <f>AND(Bills!AC693,"AAAAAD/+P3o=")</f>
        <v>#VALUE!</v>
      </c>
      <c r="DT170" t="e">
        <f>AND(Bills!AD693,"AAAAAD/+P3s=")</f>
        <v>#VALUE!</v>
      </c>
      <c r="DU170" t="e">
        <f>AND(Bills!#REF!,"AAAAAD/+P3w=")</f>
        <v>#REF!</v>
      </c>
      <c r="DV170">
        <f>IF(Bills!694:694,"AAAAAD/+P30=",0)</f>
        <v>0</v>
      </c>
      <c r="DW170" t="e">
        <f>AND(Bills!B694,"AAAAAD/+P34=")</f>
        <v>#VALUE!</v>
      </c>
      <c r="DX170" t="e">
        <f>AND(Bills!#REF!,"AAAAAD/+P38=")</f>
        <v>#REF!</v>
      </c>
      <c r="DY170" t="e">
        <f>AND(Bills!C694,"AAAAAD/+P4A=")</f>
        <v>#VALUE!</v>
      </c>
      <c r="DZ170" t="e">
        <f>AND(Bills!D694,"AAAAAD/+P4E=")</f>
        <v>#VALUE!</v>
      </c>
      <c r="EA170" t="e">
        <f>AND(Bills!E694,"AAAAAD/+P4I=")</f>
        <v>#VALUE!</v>
      </c>
      <c r="EB170" t="e">
        <f>AND(Bills!#REF!,"AAAAAD/+P4M=")</f>
        <v>#REF!</v>
      </c>
      <c r="EC170" t="e">
        <f>AND(Bills!#REF!,"AAAAAD/+P4Q=")</f>
        <v>#REF!</v>
      </c>
      <c r="ED170" t="e">
        <f>AND(Bills!#REF!,"AAAAAD/+P4U=")</f>
        <v>#REF!</v>
      </c>
      <c r="EE170" t="e">
        <f>AND(Bills!F694,"AAAAAD/+P4Y=")</f>
        <v>#VALUE!</v>
      </c>
      <c r="EF170" t="e">
        <f>AND(Bills!#REF!,"AAAAAD/+P4c=")</f>
        <v>#REF!</v>
      </c>
      <c r="EG170" t="e">
        <f>AND(Bills!G694,"AAAAAD/+P4g=")</f>
        <v>#VALUE!</v>
      </c>
      <c r="EH170" t="e">
        <f>AND(Bills!H694,"AAAAAD/+P4k=")</f>
        <v>#VALUE!</v>
      </c>
      <c r="EI170" t="e">
        <f>AND(Bills!I694,"AAAAAD/+P4o=")</f>
        <v>#VALUE!</v>
      </c>
      <c r="EJ170" t="e">
        <f>AND(Bills!J694,"AAAAAD/+P4s=")</f>
        <v>#VALUE!</v>
      </c>
      <c r="EK170" t="e">
        <f>AND(Bills!K694,"AAAAAD/+P4w=")</f>
        <v>#VALUE!</v>
      </c>
      <c r="EL170" t="e">
        <f>AND(Bills!L694,"AAAAAD/+P40=")</f>
        <v>#VALUE!</v>
      </c>
      <c r="EM170" t="e">
        <f>AND(Bills!#REF!,"AAAAAD/+P44=")</f>
        <v>#REF!</v>
      </c>
      <c r="EN170" t="e">
        <f>AND(Bills!M694,"AAAAAD/+P48=")</f>
        <v>#VALUE!</v>
      </c>
      <c r="EO170" t="e">
        <f>AND(Bills!N694,"AAAAAD/+P5A=")</f>
        <v>#VALUE!</v>
      </c>
      <c r="EP170" t="e">
        <f>AND(Bills!O694,"AAAAAD/+P5E=")</f>
        <v>#VALUE!</v>
      </c>
      <c r="EQ170" t="e">
        <f>AND(Bills!P694,"AAAAAD/+P5I=")</f>
        <v>#VALUE!</v>
      </c>
      <c r="ER170" t="e">
        <f>AND(Bills!Q694,"AAAAAD/+P5M=")</f>
        <v>#VALUE!</v>
      </c>
      <c r="ES170" t="e">
        <f>AND(Bills!R694,"AAAAAD/+P5Q=")</f>
        <v>#VALUE!</v>
      </c>
      <c r="ET170" t="e">
        <f>AND(Bills!S694,"AAAAAD/+P5U=")</f>
        <v>#VALUE!</v>
      </c>
      <c r="EU170" t="e">
        <f>AND(Bills!T694,"AAAAAD/+P5Y=")</f>
        <v>#VALUE!</v>
      </c>
      <c r="EV170" t="e">
        <f>AND(Bills!#REF!,"AAAAAD/+P5c=")</f>
        <v>#REF!</v>
      </c>
      <c r="EW170" t="e">
        <f>AND(Bills!U694,"AAAAAD/+P5g=")</f>
        <v>#VALUE!</v>
      </c>
      <c r="EX170" t="e">
        <f>AND(Bills!V694,"AAAAAD/+P5k=")</f>
        <v>#VALUE!</v>
      </c>
      <c r="EY170" t="e">
        <f>AND(Bills!W694,"AAAAAD/+P5o=")</f>
        <v>#VALUE!</v>
      </c>
      <c r="EZ170" t="e">
        <f>AND(Bills!#REF!,"AAAAAD/+P5s=")</f>
        <v>#REF!</v>
      </c>
      <c r="FA170" t="e">
        <f>AND(Bills!#REF!,"AAAAAD/+P5w=")</f>
        <v>#REF!</v>
      </c>
      <c r="FB170" t="e">
        <f>AND(Bills!Y694,"AAAAAD/+P50=")</f>
        <v>#VALUE!</v>
      </c>
      <c r="FC170" t="e">
        <f>AND(Bills!Z694,"AAAAAD/+P54=")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AND(Bills!AA694,"AAAAAD/+P6g=")</f>
        <v>#VALUE!</v>
      </c>
      <c r="FN170" t="e">
        <f>AND(Bills!AB694,"AAAAAD/+P6k=")</f>
        <v>#VALUE!</v>
      </c>
      <c r="FO170" t="e">
        <f>AND(Bills!#REF!,"AAAAAD/+P6o=")</f>
        <v>#REF!</v>
      </c>
      <c r="FP170" t="e">
        <f>AND(Bills!#REF!,"AAAAAD/+P6s=")</f>
        <v>#REF!</v>
      </c>
      <c r="FQ170" t="e">
        <f>AND(Bills!#REF!,"AAAAAD/+P6w=")</f>
        <v>#REF!</v>
      </c>
      <c r="FR170" t="e">
        <f>AND(Bills!AC694,"AAAAAD/+P60=")</f>
        <v>#VALUE!</v>
      </c>
      <c r="FS170" t="e">
        <f>AND(Bills!AD694,"AAAAAD/+P64=")</f>
        <v>#VALUE!</v>
      </c>
      <c r="FT170" t="e">
        <f>AND(Bills!#REF!,"AAAAAD/+P68=")</f>
        <v>#REF!</v>
      </c>
      <c r="FU170">
        <f>IF(Bills!695:695,"AAAAAD/+P7A=",0)</f>
        <v>0</v>
      </c>
      <c r="FV170" t="e">
        <f>AND(Bills!B695,"AAAAAD/+P7E=")</f>
        <v>#VALUE!</v>
      </c>
      <c r="FW170" t="e">
        <f>AND(Bills!#REF!,"AAAAAD/+P7I=")</f>
        <v>#REF!</v>
      </c>
      <c r="FX170" t="e">
        <f>AND(Bills!C695,"AAAAAD/+P7M=")</f>
        <v>#VALUE!</v>
      </c>
      <c r="FY170" t="e">
        <f>AND(Bills!D695,"AAAAAD/+P7Q=")</f>
        <v>#VALUE!</v>
      </c>
      <c r="FZ170" t="e">
        <f>AND(Bills!E695,"AAAAAD/+P7U=")</f>
        <v>#VALUE!</v>
      </c>
      <c r="GA170" t="e">
        <f>AND(Bills!#REF!,"AAAAAD/+P7Y=")</f>
        <v>#REF!</v>
      </c>
      <c r="GB170" t="e">
        <f>AND(Bills!#REF!,"AAAAAD/+P7c=")</f>
        <v>#REF!</v>
      </c>
      <c r="GC170" t="e">
        <f>AND(Bills!#REF!,"AAAAAD/+P7g=")</f>
        <v>#REF!</v>
      </c>
      <c r="GD170" t="e">
        <f>AND(Bills!F695,"AAAAAD/+P7k=")</f>
        <v>#VALUE!</v>
      </c>
      <c r="GE170" t="e">
        <f>AND(Bills!#REF!,"AAAAAD/+P7o=")</f>
        <v>#REF!</v>
      </c>
      <c r="GF170" t="e">
        <f>AND(Bills!G695,"AAAAAD/+P7s=")</f>
        <v>#VALUE!</v>
      </c>
      <c r="GG170" t="e">
        <f>AND(Bills!H695,"AAAAAD/+P7w=")</f>
        <v>#VALUE!</v>
      </c>
      <c r="GH170" t="e">
        <f>AND(Bills!I695,"AAAAAD/+P70=")</f>
        <v>#VALUE!</v>
      </c>
      <c r="GI170" t="e">
        <f>AND(Bills!J695,"AAAAAD/+P74=")</f>
        <v>#VALUE!</v>
      </c>
      <c r="GJ170" t="e">
        <f>AND(Bills!K695,"AAAAAD/+P78=")</f>
        <v>#VALUE!</v>
      </c>
      <c r="GK170" t="e">
        <f>AND(Bills!L695,"AAAAAD/+P8A=")</f>
        <v>#VALUE!</v>
      </c>
      <c r="GL170" t="e">
        <f>AND(Bills!#REF!,"AAAAAD/+P8E=")</f>
        <v>#REF!</v>
      </c>
      <c r="GM170" t="e">
        <f>AND(Bills!M695,"AAAAAD/+P8I=")</f>
        <v>#VALUE!</v>
      </c>
      <c r="GN170" t="e">
        <f>AND(Bills!N695,"AAAAAD/+P8M=")</f>
        <v>#VALUE!</v>
      </c>
      <c r="GO170" t="e">
        <f>AND(Bills!O695,"AAAAAD/+P8Q=")</f>
        <v>#VALUE!</v>
      </c>
      <c r="GP170" t="e">
        <f>AND(Bills!P695,"AAAAAD/+P8U=")</f>
        <v>#VALUE!</v>
      </c>
      <c r="GQ170" t="e">
        <f>AND(Bills!Q695,"AAAAAD/+P8Y=")</f>
        <v>#VALUE!</v>
      </c>
      <c r="GR170" t="e">
        <f>AND(Bills!R695,"AAAAAD/+P8c=")</f>
        <v>#VALUE!</v>
      </c>
      <c r="GS170" t="e">
        <f>AND(Bills!S695,"AAAAAD/+P8g=")</f>
        <v>#VALUE!</v>
      </c>
      <c r="GT170" t="e">
        <f>AND(Bills!T695,"AAAAAD/+P8k=")</f>
        <v>#VALUE!</v>
      </c>
      <c r="GU170" t="e">
        <f>AND(Bills!#REF!,"AAAAAD/+P8o=")</f>
        <v>#REF!</v>
      </c>
      <c r="GV170" t="e">
        <f>AND(Bills!U695,"AAAAAD/+P8s=")</f>
        <v>#VALUE!</v>
      </c>
      <c r="GW170" t="e">
        <f>AND(Bills!V695,"AAAAAD/+P8w=")</f>
        <v>#VALUE!</v>
      </c>
      <c r="GX170" t="e">
        <f>AND(Bills!W695,"AAAAAD/+P80=")</f>
        <v>#VALUE!</v>
      </c>
      <c r="GY170" t="e">
        <f>AND(Bills!#REF!,"AAAAAD/+P84=")</f>
        <v>#REF!</v>
      </c>
      <c r="GZ170" t="e">
        <f>AND(Bills!#REF!,"AAAAAD/+P88=")</f>
        <v>#REF!</v>
      </c>
      <c r="HA170" t="e">
        <f>AND(Bills!Y695,"AAAAAD/+P9A=")</f>
        <v>#VALUE!</v>
      </c>
      <c r="HB170" t="e">
        <f>AND(Bills!Z695,"AAAAAD/+P9E=")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AND(Bills!AA695,"AAAAAD/+P9s=")</f>
        <v>#VALUE!</v>
      </c>
      <c r="HM170" t="e">
        <f>AND(Bills!AB695,"AAAAAD/+P9w=")</f>
        <v>#VALUE!</v>
      </c>
      <c r="HN170" t="e">
        <f>AND(Bills!#REF!,"AAAAAD/+P90=")</f>
        <v>#REF!</v>
      </c>
      <c r="HO170" t="e">
        <f>AND(Bills!#REF!,"AAAAAD/+P94=")</f>
        <v>#REF!</v>
      </c>
      <c r="HP170" t="e">
        <f>AND(Bills!#REF!,"AAAAAD/+P98=")</f>
        <v>#REF!</v>
      </c>
      <c r="HQ170" t="e">
        <f>AND(Bills!AC695,"AAAAAD/+P+A=")</f>
        <v>#VALUE!</v>
      </c>
      <c r="HR170" t="e">
        <f>AND(Bills!AD695,"AAAAAD/+P+E=")</f>
        <v>#VALUE!</v>
      </c>
      <c r="HS170" t="e">
        <f>AND(Bills!#REF!,"AAAAAD/+P+I=")</f>
        <v>#REF!</v>
      </c>
      <c r="HT170">
        <f>IF(Bills!696:696,"AAAAAD/+P+M=",0)</f>
        <v>0</v>
      </c>
      <c r="HU170" t="e">
        <f>AND(Bills!B696,"AAAAAD/+P+Q=")</f>
        <v>#VALUE!</v>
      </c>
      <c r="HV170" t="e">
        <f>AND(Bills!#REF!,"AAAAAD/+P+U=")</f>
        <v>#REF!</v>
      </c>
      <c r="HW170" t="e">
        <f>AND(Bills!C696,"AAAAAD/+P+Y=")</f>
        <v>#VALUE!</v>
      </c>
      <c r="HX170" t="e">
        <f>AND(Bills!D696,"AAAAAD/+P+c=")</f>
        <v>#VALUE!</v>
      </c>
      <c r="HY170" t="e">
        <f>AND(Bills!E696,"AAAAAD/+P+g=")</f>
        <v>#VALUE!</v>
      </c>
      <c r="HZ170" t="e">
        <f>AND(Bills!#REF!,"AAAAAD/+P+k=")</f>
        <v>#REF!</v>
      </c>
      <c r="IA170" t="e">
        <f>AND(Bills!#REF!,"AAAAAD/+P+o=")</f>
        <v>#REF!</v>
      </c>
      <c r="IB170" t="e">
        <f>AND(Bills!#REF!,"AAAAAD/+P+s=")</f>
        <v>#REF!</v>
      </c>
      <c r="IC170" t="e">
        <f>AND(Bills!F696,"AAAAAD/+P+w=")</f>
        <v>#VALUE!</v>
      </c>
      <c r="ID170" t="e">
        <f>AND(Bills!#REF!,"AAAAAD/+P+0=")</f>
        <v>#REF!</v>
      </c>
      <c r="IE170" t="e">
        <f>AND(Bills!G696,"AAAAAD/+P+4=")</f>
        <v>#VALUE!</v>
      </c>
      <c r="IF170" t="e">
        <f>AND(Bills!H696,"AAAAAD/+P+8=")</f>
        <v>#VALUE!</v>
      </c>
      <c r="IG170" t="e">
        <f>AND(Bills!I696,"AAAAAD/+P/A=")</f>
        <v>#VALUE!</v>
      </c>
      <c r="IH170" t="e">
        <f>AND(Bills!J696,"AAAAAD/+P/E=")</f>
        <v>#VALUE!</v>
      </c>
      <c r="II170" t="e">
        <f>AND(Bills!K696,"AAAAAD/+P/I=")</f>
        <v>#VALUE!</v>
      </c>
      <c r="IJ170" t="e">
        <f>AND(Bills!L696,"AAAAAD/+P/M=")</f>
        <v>#VALUE!</v>
      </c>
      <c r="IK170" t="e">
        <f>AND(Bills!#REF!,"AAAAAD/+P/Q=")</f>
        <v>#REF!</v>
      </c>
      <c r="IL170" t="e">
        <f>AND(Bills!M696,"AAAAAD/+P/U=")</f>
        <v>#VALUE!</v>
      </c>
      <c r="IM170" t="e">
        <f>AND(Bills!N696,"AAAAAD/+P/Y=")</f>
        <v>#VALUE!</v>
      </c>
      <c r="IN170" t="e">
        <f>AND(Bills!O696,"AAAAAD/+P/c=")</f>
        <v>#VALUE!</v>
      </c>
      <c r="IO170" t="e">
        <f>AND(Bills!P696,"AAAAAD/+P/g=")</f>
        <v>#VALUE!</v>
      </c>
      <c r="IP170" t="e">
        <f>AND(Bills!Q696,"AAAAAD/+P/k=")</f>
        <v>#VALUE!</v>
      </c>
      <c r="IQ170" t="e">
        <f>AND(Bills!R696,"AAAAAD/+P/o=")</f>
        <v>#VALUE!</v>
      </c>
      <c r="IR170" t="e">
        <f>AND(Bills!S696,"AAAAAD/+P/s=")</f>
        <v>#VALUE!</v>
      </c>
      <c r="IS170" t="e">
        <f>AND(Bills!T696,"AAAAAD/+P/w=")</f>
        <v>#VALUE!</v>
      </c>
      <c r="IT170" t="e">
        <f>AND(Bills!#REF!,"AAAAAD/+P/0=")</f>
        <v>#REF!</v>
      </c>
      <c r="IU170" t="e">
        <f>AND(Bills!U696,"AAAAAD/+P/4=")</f>
        <v>#VALUE!</v>
      </c>
      <c r="IV170" t="e">
        <f>AND(Bills!V696,"AAAAAD/+P/8=")</f>
        <v>#VALUE!</v>
      </c>
    </row>
    <row r="171" spans="1:256">
      <c r="A171" t="e">
        <f>AND(Bills!W696,"AAAAAH087wA=")</f>
        <v>#VALUE!</v>
      </c>
      <c r="B171" t="e">
        <f>AND(Bills!#REF!,"AAAAAH087wE=")</f>
        <v>#REF!</v>
      </c>
      <c r="C171" t="e">
        <f>AND(Bills!#REF!,"AAAAAH087wI=")</f>
        <v>#REF!</v>
      </c>
      <c r="D171" t="e">
        <f>AND(Bills!Y696,"AAAAAH087wM=")</f>
        <v>#VALUE!</v>
      </c>
      <c r="E171" t="e">
        <f>AND(Bills!Z696,"AAAAAH087wQ=")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AND(Bills!AA696,"AAAAAH087w4=")</f>
        <v>#VALUE!</v>
      </c>
      <c r="P171" t="e">
        <f>AND(Bills!AB696,"AAAAAH087w8=")</f>
        <v>#VALUE!</v>
      </c>
      <c r="Q171" t="e">
        <f>AND(Bills!#REF!,"AAAAAH087xA=")</f>
        <v>#REF!</v>
      </c>
      <c r="R171" t="e">
        <f>AND(Bills!#REF!,"AAAAAH087xE=")</f>
        <v>#REF!</v>
      </c>
      <c r="S171" t="e">
        <f>AND(Bills!#REF!,"AAAAAH087xI=")</f>
        <v>#REF!</v>
      </c>
      <c r="T171" t="e">
        <f>AND(Bills!AC696,"AAAAAH087xM=")</f>
        <v>#VALUE!</v>
      </c>
      <c r="U171" t="e">
        <f>AND(Bills!AD696,"AAAAAH087xQ=")</f>
        <v>#VALUE!</v>
      </c>
      <c r="V171" t="e">
        <f>AND(Bills!#REF!,"AAAAAH087xU=")</f>
        <v>#REF!</v>
      </c>
      <c r="W171">
        <f>IF(Bills!697:697,"AAAAAH087xY=",0)</f>
        <v>0</v>
      </c>
      <c r="X171" t="e">
        <f>AND(Bills!B697,"AAAAAH087xc=")</f>
        <v>#VALUE!</v>
      </c>
      <c r="Y171" t="e">
        <f>AND(Bills!#REF!,"AAAAAH087xg=")</f>
        <v>#REF!</v>
      </c>
      <c r="Z171" t="e">
        <f>AND(Bills!C697,"AAAAAH087xk=")</f>
        <v>#VALUE!</v>
      </c>
      <c r="AA171" t="e">
        <f>AND(Bills!D697,"AAAAAH087xo=")</f>
        <v>#VALUE!</v>
      </c>
      <c r="AB171" t="e">
        <f>AND(Bills!E697,"AAAAAH087xs=")</f>
        <v>#VALUE!</v>
      </c>
      <c r="AC171" t="e">
        <f>AND(Bills!#REF!,"AAAAAH087xw=")</f>
        <v>#REF!</v>
      </c>
      <c r="AD171" t="e">
        <f>AND(Bills!#REF!,"AAAAAH087x0=")</f>
        <v>#REF!</v>
      </c>
      <c r="AE171" t="e">
        <f>AND(Bills!#REF!,"AAAAAH087x4=")</f>
        <v>#REF!</v>
      </c>
      <c r="AF171" t="e">
        <f>AND(Bills!F697,"AAAAAH087x8=")</f>
        <v>#VALUE!</v>
      </c>
      <c r="AG171" t="e">
        <f>AND(Bills!#REF!,"AAAAAH087yA=")</f>
        <v>#REF!</v>
      </c>
      <c r="AH171" t="e">
        <f>AND(Bills!G697,"AAAAAH087yE=")</f>
        <v>#VALUE!</v>
      </c>
      <c r="AI171" t="e">
        <f>AND(Bills!H697,"AAAAAH087yI=")</f>
        <v>#VALUE!</v>
      </c>
      <c r="AJ171" t="e">
        <f>AND(Bills!I697,"AAAAAH087yM=")</f>
        <v>#VALUE!</v>
      </c>
      <c r="AK171" t="e">
        <f>AND(Bills!J697,"AAAAAH087yQ=")</f>
        <v>#VALUE!</v>
      </c>
      <c r="AL171" t="e">
        <f>AND(Bills!K697,"AAAAAH087yU=")</f>
        <v>#VALUE!</v>
      </c>
      <c r="AM171" t="e">
        <f>AND(Bills!L697,"AAAAAH087yY=")</f>
        <v>#VALUE!</v>
      </c>
      <c r="AN171" t="e">
        <f>AND(Bills!#REF!,"AAAAAH087yc=")</f>
        <v>#REF!</v>
      </c>
      <c r="AO171" t="e">
        <f>AND(Bills!M697,"AAAAAH087yg=")</f>
        <v>#VALUE!</v>
      </c>
      <c r="AP171" t="e">
        <f>AND(Bills!N697,"AAAAAH087yk=")</f>
        <v>#VALUE!</v>
      </c>
      <c r="AQ171" t="e">
        <f>AND(Bills!O697,"AAAAAH087yo=")</f>
        <v>#VALUE!</v>
      </c>
      <c r="AR171" t="e">
        <f>AND(Bills!P697,"AAAAAH087ys=")</f>
        <v>#VALUE!</v>
      </c>
      <c r="AS171" t="e">
        <f>AND(Bills!Q697,"AAAAAH087yw=")</f>
        <v>#VALUE!</v>
      </c>
      <c r="AT171" t="e">
        <f>AND(Bills!R697,"AAAAAH087y0=")</f>
        <v>#VALUE!</v>
      </c>
      <c r="AU171" t="e">
        <f>AND(Bills!S697,"AAAAAH087y4=")</f>
        <v>#VALUE!</v>
      </c>
      <c r="AV171" t="e">
        <f>AND(Bills!T697,"AAAAAH087y8=")</f>
        <v>#VALUE!</v>
      </c>
      <c r="AW171" t="e">
        <f>AND(Bills!#REF!,"AAAAAH087zA=")</f>
        <v>#REF!</v>
      </c>
      <c r="AX171" t="e">
        <f>AND(Bills!U697,"AAAAAH087zE=")</f>
        <v>#VALUE!</v>
      </c>
      <c r="AY171" t="e">
        <f>AND(Bills!V697,"AAAAAH087zI=")</f>
        <v>#VALUE!</v>
      </c>
      <c r="AZ171" t="e">
        <f>AND(Bills!W697,"AAAAAH087zM=")</f>
        <v>#VALUE!</v>
      </c>
      <c r="BA171" t="e">
        <f>AND(Bills!#REF!,"AAAAAH087zQ=")</f>
        <v>#REF!</v>
      </c>
      <c r="BB171" t="e">
        <f>AND(Bills!#REF!,"AAAAAH087zU=")</f>
        <v>#REF!</v>
      </c>
      <c r="BC171" t="e">
        <f>AND(Bills!Y697,"AAAAAH087zY=")</f>
        <v>#VALUE!</v>
      </c>
      <c r="BD171" t="e">
        <f>AND(Bills!Z697,"AAAAAH087zc=")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AND(Bills!AA697,"AAAAAH0870E=")</f>
        <v>#VALUE!</v>
      </c>
      <c r="BO171" t="e">
        <f>AND(Bills!AB697,"AAAAAH0870I=")</f>
        <v>#VALUE!</v>
      </c>
      <c r="BP171" t="e">
        <f>AND(Bills!#REF!,"AAAAAH0870M=")</f>
        <v>#REF!</v>
      </c>
      <c r="BQ171" t="e">
        <f>AND(Bills!#REF!,"AAAAAH0870Q=")</f>
        <v>#REF!</v>
      </c>
      <c r="BR171" t="e">
        <f>AND(Bills!#REF!,"AAAAAH0870U=")</f>
        <v>#REF!</v>
      </c>
      <c r="BS171" t="e">
        <f>AND(Bills!AC697,"AAAAAH0870Y=")</f>
        <v>#VALUE!</v>
      </c>
      <c r="BT171" t="e">
        <f>AND(Bills!AD697,"AAAAAH0870c=")</f>
        <v>#VALUE!</v>
      </c>
      <c r="BU171" t="e">
        <f>AND(Bills!#REF!,"AAAAAH0870g=")</f>
        <v>#REF!</v>
      </c>
      <c r="BV171">
        <f>IF(Bills!698:698,"AAAAAH0870k=",0)</f>
        <v>0</v>
      </c>
      <c r="BW171" t="e">
        <f>AND(Bills!B698,"AAAAAH0870o=")</f>
        <v>#VALUE!</v>
      </c>
      <c r="BX171" t="e">
        <f>AND(Bills!#REF!,"AAAAAH0870s=")</f>
        <v>#REF!</v>
      </c>
      <c r="BY171" t="e">
        <f>AND(Bills!C698,"AAAAAH0870w=")</f>
        <v>#VALUE!</v>
      </c>
      <c r="BZ171" t="e">
        <f>AND(Bills!D698,"AAAAAH08700=")</f>
        <v>#VALUE!</v>
      </c>
      <c r="CA171" t="e">
        <f>AND(Bills!E698,"AAAAAH08704=")</f>
        <v>#VALUE!</v>
      </c>
      <c r="CB171" t="e">
        <f>AND(Bills!#REF!,"AAAAAH08708=")</f>
        <v>#REF!</v>
      </c>
      <c r="CC171" t="e">
        <f>AND(Bills!#REF!,"AAAAAH0871A=")</f>
        <v>#REF!</v>
      </c>
      <c r="CD171" t="e">
        <f>AND(Bills!#REF!,"AAAAAH0871E=")</f>
        <v>#REF!</v>
      </c>
      <c r="CE171" t="e">
        <f>AND(Bills!F698,"AAAAAH0871I=")</f>
        <v>#VALUE!</v>
      </c>
      <c r="CF171" t="e">
        <f>AND(Bills!#REF!,"AAAAAH0871M=")</f>
        <v>#REF!</v>
      </c>
      <c r="CG171" t="e">
        <f>AND(Bills!G698,"AAAAAH0871Q=")</f>
        <v>#VALUE!</v>
      </c>
      <c r="CH171" t="e">
        <f>AND(Bills!H698,"AAAAAH0871U=")</f>
        <v>#VALUE!</v>
      </c>
      <c r="CI171" t="e">
        <f>AND(Bills!I698,"AAAAAH0871Y=")</f>
        <v>#VALUE!</v>
      </c>
      <c r="CJ171" t="e">
        <f>AND(Bills!J698,"AAAAAH0871c=")</f>
        <v>#VALUE!</v>
      </c>
      <c r="CK171" t="e">
        <f>AND(Bills!K698,"AAAAAH0871g=")</f>
        <v>#VALUE!</v>
      </c>
      <c r="CL171" t="e">
        <f>AND(Bills!L698,"AAAAAH0871k=")</f>
        <v>#VALUE!</v>
      </c>
      <c r="CM171" t="e">
        <f>AND(Bills!#REF!,"AAAAAH0871o=")</f>
        <v>#REF!</v>
      </c>
      <c r="CN171" t="e">
        <f>AND(Bills!M698,"AAAAAH0871s=")</f>
        <v>#VALUE!</v>
      </c>
      <c r="CO171" t="e">
        <f>AND(Bills!N698,"AAAAAH0871w=")</f>
        <v>#VALUE!</v>
      </c>
      <c r="CP171" t="e">
        <f>AND(Bills!O698,"AAAAAH08710=")</f>
        <v>#VALUE!</v>
      </c>
      <c r="CQ171" t="e">
        <f>AND(Bills!P698,"AAAAAH08714=")</f>
        <v>#VALUE!</v>
      </c>
      <c r="CR171" t="e">
        <f>AND(Bills!Q698,"AAAAAH08718=")</f>
        <v>#VALUE!</v>
      </c>
      <c r="CS171" t="e">
        <f>AND(Bills!R698,"AAAAAH0872A=")</f>
        <v>#VALUE!</v>
      </c>
      <c r="CT171" t="e">
        <f>AND(Bills!S698,"AAAAAH0872E=")</f>
        <v>#VALUE!</v>
      </c>
      <c r="CU171" t="e">
        <f>AND(Bills!T698,"AAAAAH0872I=")</f>
        <v>#VALUE!</v>
      </c>
      <c r="CV171" t="e">
        <f>AND(Bills!#REF!,"AAAAAH0872M=")</f>
        <v>#REF!</v>
      </c>
      <c r="CW171" t="e">
        <f>AND(Bills!U698,"AAAAAH0872Q=")</f>
        <v>#VALUE!</v>
      </c>
      <c r="CX171" t="e">
        <f>AND(Bills!V698,"AAAAAH0872U=")</f>
        <v>#VALUE!</v>
      </c>
      <c r="CY171" t="e">
        <f>AND(Bills!W698,"AAAAAH0872Y=")</f>
        <v>#VALUE!</v>
      </c>
      <c r="CZ171" t="e">
        <f>AND(Bills!#REF!,"AAAAAH0872c=")</f>
        <v>#REF!</v>
      </c>
      <c r="DA171" t="e">
        <f>AND(Bills!#REF!,"AAAAAH0872g=")</f>
        <v>#REF!</v>
      </c>
      <c r="DB171" t="e">
        <f>AND(Bills!Y698,"AAAAAH0872k=")</f>
        <v>#VALUE!</v>
      </c>
      <c r="DC171" t="e">
        <f>AND(Bills!Z698,"AAAAAH0872o=")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AND(Bills!AA698,"AAAAAH0873Q=")</f>
        <v>#VALUE!</v>
      </c>
      <c r="DN171" t="e">
        <f>AND(Bills!AB698,"AAAAAH0873U=")</f>
        <v>#VALUE!</v>
      </c>
      <c r="DO171" t="e">
        <f>AND(Bills!#REF!,"AAAAAH0873Y=")</f>
        <v>#REF!</v>
      </c>
      <c r="DP171" t="e">
        <f>AND(Bills!#REF!,"AAAAAH0873c=")</f>
        <v>#REF!</v>
      </c>
      <c r="DQ171" t="e">
        <f>AND(Bills!#REF!,"AAAAAH0873g=")</f>
        <v>#REF!</v>
      </c>
      <c r="DR171" t="e">
        <f>AND(Bills!AC698,"AAAAAH0873k=")</f>
        <v>#VALUE!</v>
      </c>
      <c r="DS171" t="e">
        <f>AND(Bills!AD698,"AAAAAH0873o=")</f>
        <v>#VALUE!</v>
      </c>
      <c r="DT171" t="e">
        <f>AND(Bills!#REF!,"AAAAAH0873s=")</f>
        <v>#REF!</v>
      </c>
      <c r="DU171">
        <f>IF(Bills!699:699,"AAAAAH0873w=",0)</f>
        <v>0</v>
      </c>
      <c r="DV171" t="e">
        <f>AND(Bills!B699,"AAAAAH08730=")</f>
        <v>#VALUE!</v>
      </c>
      <c r="DW171" t="e">
        <f>AND(Bills!#REF!,"AAAAAH08734=")</f>
        <v>#REF!</v>
      </c>
      <c r="DX171" t="e">
        <f>AND(Bills!C699,"AAAAAH08738=")</f>
        <v>#VALUE!</v>
      </c>
      <c r="DY171" t="e">
        <f>AND(Bills!D699,"AAAAAH0874A=")</f>
        <v>#VALUE!</v>
      </c>
      <c r="DZ171" t="e">
        <f>AND(Bills!E699,"AAAAAH0874E=")</f>
        <v>#VALUE!</v>
      </c>
      <c r="EA171" t="e">
        <f>AND(Bills!#REF!,"AAAAAH0874I=")</f>
        <v>#REF!</v>
      </c>
      <c r="EB171" t="e">
        <f>AND(Bills!#REF!,"AAAAAH0874M=")</f>
        <v>#REF!</v>
      </c>
      <c r="EC171" t="e">
        <f>AND(Bills!#REF!,"AAAAAH0874Q=")</f>
        <v>#REF!</v>
      </c>
      <c r="ED171" t="e">
        <f>AND(Bills!F699,"AAAAAH0874U=")</f>
        <v>#VALUE!</v>
      </c>
      <c r="EE171" t="e">
        <f>AND(Bills!#REF!,"AAAAAH0874Y=")</f>
        <v>#REF!</v>
      </c>
      <c r="EF171" t="e">
        <f>AND(Bills!G699,"AAAAAH0874c=")</f>
        <v>#VALUE!</v>
      </c>
      <c r="EG171" t="e">
        <f>AND(Bills!H699,"AAAAAH0874g=")</f>
        <v>#VALUE!</v>
      </c>
      <c r="EH171" t="e">
        <f>AND(Bills!I699,"AAAAAH0874k=")</f>
        <v>#VALUE!</v>
      </c>
      <c r="EI171" t="e">
        <f>AND(Bills!J699,"AAAAAH0874o=")</f>
        <v>#VALUE!</v>
      </c>
      <c r="EJ171" t="e">
        <f>AND(Bills!K699,"AAAAAH0874s=")</f>
        <v>#VALUE!</v>
      </c>
      <c r="EK171" t="e">
        <f>AND(Bills!L699,"AAAAAH0874w=")</f>
        <v>#VALUE!</v>
      </c>
      <c r="EL171" t="e">
        <f>AND(Bills!#REF!,"AAAAAH08740=")</f>
        <v>#REF!</v>
      </c>
      <c r="EM171" t="e">
        <f>AND(Bills!M699,"AAAAAH08744=")</f>
        <v>#VALUE!</v>
      </c>
      <c r="EN171" t="e">
        <f>AND(Bills!N699,"AAAAAH08748=")</f>
        <v>#VALUE!</v>
      </c>
      <c r="EO171" t="e">
        <f>AND(Bills!O699,"AAAAAH0875A=")</f>
        <v>#VALUE!</v>
      </c>
      <c r="EP171" t="e">
        <f>AND(Bills!P699,"AAAAAH0875E=")</f>
        <v>#VALUE!</v>
      </c>
      <c r="EQ171" t="e">
        <f>AND(Bills!Q699,"AAAAAH0875I=")</f>
        <v>#VALUE!</v>
      </c>
      <c r="ER171" t="e">
        <f>AND(Bills!R699,"AAAAAH0875M=")</f>
        <v>#VALUE!</v>
      </c>
      <c r="ES171" t="e">
        <f>AND(Bills!S699,"AAAAAH0875Q=")</f>
        <v>#VALUE!</v>
      </c>
      <c r="ET171" t="e">
        <f>AND(Bills!T699,"AAAAAH0875U=")</f>
        <v>#VALUE!</v>
      </c>
      <c r="EU171" t="e">
        <f>AND(Bills!#REF!,"AAAAAH0875Y=")</f>
        <v>#REF!</v>
      </c>
      <c r="EV171" t="e">
        <f>AND(Bills!U699,"AAAAAH0875c=")</f>
        <v>#VALUE!</v>
      </c>
      <c r="EW171" t="e">
        <f>AND(Bills!V699,"AAAAAH0875g=")</f>
        <v>#VALUE!</v>
      </c>
      <c r="EX171" t="e">
        <f>AND(Bills!W699,"AAAAAH0875k=")</f>
        <v>#VALUE!</v>
      </c>
      <c r="EY171" t="e">
        <f>AND(Bills!#REF!,"AAAAAH0875o=")</f>
        <v>#REF!</v>
      </c>
      <c r="EZ171" t="e">
        <f>AND(Bills!#REF!,"AAAAAH0875s=")</f>
        <v>#REF!</v>
      </c>
      <c r="FA171" t="e">
        <f>AND(Bills!Y699,"AAAAAH0875w=")</f>
        <v>#VALUE!</v>
      </c>
      <c r="FB171" t="e">
        <f>AND(Bills!Z699,"AAAAAH08750=")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AND(Bills!AA699,"AAAAAH0876c=")</f>
        <v>#VALUE!</v>
      </c>
      <c r="FM171" t="e">
        <f>AND(Bills!AB699,"AAAAAH0876g=")</f>
        <v>#VALUE!</v>
      </c>
      <c r="FN171" t="e">
        <f>AND(Bills!#REF!,"AAAAAH0876k=")</f>
        <v>#REF!</v>
      </c>
      <c r="FO171" t="e">
        <f>AND(Bills!#REF!,"AAAAAH0876o=")</f>
        <v>#REF!</v>
      </c>
      <c r="FP171" t="e">
        <f>AND(Bills!#REF!,"AAAAAH0876s=")</f>
        <v>#REF!</v>
      </c>
      <c r="FQ171" t="e">
        <f>AND(Bills!AC699,"AAAAAH0876w=")</f>
        <v>#VALUE!</v>
      </c>
      <c r="FR171" t="e">
        <f>AND(Bills!AD699,"AAAAAH08760=")</f>
        <v>#VALUE!</v>
      </c>
      <c r="FS171" t="e">
        <f>AND(Bills!#REF!,"AAAAAH08764=")</f>
        <v>#REF!</v>
      </c>
      <c r="FT171">
        <f>IF(Bills!700:700,"AAAAAH08768=",0)</f>
        <v>0</v>
      </c>
      <c r="FU171" t="e">
        <f>AND(Bills!B700,"AAAAAH0877A=")</f>
        <v>#VALUE!</v>
      </c>
      <c r="FV171" t="e">
        <f>AND(Bills!#REF!,"AAAAAH0877E=")</f>
        <v>#REF!</v>
      </c>
      <c r="FW171" t="e">
        <f>AND(Bills!C700,"AAAAAH0877I=")</f>
        <v>#VALUE!</v>
      </c>
      <c r="FX171" t="e">
        <f>AND(Bills!D700,"AAAAAH0877M=")</f>
        <v>#VALUE!</v>
      </c>
      <c r="FY171" t="e">
        <f>AND(Bills!E700,"AAAAAH0877Q=")</f>
        <v>#VALUE!</v>
      </c>
      <c r="FZ171" t="e">
        <f>AND(Bills!#REF!,"AAAAAH0877U=")</f>
        <v>#REF!</v>
      </c>
      <c r="GA171" t="e">
        <f>AND(Bills!#REF!,"AAAAAH0877Y=")</f>
        <v>#REF!</v>
      </c>
      <c r="GB171" t="e">
        <f>AND(Bills!#REF!,"AAAAAH0877c=")</f>
        <v>#REF!</v>
      </c>
      <c r="GC171" t="e">
        <f>AND(Bills!F700,"AAAAAH0877g=")</f>
        <v>#VALUE!</v>
      </c>
      <c r="GD171" t="e">
        <f>AND(Bills!#REF!,"AAAAAH0877k=")</f>
        <v>#REF!</v>
      </c>
      <c r="GE171" t="e">
        <f>AND(Bills!G700,"AAAAAH0877o=")</f>
        <v>#VALUE!</v>
      </c>
      <c r="GF171" t="e">
        <f>AND(Bills!H700,"AAAAAH0877s=")</f>
        <v>#VALUE!</v>
      </c>
      <c r="GG171" t="e">
        <f>AND(Bills!I700,"AAAAAH0877w=")</f>
        <v>#VALUE!</v>
      </c>
      <c r="GH171" t="e">
        <f>AND(Bills!J700,"AAAAAH08770=")</f>
        <v>#VALUE!</v>
      </c>
      <c r="GI171" t="e">
        <f>AND(Bills!K700,"AAAAAH08774=")</f>
        <v>#VALUE!</v>
      </c>
      <c r="GJ171" t="e">
        <f>AND(Bills!L700,"AAAAAH08778=")</f>
        <v>#VALUE!</v>
      </c>
      <c r="GK171" t="e">
        <f>AND(Bills!#REF!,"AAAAAH0878A=")</f>
        <v>#REF!</v>
      </c>
      <c r="GL171" t="e">
        <f>AND(Bills!M700,"AAAAAH0878E=")</f>
        <v>#VALUE!</v>
      </c>
      <c r="GM171" t="e">
        <f>AND(Bills!N700,"AAAAAH0878I=")</f>
        <v>#VALUE!</v>
      </c>
      <c r="GN171" t="e">
        <f>AND(Bills!O700,"AAAAAH0878M=")</f>
        <v>#VALUE!</v>
      </c>
      <c r="GO171" t="e">
        <f>AND(Bills!P700,"AAAAAH0878Q=")</f>
        <v>#VALUE!</v>
      </c>
      <c r="GP171" t="e">
        <f>AND(Bills!Q700,"AAAAAH0878U=")</f>
        <v>#VALUE!</v>
      </c>
      <c r="GQ171" t="e">
        <f>AND(Bills!R700,"AAAAAH0878Y=")</f>
        <v>#VALUE!</v>
      </c>
      <c r="GR171" t="e">
        <f>AND(Bills!S700,"AAAAAH0878c=")</f>
        <v>#VALUE!</v>
      </c>
      <c r="GS171" t="e">
        <f>AND(Bills!T700,"AAAAAH0878g=")</f>
        <v>#VALUE!</v>
      </c>
      <c r="GT171" t="e">
        <f>AND(Bills!#REF!,"AAAAAH0878k=")</f>
        <v>#REF!</v>
      </c>
      <c r="GU171" t="e">
        <f>AND(Bills!U700,"AAAAAH0878o=")</f>
        <v>#VALUE!</v>
      </c>
      <c r="GV171" t="e">
        <f>AND(Bills!V700,"AAAAAH0878s=")</f>
        <v>#VALUE!</v>
      </c>
      <c r="GW171" t="e">
        <f>AND(Bills!W700,"AAAAAH0878w=")</f>
        <v>#VALUE!</v>
      </c>
      <c r="GX171" t="e">
        <f>AND(Bills!#REF!,"AAAAAH08780=")</f>
        <v>#REF!</v>
      </c>
      <c r="GY171" t="e">
        <f>AND(Bills!#REF!,"AAAAAH08784=")</f>
        <v>#REF!</v>
      </c>
      <c r="GZ171" t="e">
        <f>AND(Bills!Y700,"AAAAAH08788=")</f>
        <v>#VALUE!</v>
      </c>
      <c r="HA171" t="e">
        <f>AND(Bills!Z700,"AAAAAH0879A=")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AND(Bills!AA700,"AAAAAH0879o=")</f>
        <v>#VALUE!</v>
      </c>
      <c r="HL171" t="e">
        <f>AND(Bills!AB700,"AAAAAH0879s=")</f>
        <v>#VALUE!</v>
      </c>
      <c r="HM171" t="e">
        <f>AND(Bills!#REF!,"AAAAAH0879w=")</f>
        <v>#REF!</v>
      </c>
      <c r="HN171" t="e">
        <f>AND(Bills!#REF!,"AAAAAH08790=")</f>
        <v>#REF!</v>
      </c>
      <c r="HO171" t="e">
        <f>AND(Bills!#REF!,"AAAAAH08794=")</f>
        <v>#REF!</v>
      </c>
      <c r="HP171" t="e">
        <f>AND(Bills!AC700,"AAAAAH08798=")</f>
        <v>#VALUE!</v>
      </c>
      <c r="HQ171" t="e">
        <f>AND(Bills!AD700,"AAAAAH087+A=")</f>
        <v>#VALUE!</v>
      </c>
      <c r="HR171" t="e">
        <f>AND(Bills!#REF!,"AAAAAH087+E=")</f>
        <v>#REF!</v>
      </c>
      <c r="HS171">
        <f>IF(Bills!701:701,"AAAAAH087+I=",0)</f>
        <v>0</v>
      </c>
      <c r="HT171" t="e">
        <f>AND(Bills!B701,"AAAAAH087+M=")</f>
        <v>#VALUE!</v>
      </c>
      <c r="HU171" t="e">
        <f>AND(Bills!#REF!,"AAAAAH087+Q=")</f>
        <v>#REF!</v>
      </c>
      <c r="HV171" t="e">
        <f>AND(Bills!C701,"AAAAAH087+U=")</f>
        <v>#VALUE!</v>
      </c>
      <c r="HW171" t="e">
        <f>AND(Bills!D701,"AAAAAH087+Y=")</f>
        <v>#VALUE!</v>
      </c>
      <c r="HX171" t="e">
        <f>AND(Bills!E701,"AAAAAH087+c=")</f>
        <v>#VALUE!</v>
      </c>
      <c r="HY171" t="e">
        <f>AND(Bills!#REF!,"AAAAAH087+g=")</f>
        <v>#REF!</v>
      </c>
      <c r="HZ171" t="e">
        <f>AND(Bills!#REF!,"AAAAAH087+k=")</f>
        <v>#REF!</v>
      </c>
      <c r="IA171" t="e">
        <f>AND(Bills!#REF!,"AAAAAH087+o=")</f>
        <v>#REF!</v>
      </c>
      <c r="IB171" t="e">
        <f>AND(Bills!F701,"AAAAAH087+s=")</f>
        <v>#VALUE!</v>
      </c>
      <c r="IC171" t="e">
        <f>AND(Bills!#REF!,"AAAAAH087+w=")</f>
        <v>#REF!</v>
      </c>
      <c r="ID171" t="e">
        <f>AND(Bills!G701,"AAAAAH087+0=")</f>
        <v>#VALUE!</v>
      </c>
      <c r="IE171" t="e">
        <f>AND(Bills!H701,"AAAAAH087+4=")</f>
        <v>#VALUE!</v>
      </c>
      <c r="IF171" t="e">
        <f>AND(Bills!I701,"AAAAAH087+8=")</f>
        <v>#VALUE!</v>
      </c>
      <c r="IG171" t="e">
        <f>AND(Bills!J701,"AAAAAH087/A=")</f>
        <v>#VALUE!</v>
      </c>
      <c r="IH171" t="e">
        <f>AND(Bills!K701,"AAAAAH087/E=")</f>
        <v>#VALUE!</v>
      </c>
      <c r="II171" t="e">
        <f>AND(Bills!L701,"AAAAAH087/I=")</f>
        <v>#VALUE!</v>
      </c>
      <c r="IJ171" t="e">
        <f>AND(Bills!#REF!,"AAAAAH087/M=")</f>
        <v>#REF!</v>
      </c>
      <c r="IK171" t="e">
        <f>AND(Bills!M701,"AAAAAH087/Q=")</f>
        <v>#VALUE!</v>
      </c>
      <c r="IL171" t="e">
        <f>AND(Bills!N701,"AAAAAH087/U=")</f>
        <v>#VALUE!</v>
      </c>
      <c r="IM171" t="e">
        <f>AND(Bills!O701,"AAAAAH087/Y=")</f>
        <v>#VALUE!</v>
      </c>
      <c r="IN171" t="e">
        <f>AND(Bills!P701,"AAAAAH087/c=")</f>
        <v>#VALUE!</v>
      </c>
      <c r="IO171" t="e">
        <f>AND(Bills!Q701,"AAAAAH087/g=")</f>
        <v>#VALUE!</v>
      </c>
      <c r="IP171" t="e">
        <f>AND(Bills!R701,"AAAAAH087/k=")</f>
        <v>#VALUE!</v>
      </c>
      <c r="IQ171" t="e">
        <f>AND(Bills!S701,"AAAAAH087/o=")</f>
        <v>#VALUE!</v>
      </c>
      <c r="IR171" t="e">
        <f>AND(Bills!T701,"AAAAAH087/s=")</f>
        <v>#VALUE!</v>
      </c>
      <c r="IS171" t="e">
        <f>AND(Bills!#REF!,"AAAAAH087/w=")</f>
        <v>#REF!</v>
      </c>
      <c r="IT171" t="e">
        <f>AND(Bills!U701,"AAAAAH087/0=")</f>
        <v>#VALUE!</v>
      </c>
      <c r="IU171" t="e">
        <f>AND(Bills!V701,"AAAAAH087/4=")</f>
        <v>#VALUE!</v>
      </c>
      <c r="IV171" t="e">
        <f>AND(Bills!W701,"AAAAAH087/8=")</f>
        <v>#VALUE!</v>
      </c>
    </row>
    <row r="172" spans="1:256">
      <c r="A172" t="e">
        <f>AND(Bills!#REF!,"AAAAAGf7/wA=")</f>
        <v>#REF!</v>
      </c>
      <c r="B172" t="e">
        <f>AND(Bills!#REF!,"AAAAAGf7/wE=")</f>
        <v>#REF!</v>
      </c>
      <c r="C172" t="e">
        <f>AND(Bills!Y701,"AAAAAGf7/wI=")</f>
        <v>#VALUE!</v>
      </c>
      <c r="D172" t="e">
        <f>AND(Bills!Z701,"AAAAAGf7/wM=")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AND(Bills!AA701,"AAAAAGf7/w0=")</f>
        <v>#VALUE!</v>
      </c>
      <c r="O172" t="e">
        <f>AND(Bills!AB701,"AAAAAGf7/w4=")</f>
        <v>#VALUE!</v>
      </c>
      <c r="P172" t="e">
        <f>AND(Bills!#REF!,"AAAAAGf7/w8=")</f>
        <v>#REF!</v>
      </c>
      <c r="Q172" t="e">
        <f>AND(Bills!#REF!,"AAAAAGf7/xA=")</f>
        <v>#REF!</v>
      </c>
      <c r="R172" t="e">
        <f>AND(Bills!#REF!,"AAAAAGf7/xE=")</f>
        <v>#REF!</v>
      </c>
      <c r="S172" t="e">
        <f>AND(Bills!AC701,"AAAAAGf7/xI=")</f>
        <v>#VALUE!</v>
      </c>
      <c r="T172" t="e">
        <f>AND(Bills!AD701,"AAAAAGf7/xM=")</f>
        <v>#VALUE!</v>
      </c>
      <c r="U172" t="e">
        <f>AND(Bills!#REF!,"AAAAAGf7/xQ=")</f>
        <v>#REF!</v>
      </c>
      <c r="V172">
        <f>IF(Bills!702:702,"AAAAAGf7/xU=",0)</f>
        <v>0</v>
      </c>
      <c r="W172" t="e">
        <f>AND(Bills!B702,"AAAAAGf7/xY=")</f>
        <v>#VALUE!</v>
      </c>
      <c r="X172" t="e">
        <f>AND(Bills!#REF!,"AAAAAGf7/xc=")</f>
        <v>#REF!</v>
      </c>
      <c r="Y172" t="e">
        <f>AND(Bills!C702,"AAAAAGf7/xg=")</f>
        <v>#VALUE!</v>
      </c>
      <c r="Z172" t="e">
        <f>AND(Bills!D702,"AAAAAGf7/xk=")</f>
        <v>#VALUE!</v>
      </c>
      <c r="AA172" t="e">
        <f>AND(Bills!E702,"AAAAAGf7/xo=")</f>
        <v>#VALUE!</v>
      </c>
      <c r="AB172" t="e">
        <f>AND(Bills!#REF!,"AAAAAGf7/xs=")</f>
        <v>#REF!</v>
      </c>
      <c r="AC172" t="e">
        <f>AND(Bills!#REF!,"AAAAAGf7/xw=")</f>
        <v>#REF!</v>
      </c>
      <c r="AD172" t="e">
        <f>AND(Bills!#REF!,"AAAAAGf7/x0=")</f>
        <v>#REF!</v>
      </c>
      <c r="AE172" t="e">
        <f>AND(Bills!F702,"AAAAAGf7/x4=")</f>
        <v>#VALUE!</v>
      </c>
      <c r="AF172" t="e">
        <f>AND(Bills!#REF!,"AAAAAGf7/x8=")</f>
        <v>#REF!</v>
      </c>
      <c r="AG172" t="e">
        <f>AND(Bills!G702,"AAAAAGf7/yA=")</f>
        <v>#VALUE!</v>
      </c>
      <c r="AH172" t="e">
        <f>AND(Bills!H702,"AAAAAGf7/yE=")</f>
        <v>#VALUE!</v>
      </c>
      <c r="AI172" t="e">
        <f>AND(Bills!I702,"AAAAAGf7/yI=")</f>
        <v>#VALUE!</v>
      </c>
      <c r="AJ172" t="e">
        <f>AND(Bills!J702,"AAAAAGf7/yM=")</f>
        <v>#VALUE!</v>
      </c>
      <c r="AK172" t="e">
        <f>AND(Bills!K702,"AAAAAGf7/yQ=")</f>
        <v>#VALUE!</v>
      </c>
      <c r="AL172" t="e">
        <f>AND(Bills!L702,"AAAAAGf7/yU=")</f>
        <v>#VALUE!</v>
      </c>
      <c r="AM172" t="e">
        <f>AND(Bills!#REF!,"AAAAAGf7/yY=")</f>
        <v>#REF!</v>
      </c>
      <c r="AN172" t="e">
        <f>AND(Bills!M702,"AAAAAGf7/yc=")</f>
        <v>#VALUE!</v>
      </c>
      <c r="AO172" t="e">
        <f>AND(Bills!N702,"AAAAAGf7/yg=")</f>
        <v>#VALUE!</v>
      </c>
      <c r="AP172" t="e">
        <f>AND(Bills!O702,"AAAAAGf7/yk=")</f>
        <v>#VALUE!</v>
      </c>
      <c r="AQ172" t="e">
        <f>AND(Bills!P702,"AAAAAGf7/yo=")</f>
        <v>#VALUE!</v>
      </c>
      <c r="AR172" t="e">
        <f>AND(Bills!Q702,"AAAAAGf7/ys=")</f>
        <v>#VALUE!</v>
      </c>
      <c r="AS172" t="e">
        <f>AND(Bills!R702,"AAAAAGf7/yw=")</f>
        <v>#VALUE!</v>
      </c>
      <c r="AT172" t="e">
        <f>AND(Bills!S702,"AAAAAGf7/y0=")</f>
        <v>#VALUE!</v>
      </c>
      <c r="AU172" t="e">
        <f>AND(Bills!T702,"AAAAAGf7/y4=")</f>
        <v>#VALUE!</v>
      </c>
      <c r="AV172" t="e">
        <f>AND(Bills!#REF!,"AAAAAGf7/y8=")</f>
        <v>#REF!</v>
      </c>
      <c r="AW172" t="e">
        <f>AND(Bills!U702,"AAAAAGf7/zA=")</f>
        <v>#VALUE!</v>
      </c>
      <c r="AX172" t="e">
        <f>AND(Bills!V702,"AAAAAGf7/zE=")</f>
        <v>#VALUE!</v>
      </c>
      <c r="AY172" t="e">
        <f>AND(Bills!W702,"AAAAAGf7/zI=")</f>
        <v>#VALUE!</v>
      </c>
      <c r="AZ172" t="e">
        <f>AND(Bills!#REF!,"AAAAAGf7/zM=")</f>
        <v>#REF!</v>
      </c>
      <c r="BA172" t="e">
        <f>AND(Bills!#REF!,"AAAAAGf7/zQ=")</f>
        <v>#REF!</v>
      </c>
      <c r="BB172" t="e">
        <f>AND(Bills!Y702,"AAAAAGf7/zU=")</f>
        <v>#VALUE!</v>
      </c>
      <c r="BC172" t="e">
        <f>AND(Bills!Z702,"AAAAAGf7/zY=")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AND(Bills!AA702,"AAAAAGf7/0A=")</f>
        <v>#VALUE!</v>
      </c>
      <c r="BN172" t="e">
        <f>AND(Bills!AB702,"AAAAAGf7/0E=")</f>
        <v>#VALUE!</v>
      </c>
      <c r="BO172" t="e">
        <f>AND(Bills!#REF!,"AAAAAGf7/0I=")</f>
        <v>#REF!</v>
      </c>
      <c r="BP172" t="e">
        <f>AND(Bills!#REF!,"AAAAAGf7/0M=")</f>
        <v>#REF!</v>
      </c>
      <c r="BQ172" t="e">
        <f>AND(Bills!#REF!,"AAAAAGf7/0Q=")</f>
        <v>#REF!</v>
      </c>
      <c r="BR172" t="e">
        <f>AND(Bills!AC702,"AAAAAGf7/0U=")</f>
        <v>#VALUE!</v>
      </c>
      <c r="BS172" t="e">
        <f>AND(Bills!AD702,"AAAAAGf7/0Y=")</f>
        <v>#VALUE!</v>
      </c>
      <c r="BT172" t="e">
        <f>AND(Bills!#REF!,"AAAAAGf7/0c=")</f>
        <v>#REF!</v>
      </c>
      <c r="BU172">
        <f>IF(Bills!703:703,"AAAAAGf7/0g=",0)</f>
        <v>0</v>
      </c>
      <c r="BV172" t="e">
        <f>AND(Bills!B703,"AAAAAGf7/0k=")</f>
        <v>#VALUE!</v>
      </c>
      <c r="BW172" t="e">
        <f>AND(Bills!#REF!,"AAAAAGf7/0o=")</f>
        <v>#REF!</v>
      </c>
      <c r="BX172" t="e">
        <f>AND(Bills!C703,"AAAAAGf7/0s=")</f>
        <v>#VALUE!</v>
      </c>
      <c r="BY172" t="e">
        <f>AND(Bills!D703,"AAAAAGf7/0w=")</f>
        <v>#VALUE!</v>
      </c>
      <c r="BZ172" t="e">
        <f>AND(Bills!E703,"AAAAAGf7/00=")</f>
        <v>#VALUE!</v>
      </c>
      <c r="CA172" t="e">
        <f>AND(Bills!#REF!,"AAAAAGf7/04=")</f>
        <v>#REF!</v>
      </c>
      <c r="CB172" t="e">
        <f>AND(Bills!#REF!,"AAAAAGf7/08=")</f>
        <v>#REF!</v>
      </c>
      <c r="CC172" t="e">
        <f>AND(Bills!#REF!,"AAAAAGf7/1A=")</f>
        <v>#REF!</v>
      </c>
      <c r="CD172" t="e">
        <f>AND(Bills!F703,"AAAAAGf7/1E=")</f>
        <v>#VALUE!</v>
      </c>
      <c r="CE172" t="e">
        <f>AND(Bills!#REF!,"AAAAAGf7/1I=")</f>
        <v>#REF!</v>
      </c>
      <c r="CF172" t="e">
        <f>AND(Bills!G703,"AAAAAGf7/1M=")</f>
        <v>#VALUE!</v>
      </c>
      <c r="CG172" t="e">
        <f>AND(Bills!H703,"AAAAAGf7/1Q=")</f>
        <v>#VALUE!</v>
      </c>
      <c r="CH172" t="e">
        <f>AND(Bills!I703,"AAAAAGf7/1U=")</f>
        <v>#VALUE!</v>
      </c>
      <c r="CI172" t="e">
        <f>AND(Bills!J703,"AAAAAGf7/1Y=")</f>
        <v>#VALUE!</v>
      </c>
      <c r="CJ172" t="e">
        <f>AND(Bills!K703,"AAAAAGf7/1c=")</f>
        <v>#VALUE!</v>
      </c>
      <c r="CK172" t="e">
        <f>AND(Bills!L703,"AAAAAGf7/1g=")</f>
        <v>#VALUE!</v>
      </c>
      <c r="CL172" t="e">
        <f>AND(Bills!#REF!,"AAAAAGf7/1k=")</f>
        <v>#REF!</v>
      </c>
      <c r="CM172" t="e">
        <f>AND(Bills!M703,"AAAAAGf7/1o=")</f>
        <v>#VALUE!</v>
      </c>
      <c r="CN172" t="e">
        <f>AND(Bills!N703,"AAAAAGf7/1s=")</f>
        <v>#VALUE!</v>
      </c>
      <c r="CO172" t="e">
        <f>AND(Bills!O703,"AAAAAGf7/1w=")</f>
        <v>#VALUE!</v>
      </c>
      <c r="CP172" t="e">
        <f>AND(Bills!P703,"AAAAAGf7/10=")</f>
        <v>#VALUE!</v>
      </c>
      <c r="CQ172" t="e">
        <f>AND(Bills!Q703,"AAAAAGf7/14=")</f>
        <v>#VALUE!</v>
      </c>
      <c r="CR172" t="e">
        <f>AND(Bills!R703,"AAAAAGf7/18=")</f>
        <v>#VALUE!</v>
      </c>
      <c r="CS172" t="e">
        <f>AND(Bills!S703,"AAAAAGf7/2A=")</f>
        <v>#VALUE!</v>
      </c>
      <c r="CT172" t="e">
        <f>AND(Bills!T703,"AAAAAGf7/2E=")</f>
        <v>#VALUE!</v>
      </c>
      <c r="CU172" t="e">
        <f>AND(Bills!#REF!,"AAAAAGf7/2I=")</f>
        <v>#REF!</v>
      </c>
      <c r="CV172" t="e">
        <f>AND(Bills!U703,"AAAAAGf7/2M=")</f>
        <v>#VALUE!</v>
      </c>
      <c r="CW172" t="e">
        <f>AND(Bills!V703,"AAAAAGf7/2Q=")</f>
        <v>#VALUE!</v>
      </c>
      <c r="CX172" t="e">
        <f>AND(Bills!W703,"AAAAAGf7/2U=")</f>
        <v>#VALUE!</v>
      </c>
      <c r="CY172" t="e">
        <f>AND(Bills!#REF!,"AAAAAGf7/2Y=")</f>
        <v>#REF!</v>
      </c>
      <c r="CZ172" t="e">
        <f>AND(Bills!#REF!,"AAAAAGf7/2c=")</f>
        <v>#REF!</v>
      </c>
      <c r="DA172" t="e">
        <f>AND(Bills!Y703,"AAAAAGf7/2g=")</f>
        <v>#VALUE!</v>
      </c>
      <c r="DB172" t="e">
        <f>AND(Bills!Z703,"AAAAAGf7/2k=")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AND(Bills!AA703,"AAAAAGf7/3M=")</f>
        <v>#VALUE!</v>
      </c>
      <c r="DM172" t="e">
        <f>AND(Bills!AB703,"AAAAAGf7/3Q=")</f>
        <v>#VALUE!</v>
      </c>
      <c r="DN172" t="e">
        <f>AND(Bills!#REF!,"AAAAAGf7/3U=")</f>
        <v>#REF!</v>
      </c>
      <c r="DO172" t="e">
        <f>AND(Bills!#REF!,"AAAAAGf7/3Y=")</f>
        <v>#REF!</v>
      </c>
      <c r="DP172" t="e">
        <f>AND(Bills!#REF!,"AAAAAGf7/3c=")</f>
        <v>#REF!</v>
      </c>
      <c r="DQ172" t="e">
        <f>AND(Bills!AC703,"AAAAAGf7/3g=")</f>
        <v>#VALUE!</v>
      </c>
      <c r="DR172" t="e">
        <f>AND(Bills!AD703,"AAAAAGf7/3k=")</f>
        <v>#VALUE!</v>
      </c>
      <c r="DS172" t="e">
        <f>AND(Bills!#REF!,"AAAAAGf7/3o=")</f>
        <v>#REF!</v>
      </c>
      <c r="DT172">
        <f>IF(Bills!704:704,"AAAAAGf7/3s=",0)</f>
        <v>0</v>
      </c>
      <c r="DU172" t="e">
        <f>AND(Bills!B704,"AAAAAGf7/3w=")</f>
        <v>#VALUE!</v>
      </c>
      <c r="DV172" t="e">
        <f>AND(Bills!#REF!,"AAAAAGf7/30=")</f>
        <v>#REF!</v>
      </c>
      <c r="DW172" t="e">
        <f>AND(Bills!C704,"AAAAAGf7/34=")</f>
        <v>#VALUE!</v>
      </c>
      <c r="DX172" t="e">
        <f>AND(Bills!D704,"AAAAAGf7/38=")</f>
        <v>#VALUE!</v>
      </c>
      <c r="DY172" t="e">
        <f>AND(Bills!E704,"AAAAAGf7/4A=")</f>
        <v>#VALUE!</v>
      </c>
      <c r="DZ172" t="e">
        <f>AND(Bills!#REF!,"AAAAAGf7/4E=")</f>
        <v>#REF!</v>
      </c>
      <c r="EA172" t="e">
        <f>AND(Bills!#REF!,"AAAAAGf7/4I=")</f>
        <v>#REF!</v>
      </c>
      <c r="EB172" t="e">
        <f>AND(Bills!#REF!,"AAAAAGf7/4M=")</f>
        <v>#REF!</v>
      </c>
      <c r="EC172" t="e">
        <f>AND(Bills!F704,"AAAAAGf7/4Q=")</f>
        <v>#VALUE!</v>
      </c>
      <c r="ED172" t="e">
        <f>AND(Bills!#REF!,"AAAAAGf7/4U=")</f>
        <v>#REF!</v>
      </c>
      <c r="EE172" t="e">
        <f>AND(Bills!G704,"AAAAAGf7/4Y=")</f>
        <v>#VALUE!</v>
      </c>
      <c r="EF172" t="e">
        <f>AND(Bills!H704,"AAAAAGf7/4c=")</f>
        <v>#VALUE!</v>
      </c>
      <c r="EG172" t="e">
        <f>AND(Bills!I704,"AAAAAGf7/4g=")</f>
        <v>#VALUE!</v>
      </c>
      <c r="EH172" t="e">
        <f>AND(Bills!J704,"AAAAAGf7/4k=")</f>
        <v>#VALUE!</v>
      </c>
      <c r="EI172" t="e">
        <f>AND(Bills!K704,"AAAAAGf7/4o=")</f>
        <v>#VALUE!</v>
      </c>
      <c r="EJ172" t="e">
        <f>AND(Bills!L704,"AAAAAGf7/4s=")</f>
        <v>#VALUE!</v>
      </c>
      <c r="EK172" t="e">
        <f>AND(Bills!#REF!,"AAAAAGf7/4w=")</f>
        <v>#REF!</v>
      </c>
      <c r="EL172" t="e">
        <f>AND(Bills!M704,"AAAAAGf7/40=")</f>
        <v>#VALUE!</v>
      </c>
      <c r="EM172" t="e">
        <f>AND(Bills!N704,"AAAAAGf7/44=")</f>
        <v>#VALUE!</v>
      </c>
      <c r="EN172" t="e">
        <f>AND(Bills!O704,"AAAAAGf7/48=")</f>
        <v>#VALUE!</v>
      </c>
      <c r="EO172" t="e">
        <f>AND(Bills!P704,"AAAAAGf7/5A=")</f>
        <v>#VALUE!</v>
      </c>
      <c r="EP172" t="e">
        <f>AND(Bills!Q704,"AAAAAGf7/5E=")</f>
        <v>#VALUE!</v>
      </c>
      <c r="EQ172" t="e">
        <f>AND(Bills!R704,"AAAAAGf7/5I=")</f>
        <v>#VALUE!</v>
      </c>
      <c r="ER172" t="e">
        <f>AND(Bills!S704,"AAAAAGf7/5M=")</f>
        <v>#VALUE!</v>
      </c>
      <c r="ES172" t="e">
        <f>AND(Bills!T704,"AAAAAGf7/5Q=")</f>
        <v>#VALUE!</v>
      </c>
      <c r="ET172" t="e">
        <f>AND(Bills!#REF!,"AAAAAGf7/5U=")</f>
        <v>#REF!</v>
      </c>
      <c r="EU172" t="e">
        <f>AND(Bills!U704,"AAAAAGf7/5Y=")</f>
        <v>#VALUE!</v>
      </c>
      <c r="EV172" t="e">
        <f>AND(Bills!V704,"AAAAAGf7/5c=")</f>
        <v>#VALUE!</v>
      </c>
      <c r="EW172" t="e">
        <f>AND(Bills!W704,"AAAAAGf7/5g=")</f>
        <v>#VALUE!</v>
      </c>
      <c r="EX172" t="e">
        <f>AND(Bills!#REF!,"AAAAAGf7/5k=")</f>
        <v>#REF!</v>
      </c>
      <c r="EY172" t="e">
        <f>AND(Bills!#REF!,"AAAAAGf7/5o=")</f>
        <v>#REF!</v>
      </c>
      <c r="EZ172" t="e">
        <f>AND(Bills!Y704,"AAAAAGf7/5s=")</f>
        <v>#VALUE!</v>
      </c>
      <c r="FA172" t="e">
        <f>AND(Bills!Z704,"AAAAAGf7/5w=")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AND(Bills!AA704,"AAAAAGf7/6Y=")</f>
        <v>#VALUE!</v>
      </c>
      <c r="FL172" t="e">
        <f>AND(Bills!AB704,"AAAAAGf7/6c=")</f>
        <v>#VALUE!</v>
      </c>
      <c r="FM172" t="e">
        <f>AND(Bills!#REF!,"AAAAAGf7/6g=")</f>
        <v>#REF!</v>
      </c>
      <c r="FN172" t="e">
        <f>AND(Bills!#REF!,"AAAAAGf7/6k=")</f>
        <v>#REF!</v>
      </c>
      <c r="FO172" t="e">
        <f>AND(Bills!#REF!,"AAAAAGf7/6o=")</f>
        <v>#REF!</v>
      </c>
      <c r="FP172" t="e">
        <f>AND(Bills!AC704,"AAAAAGf7/6s=")</f>
        <v>#VALUE!</v>
      </c>
      <c r="FQ172" t="e">
        <f>AND(Bills!AD704,"AAAAAGf7/6w=")</f>
        <v>#VALUE!</v>
      </c>
      <c r="FR172" t="e">
        <f>AND(Bills!#REF!,"AAAAAGf7/60=")</f>
        <v>#REF!</v>
      </c>
      <c r="FS172">
        <f>IF(Bills!705:705,"AAAAAGf7/64=",0)</f>
        <v>0</v>
      </c>
      <c r="FT172" t="e">
        <f>AND(Bills!B705,"AAAAAGf7/68=")</f>
        <v>#VALUE!</v>
      </c>
      <c r="FU172" t="e">
        <f>AND(Bills!#REF!,"AAAAAGf7/7A=")</f>
        <v>#REF!</v>
      </c>
      <c r="FV172" t="e">
        <f>AND(Bills!C705,"AAAAAGf7/7E=")</f>
        <v>#VALUE!</v>
      </c>
      <c r="FW172" t="e">
        <f>AND(Bills!D705,"AAAAAGf7/7I=")</f>
        <v>#VALUE!</v>
      </c>
      <c r="FX172" t="e">
        <f>AND(Bills!E705,"AAAAAGf7/7M=")</f>
        <v>#VALUE!</v>
      </c>
      <c r="FY172" t="e">
        <f>AND(Bills!#REF!,"AAAAAGf7/7Q=")</f>
        <v>#REF!</v>
      </c>
      <c r="FZ172" t="e">
        <f>AND(Bills!#REF!,"AAAAAGf7/7U=")</f>
        <v>#REF!</v>
      </c>
      <c r="GA172" t="e">
        <f>AND(Bills!#REF!,"AAAAAGf7/7Y=")</f>
        <v>#REF!</v>
      </c>
      <c r="GB172" t="e">
        <f>AND(Bills!F705,"AAAAAGf7/7c=")</f>
        <v>#VALUE!</v>
      </c>
      <c r="GC172" t="e">
        <f>AND(Bills!#REF!,"AAAAAGf7/7g=")</f>
        <v>#REF!</v>
      </c>
      <c r="GD172" t="e">
        <f>AND(Bills!G705,"AAAAAGf7/7k=")</f>
        <v>#VALUE!</v>
      </c>
      <c r="GE172" t="e">
        <f>AND(Bills!H705,"AAAAAGf7/7o=")</f>
        <v>#VALUE!</v>
      </c>
      <c r="GF172" t="e">
        <f>AND(Bills!I705,"AAAAAGf7/7s=")</f>
        <v>#VALUE!</v>
      </c>
      <c r="GG172" t="e">
        <f>AND(Bills!J705,"AAAAAGf7/7w=")</f>
        <v>#VALUE!</v>
      </c>
      <c r="GH172" t="e">
        <f>AND(Bills!K705,"AAAAAGf7/70=")</f>
        <v>#VALUE!</v>
      </c>
      <c r="GI172" t="e">
        <f>AND(Bills!L705,"AAAAAGf7/74=")</f>
        <v>#VALUE!</v>
      </c>
      <c r="GJ172" t="e">
        <f>AND(Bills!#REF!,"AAAAAGf7/78=")</f>
        <v>#REF!</v>
      </c>
      <c r="GK172" t="e">
        <f>AND(Bills!M705,"AAAAAGf7/8A=")</f>
        <v>#VALUE!</v>
      </c>
      <c r="GL172" t="e">
        <f>AND(Bills!N705,"AAAAAGf7/8E=")</f>
        <v>#VALUE!</v>
      </c>
      <c r="GM172" t="e">
        <f>AND(Bills!O705,"AAAAAGf7/8I=")</f>
        <v>#VALUE!</v>
      </c>
      <c r="GN172" t="e">
        <f>AND(Bills!P705,"AAAAAGf7/8M=")</f>
        <v>#VALUE!</v>
      </c>
      <c r="GO172" t="e">
        <f>AND(Bills!Q705,"AAAAAGf7/8Q=")</f>
        <v>#VALUE!</v>
      </c>
      <c r="GP172" t="e">
        <f>AND(Bills!R705,"AAAAAGf7/8U=")</f>
        <v>#VALUE!</v>
      </c>
      <c r="GQ172" t="e">
        <f>AND(Bills!S705,"AAAAAGf7/8Y=")</f>
        <v>#VALUE!</v>
      </c>
      <c r="GR172" t="e">
        <f>AND(Bills!T705,"AAAAAGf7/8c=")</f>
        <v>#VALUE!</v>
      </c>
      <c r="GS172" t="e">
        <f>AND(Bills!#REF!,"AAAAAGf7/8g=")</f>
        <v>#REF!</v>
      </c>
      <c r="GT172" t="e">
        <f>AND(Bills!U705,"AAAAAGf7/8k=")</f>
        <v>#VALUE!</v>
      </c>
      <c r="GU172" t="e">
        <f>AND(Bills!V705,"AAAAAGf7/8o=")</f>
        <v>#VALUE!</v>
      </c>
      <c r="GV172" t="e">
        <f>AND(Bills!W705,"AAAAAGf7/8s=")</f>
        <v>#VALUE!</v>
      </c>
      <c r="GW172" t="e">
        <f>AND(Bills!#REF!,"AAAAAGf7/8w=")</f>
        <v>#REF!</v>
      </c>
      <c r="GX172" t="e">
        <f>AND(Bills!#REF!,"AAAAAGf7/80=")</f>
        <v>#REF!</v>
      </c>
      <c r="GY172" t="e">
        <f>AND(Bills!Y705,"AAAAAGf7/84=")</f>
        <v>#VALUE!</v>
      </c>
      <c r="GZ172" t="e">
        <f>AND(Bills!Z705,"AAAAAGf7/88=")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AND(Bills!AA705,"AAAAAGf7/9k=")</f>
        <v>#VALUE!</v>
      </c>
      <c r="HK172" t="e">
        <f>AND(Bills!AB705,"AAAAAGf7/9o=")</f>
        <v>#VALUE!</v>
      </c>
      <c r="HL172" t="e">
        <f>AND(Bills!#REF!,"AAAAAGf7/9s=")</f>
        <v>#REF!</v>
      </c>
      <c r="HM172" t="e">
        <f>AND(Bills!#REF!,"AAAAAGf7/9w=")</f>
        <v>#REF!</v>
      </c>
      <c r="HN172" t="e">
        <f>AND(Bills!#REF!,"AAAAAGf7/90=")</f>
        <v>#REF!</v>
      </c>
      <c r="HO172" t="e">
        <f>AND(Bills!AC705,"AAAAAGf7/94=")</f>
        <v>#VALUE!</v>
      </c>
      <c r="HP172" t="e">
        <f>AND(Bills!AD705,"AAAAAGf7/98=")</f>
        <v>#VALUE!</v>
      </c>
      <c r="HQ172" t="e">
        <f>AND(Bills!#REF!,"AAAAAGf7/+A=")</f>
        <v>#REF!</v>
      </c>
      <c r="HR172">
        <f>IF(Bills!706:706,"AAAAAGf7/+E=",0)</f>
        <v>0</v>
      </c>
      <c r="HS172" t="e">
        <f>AND(Bills!B706,"AAAAAGf7/+I=")</f>
        <v>#VALUE!</v>
      </c>
      <c r="HT172" t="e">
        <f>AND(Bills!#REF!,"AAAAAGf7/+M=")</f>
        <v>#REF!</v>
      </c>
      <c r="HU172" t="e">
        <f>AND(Bills!C706,"AAAAAGf7/+Q=")</f>
        <v>#VALUE!</v>
      </c>
      <c r="HV172" t="e">
        <f>AND(Bills!D706,"AAAAAGf7/+U=")</f>
        <v>#VALUE!</v>
      </c>
      <c r="HW172" t="e">
        <f>AND(Bills!E706,"AAAAAGf7/+Y=")</f>
        <v>#VALUE!</v>
      </c>
      <c r="HX172" t="e">
        <f>AND(Bills!#REF!,"AAAAAGf7/+c=")</f>
        <v>#REF!</v>
      </c>
      <c r="HY172" t="e">
        <f>AND(Bills!#REF!,"AAAAAGf7/+g=")</f>
        <v>#REF!</v>
      </c>
      <c r="HZ172" t="e">
        <f>AND(Bills!#REF!,"AAAAAGf7/+k=")</f>
        <v>#REF!</v>
      </c>
      <c r="IA172" t="e">
        <f>AND(Bills!F706,"AAAAAGf7/+o=")</f>
        <v>#VALUE!</v>
      </c>
      <c r="IB172" t="e">
        <f>AND(Bills!#REF!,"AAAAAGf7/+s=")</f>
        <v>#REF!</v>
      </c>
      <c r="IC172" t="e">
        <f>AND(Bills!G706,"AAAAAGf7/+w=")</f>
        <v>#VALUE!</v>
      </c>
      <c r="ID172" t="e">
        <f>AND(Bills!H706,"AAAAAGf7/+0=")</f>
        <v>#VALUE!</v>
      </c>
      <c r="IE172" t="e">
        <f>AND(Bills!I706,"AAAAAGf7/+4=")</f>
        <v>#VALUE!</v>
      </c>
      <c r="IF172" t="e">
        <f>AND(Bills!J706,"AAAAAGf7/+8=")</f>
        <v>#VALUE!</v>
      </c>
      <c r="IG172" t="e">
        <f>AND(Bills!K706,"AAAAAGf7//A=")</f>
        <v>#VALUE!</v>
      </c>
      <c r="IH172" t="e">
        <f>AND(Bills!L706,"AAAAAGf7//E=")</f>
        <v>#VALUE!</v>
      </c>
      <c r="II172" t="e">
        <f>AND(Bills!#REF!,"AAAAAGf7//I=")</f>
        <v>#REF!</v>
      </c>
      <c r="IJ172" t="e">
        <f>AND(Bills!M706,"AAAAAGf7//M=")</f>
        <v>#VALUE!</v>
      </c>
      <c r="IK172" t="e">
        <f>AND(Bills!N706,"AAAAAGf7//Q=")</f>
        <v>#VALUE!</v>
      </c>
      <c r="IL172" t="e">
        <f>AND(Bills!O706,"AAAAAGf7//U=")</f>
        <v>#VALUE!</v>
      </c>
      <c r="IM172" t="e">
        <f>AND(Bills!P706,"AAAAAGf7//Y=")</f>
        <v>#VALUE!</v>
      </c>
      <c r="IN172" t="e">
        <f>AND(Bills!Q706,"AAAAAGf7//c=")</f>
        <v>#VALUE!</v>
      </c>
      <c r="IO172" t="e">
        <f>AND(Bills!R706,"AAAAAGf7//g=")</f>
        <v>#VALUE!</v>
      </c>
      <c r="IP172" t="e">
        <f>AND(Bills!S706,"AAAAAGf7//k=")</f>
        <v>#VALUE!</v>
      </c>
      <c r="IQ172" t="e">
        <f>AND(Bills!T706,"AAAAAGf7//o=")</f>
        <v>#VALUE!</v>
      </c>
      <c r="IR172" t="e">
        <f>AND(Bills!#REF!,"AAAAAGf7//s=")</f>
        <v>#REF!</v>
      </c>
      <c r="IS172" t="e">
        <f>AND(Bills!U706,"AAAAAGf7//w=")</f>
        <v>#VALUE!</v>
      </c>
      <c r="IT172" t="e">
        <f>AND(Bills!V706,"AAAAAGf7//0=")</f>
        <v>#VALUE!</v>
      </c>
      <c r="IU172" t="e">
        <f>AND(Bills!W706,"AAAAAGf7//4=")</f>
        <v>#VALUE!</v>
      </c>
      <c r="IV172" t="e">
        <f>AND(Bills!#REF!,"AAAAAGf7//8=")</f>
        <v>#REF!</v>
      </c>
    </row>
    <row r="173" spans="1:256">
      <c r="A173" t="e">
        <f>AND(Bills!#REF!,"AAAAAH9fOwA=")</f>
        <v>#REF!</v>
      </c>
      <c r="B173" t="e">
        <f>AND(Bills!Y706,"AAAAAH9fOwE=")</f>
        <v>#VALUE!</v>
      </c>
      <c r="C173" t="e">
        <f>AND(Bills!Z706,"AAAAAH9fOwI=")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AND(Bills!AA706,"AAAAAH9fOww=")</f>
        <v>#VALUE!</v>
      </c>
      <c r="N173" t="e">
        <f>AND(Bills!AB706,"AAAAAH9fOw0=")</f>
        <v>#VALUE!</v>
      </c>
      <c r="O173" t="e">
        <f>AND(Bills!#REF!,"AAAAAH9fOw4=")</f>
        <v>#REF!</v>
      </c>
      <c r="P173" t="e">
        <f>AND(Bills!#REF!,"AAAAAH9fOw8=")</f>
        <v>#REF!</v>
      </c>
      <c r="Q173" t="e">
        <f>AND(Bills!#REF!,"AAAAAH9fOxA=")</f>
        <v>#REF!</v>
      </c>
      <c r="R173" t="e">
        <f>AND(Bills!AC706,"AAAAAH9fOxE=")</f>
        <v>#VALUE!</v>
      </c>
      <c r="S173" t="e">
        <f>AND(Bills!AD706,"AAAAAH9fOxI=")</f>
        <v>#VALUE!</v>
      </c>
      <c r="T173" t="e">
        <f>AND(Bills!#REF!,"AAAAAH9fOxM=")</f>
        <v>#REF!</v>
      </c>
      <c r="U173">
        <f>IF(Bills!707:707,"AAAAAH9fOxQ=",0)</f>
        <v>0</v>
      </c>
      <c r="V173" t="e">
        <f>AND(Bills!B707,"AAAAAH9fOxU=")</f>
        <v>#VALUE!</v>
      </c>
      <c r="W173" t="e">
        <f>AND(Bills!#REF!,"AAAAAH9fOxY=")</f>
        <v>#REF!</v>
      </c>
      <c r="X173" t="e">
        <f>AND(Bills!C707,"AAAAAH9fOxc=")</f>
        <v>#VALUE!</v>
      </c>
      <c r="Y173" t="e">
        <f>AND(Bills!D707,"AAAAAH9fOxg=")</f>
        <v>#VALUE!</v>
      </c>
      <c r="Z173" t="e">
        <f>AND(Bills!E707,"AAAAAH9fOxk=")</f>
        <v>#VALUE!</v>
      </c>
      <c r="AA173" t="e">
        <f>AND(Bills!#REF!,"AAAAAH9fOxo=")</f>
        <v>#REF!</v>
      </c>
      <c r="AB173" t="e">
        <f>AND(Bills!#REF!,"AAAAAH9fOxs=")</f>
        <v>#REF!</v>
      </c>
      <c r="AC173" t="e">
        <f>AND(Bills!#REF!,"AAAAAH9fOxw=")</f>
        <v>#REF!</v>
      </c>
      <c r="AD173" t="e">
        <f>AND(Bills!F707,"AAAAAH9fOx0=")</f>
        <v>#VALUE!</v>
      </c>
      <c r="AE173" t="e">
        <f>AND(Bills!#REF!,"AAAAAH9fOx4=")</f>
        <v>#REF!</v>
      </c>
      <c r="AF173" t="e">
        <f>AND(Bills!G707,"AAAAAH9fOx8=")</f>
        <v>#VALUE!</v>
      </c>
      <c r="AG173" t="e">
        <f>AND(Bills!H707,"AAAAAH9fOyA=")</f>
        <v>#VALUE!</v>
      </c>
      <c r="AH173" t="e">
        <f>AND(Bills!I707,"AAAAAH9fOyE=")</f>
        <v>#VALUE!</v>
      </c>
      <c r="AI173" t="e">
        <f>AND(Bills!J707,"AAAAAH9fOyI=")</f>
        <v>#VALUE!</v>
      </c>
      <c r="AJ173" t="e">
        <f>AND(Bills!K707,"AAAAAH9fOyM=")</f>
        <v>#VALUE!</v>
      </c>
      <c r="AK173" t="e">
        <f>AND(Bills!L707,"AAAAAH9fOyQ=")</f>
        <v>#VALUE!</v>
      </c>
      <c r="AL173" t="e">
        <f>AND(Bills!#REF!,"AAAAAH9fOyU=")</f>
        <v>#REF!</v>
      </c>
      <c r="AM173" t="e">
        <f>AND(Bills!M707,"AAAAAH9fOyY=")</f>
        <v>#VALUE!</v>
      </c>
      <c r="AN173" t="e">
        <f>AND(Bills!N707,"AAAAAH9fOyc=")</f>
        <v>#VALUE!</v>
      </c>
      <c r="AO173" t="e">
        <f>AND(Bills!O707,"AAAAAH9fOyg=")</f>
        <v>#VALUE!</v>
      </c>
      <c r="AP173" t="e">
        <f>AND(Bills!P707,"AAAAAH9fOyk=")</f>
        <v>#VALUE!</v>
      </c>
      <c r="AQ173" t="e">
        <f>AND(Bills!Q707,"AAAAAH9fOyo=")</f>
        <v>#VALUE!</v>
      </c>
      <c r="AR173" t="e">
        <f>AND(Bills!R707,"AAAAAH9fOys=")</f>
        <v>#VALUE!</v>
      </c>
      <c r="AS173" t="e">
        <f>AND(Bills!S707,"AAAAAH9fOyw=")</f>
        <v>#VALUE!</v>
      </c>
      <c r="AT173" t="e">
        <f>AND(Bills!T707,"AAAAAH9fOy0=")</f>
        <v>#VALUE!</v>
      </c>
      <c r="AU173" t="e">
        <f>AND(Bills!#REF!,"AAAAAH9fOy4=")</f>
        <v>#REF!</v>
      </c>
      <c r="AV173" t="e">
        <f>AND(Bills!U707,"AAAAAH9fOy8=")</f>
        <v>#VALUE!</v>
      </c>
      <c r="AW173" t="e">
        <f>AND(Bills!V707,"AAAAAH9fOzA=")</f>
        <v>#VALUE!</v>
      </c>
      <c r="AX173" t="e">
        <f>AND(Bills!W707,"AAAAAH9fOzE=")</f>
        <v>#VALUE!</v>
      </c>
      <c r="AY173" t="e">
        <f>AND(Bills!#REF!,"AAAAAH9fOzI=")</f>
        <v>#REF!</v>
      </c>
      <c r="AZ173" t="e">
        <f>AND(Bills!#REF!,"AAAAAH9fOzM=")</f>
        <v>#REF!</v>
      </c>
      <c r="BA173" t="e">
        <f>AND(Bills!Y707,"AAAAAH9fOzQ=")</f>
        <v>#VALUE!</v>
      </c>
      <c r="BB173" t="e">
        <f>AND(Bills!Z707,"AAAAAH9fOzU=")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AND(Bills!AA707,"AAAAAH9fOz8=")</f>
        <v>#VALUE!</v>
      </c>
      <c r="BM173" t="e">
        <f>AND(Bills!AB707,"AAAAAH9fO0A=")</f>
        <v>#VALUE!</v>
      </c>
      <c r="BN173" t="e">
        <f>AND(Bills!#REF!,"AAAAAH9fO0E=")</f>
        <v>#REF!</v>
      </c>
      <c r="BO173" t="e">
        <f>AND(Bills!#REF!,"AAAAAH9fO0I=")</f>
        <v>#REF!</v>
      </c>
      <c r="BP173" t="e">
        <f>AND(Bills!#REF!,"AAAAAH9fO0M=")</f>
        <v>#REF!</v>
      </c>
      <c r="BQ173" t="e">
        <f>AND(Bills!AC707,"AAAAAH9fO0Q=")</f>
        <v>#VALUE!</v>
      </c>
      <c r="BR173" t="e">
        <f>AND(Bills!AD707,"AAAAAH9fO0U=")</f>
        <v>#VALUE!</v>
      </c>
      <c r="BS173" t="e">
        <f>AND(Bills!#REF!,"AAAAAH9fO0Y=")</f>
        <v>#REF!</v>
      </c>
      <c r="BT173">
        <f>IF(Bills!708:708,"AAAAAH9fO0c=",0)</f>
        <v>0</v>
      </c>
      <c r="BU173" t="e">
        <f>AND(Bills!B708,"AAAAAH9fO0g=")</f>
        <v>#VALUE!</v>
      </c>
      <c r="BV173" t="e">
        <f>AND(Bills!#REF!,"AAAAAH9fO0k=")</f>
        <v>#REF!</v>
      </c>
      <c r="BW173" t="e">
        <f>AND(Bills!C708,"AAAAAH9fO0o=")</f>
        <v>#VALUE!</v>
      </c>
      <c r="BX173" t="e">
        <f>AND(Bills!D708,"AAAAAH9fO0s=")</f>
        <v>#VALUE!</v>
      </c>
      <c r="BY173" t="e">
        <f>AND(Bills!E708,"AAAAAH9fO0w=")</f>
        <v>#VALUE!</v>
      </c>
      <c r="BZ173" t="e">
        <f>AND(Bills!#REF!,"AAAAAH9fO00=")</f>
        <v>#REF!</v>
      </c>
      <c r="CA173" t="e">
        <f>AND(Bills!#REF!,"AAAAAH9fO04=")</f>
        <v>#REF!</v>
      </c>
      <c r="CB173" t="e">
        <f>AND(Bills!#REF!,"AAAAAH9fO08=")</f>
        <v>#REF!</v>
      </c>
      <c r="CC173" t="e">
        <f>AND(Bills!F708,"AAAAAH9fO1A=")</f>
        <v>#VALUE!</v>
      </c>
      <c r="CD173" t="e">
        <f>AND(Bills!#REF!,"AAAAAH9fO1E=")</f>
        <v>#REF!</v>
      </c>
      <c r="CE173" t="e">
        <f>AND(Bills!G708,"AAAAAH9fO1I=")</f>
        <v>#VALUE!</v>
      </c>
      <c r="CF173" t="e">
        <f>AND(Bills!H708,"AAAAAH9fO1M=")</f>
        <v>#VALUE!</v>
      </c>
      <c r="CG173" t="e">
        <f>AND(Bills!I708,"AAAAAH9fO1Q=")</f>
        <v>#VALUE!</v>
      </c>
      <c r="CH173" t="e">
        <f>AND(Bills!J708,"AAAAAH9fO1U=")</f>
        <v>#VALUE!</v>
      </c>
      <c r="CI173" t="e">
        <f>AND(Bills!K708,"AAAAAH9fO1Y=")</f>
        <v>#VALUE!</v>
      </c>
      <c r="CJ173" t="e">
        <f>AND(Bills!L708,"AAAAAH9fO1c=")</f>
        <v>#VALUE!</v>
      </c>
      <c r="CK173" t="e">
        <f>AND(Bills!#REF!,"AAAAAH9fO1g=")</f>
        <v>#REF!</v>
      </c>
      <c r="CL173" t="e">
        <f>AND(Bills!M708,"AAAAAH9fO1k=")</f>
        <v>#VALUE!</v>
      </c>
      <c r="CM173" t="e">
        <f>AND(Bills!N708,"AAAAAH9fO1o=")</f>
        <v>#VALUE!</v>
      </c>
      <c r="CN173" t="e">
        <f>AND(Bills!O708,"AAAAAH9fO1s=")</f>
        <v>#VALUE!</v>
      </c>
      <c r="CO173" t="e">
        <f>AND(Bills!P708,"AAAAAH9fO1w=")</f>
        <v>#VALUE!</v>
      </c>
      <c r="CP173" t="e">
        <f>AND(Bills!Q708,"AAAAAH9fO10=")</f>
        <v>#VALUE!</v>
      </c>
      <c r="CQ173" t="e">
        <f>AND(Bills!R708,"AAAAAH9fO14=")</f>
        <v>#VALUE!</v>
      </c>
      <c r="CR173" t="e">
        <f>AND(Bills!S708,"AAAAAH9fO18=")</f>
        <v>#VALUE!</v>
      </c>
      <c r="CS173" t="e">
        <f>AND(Bills!T708,"AAAAAH9fO2A=")</f>
        <v>#VALUE!</v>
      </c>
      <c r="CT173" t="e">
        <f>AND(Bills!#REF!,"AAAAAH9fO2E=")</f>
        <v>#REF!</v>
      </c>
      <c r="CU173" t="e">
        <f>AND(Bills!U708,"AAAAAH9fO2I=")</f>
        <v>#VALUE!</v>
      </c>
      <c r="CV173" t="e">
        <f>AND(Bills!V708,"AAAAAH9fO2M=")</f>
        <v>#VALUE!</v>
      </c>
      <c r="CW173" t="e">
        <f>AND(Bills!W708,"AAAAAH9fO2Q=")</f>
        <v>#VALUE!</v>
      </c>
      <c r="CX173" t="e">
        <f>AND(Bills!#REF!,"AAAAAH9fO2U=")</f>
        <v>#REF!</v>
      </c>
      <c r="CY173" t="e">
        <f>AND(Bills!#REF!,"AAAAAH9fO2Y=")</f>
        <v>#REF!</v>
      </c>
      <c r="CZ173" t="e">
        <f>AND(Bills!Y708,"AAAAAH9fO2c=")</f>
        <v>#VALUE!</v>
      </c>
      <c r="DA173" t="e">
        <f>AND(Bills!Z708,"AAAAAH9fO2g=")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AND(Bills!AA708,"AAAAAH9fO3I=")</f>
        <v>#VALUE!</v>
      </c>
      <c r="DL173" t="e">
        <f>AND(Bills!AB708,"AAAAAH9fO3M=")</f>
        <v>#VALUE!</v>
      </c>
      <c r="DM173" t="e">
        <f>AND(Bills!#REF!,"AAAAAH9fO3Q=")</f>
        <v>#REF!</v>
      </c>
      <c r="DN173" t="e">
        <f>AND(Bills!#REF!,"AAAAAH9fO3U=")</f>
        <v>#REF!</v>
      </c>
      <c r="DO173" t="e">
        <f>AND(Bills!#REF!,"AAAAAH9fO3Y=")</f>
        <v>#REF!</v>
      </c>
      <c r="DP173" t="e">
        <f>AND(Bills!AC708,"AAAAAH9fO3c=")</f>
        <v>#VALUE!</v>
      </c>
      <c r="DQ173" t="e">
        <f>AND(Bills!AD708,"AAAAAH9fO3g=")</f>
        <v>#VALUE!</v>
      </c>
      <c r="DR173" t="e">
        <f>AND(Bills!#REF!,"AAAAAH9fO3k=")</f>
        <v>#REF!</v>
      </c>
      <c r="DS173">
        <f>IF(Bills!709:709,"AAAAAH9fO3o=",0)</f>
        <v>0</v>
      </c>
      <c r="DT173" t="e">
        <f>AND(Bills!B709,"AAAAAH9fO3s=")</f>
        <v>#VALUE!</v>
      </c>
      <c r="DU173" t="e">
        <f>AND(Bills!#REF!,"AAAAAH9fO3w=")</f>
        <v>#REF!</v>
      </c>
      <c r="DV173" t="e">
        <f>AND(Bills!C709,"AAAAAH9fO30=")</f>
        <v>#VALUE!</v>
      </c>
      <c r="DW173" t="e">
        <f>AND(Bills!D709,"AAAAAH9fO34=")</f>
        <v>#VALUE!</v>
      </c>
      <c r="DX173" t="e">
        <f>AND(Bills!E709,"AAAAAH9fO38=")</f>
        <v>#VALUE!</v>
      </c>
      <c r="DY173" t="e">
        <f>AND(Bills!#REF!,"AAAAAH9fO4A=")</f>
        <v>#REF!</v>
      </c>
      <c r="DZ173" t="e">
        <f>AND(Bills!#REF!,"AAAAAH9fO4E=")</f>
        <v>#REF!</v>
      </c>
      <c r="EA173" t="e">
        <f>AND(Bills!#REF!,"AAAAAH9fO4I=")</f>
        <v>#REF!</v>
      </c>
      <c r="EB173" t="e">
        <f>AND(Bills!F709,"AAAAAH9fO4M=")</f>
        <v>#VALUE!</v>
      </c>
      <c r="EC173" t="e">
        <f>AND(Bills!#REF!,"AAAAAH9fO4Q=")</f>
        <v>#REF!</v>
      </c>
      <c r="ED173" t="e">
        <f>AND(Bills!G709,"AAAAAH9fO4U=")</f>
        <v>#VALUE!</v>
      </c>
      <c r="EE173" t="e">
        <f>AND(Bills!H709,"AAAAAH9fO4Y=")</f>
        <v>#VALUE!</v>
      </c>
      <c r="EF173" t="e">
        <f>AND(Bills!I709,"AAAAAH9fO4c=")</f>
        <v>#VALUE!</v>
      </c>
      <c r="EG173" t="e">
        <f>AND(Bills!J709,"AAAAAH9fO4g=")</f>
        <v>#VALUE!</v>
      </c>
      <c r="EH173" t="e">
        <f>AND(Bills!K709,"AAAAAH9fO4k=")</f>
        <v>#VALUE!</v>
      </c>
      <c r="EI173" t="e">
        <f>AND(Bills!L709,"AAAAAH9fO4o=")</f>
        <v>#VALUE!</v>
      </c>
      <c r="EJ173" t="e">
        <f>AND(Bills!#REF!,"AAAAAH9fO4s=")</f>
        <v>#REF!</v>
      </c>
      <c r="EK173" t="e">
        <f>AND(Bills!M709,"AAAAAH9fO4w=")</f>
        <v>#VALUE!</v>
      </c>
      <c r="EL173" t="e">
        <f>AND(Bills!N709,"AAAAAH9fO40=")</f>
        <v>#VALUE!</v>
      </c>
      <c r="EM173" t="e">
        <f>AND(Bills!O709,"AAAAAH9fO44=")</f>
        <v>#VALUE!</v>
      </c>
      <c r="EN173" t="e">
        <f>AND(Bills!P709,"AAAAAH9fO48=")</f>
        <v>#VALUE!</v>
      </c>
      <c r="EO173" t="e">
        <f>AND(Bills!Q709,"AAAAAH9fO5A=")</f>
        <v>#VALUE!</v>
      </c>
      <c r="EP173" t="e">
        <f>AND(Bills!R709,"AAAAAH9fO5E=")</f>
        <v>#VALUE!</v>
      </c>
      <c r="EQ173" t="e">
        <f>AND(Bills!S709,"AAAAAH9fO5I=")</f>
        <v>#VALUE!</v>
      </c>
      <c r="ER173" t="e">
        <f>AND(Bills!T709,"AAAAAH9fO5M=")</f>
        <v>#VALUE!</v>
      </c>
      <c r="ES173" t="e">
        <f>AND(Bills!#REF!,"AAAAAH9fO5Q=")</f>
        <v>#REF!</v>
      </c>
      <c r="ET173" t="e">
        <f>AND(Bills!U709,"AAAAAH9fO5U=")</f>
        <v>#VALUE!</v>
      </c>
      <c r="EU173" t="e">
        <f>AND(Bills!V709,"AAAAAH9fO5Y=")</f>
        <v>#VALUE!</v>
      </c>
      <c r="EV173" t="e">
        <f>AND(Bills!W709,"AAAAAH9fO5c=")</f>
        <v>#VALUE!</v>
      </c>
      <c r="EW173" t="e">
        <f>AND(Bills!#REF!,"AAAAAH9fO5g=")</f>
        <v>#REF!</v>
      </c>
      <c r="EX173" t="e">
        <f>AND(Bills!#REF!,"AAAAAH9fO5k=")</f>
        <v>#REF!</v>
      </c>
      <c r="EY173" t="e">
        <f>AND(Bills!Y709,"AAAAAH9fO5o=")</f>
        <v>#VALUE!</v>
      </c>
      <c r="EZ173" t="e">
        <f>AND(Bills!Z709,"AAAAAH9fO5s=")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AND(Bills!AA709,"AAAAAH9fO6U=")</f>
        <v>#VALUE!</v>
      </c>
      <c r="FK173" t="e">
        <f>AND(Bills!AB709,"AAAAAH9fO6Y=")</f>
        <v>#VALUE!</v>
      </c>
      <c r="FL173" t="e">
        <f>AND(Bills!#REF!,"AAAAAH9fO6c=")</f>
        <v>#REF!</v>
      </c>
      <c r="FM173" t="e">
        <f>AND(Bills!#REF!,"AAAAAH9fO6g=")</f>
        <v>#REF!</v>
      </c>
      <c r="FN173" t="e">
        <f>AND(Bills!#REF!,"AAAAAH9fO6k=")</f>
        <v>#REF!</v>
      </c>
      <c r="FO173" t="e">
        <f>AND(Bills!AC709,"AAAAAH9fO6o=")</f>
        <v>#VALUE!</v>
      </c>
      <c r="FP173" t="e">
        <f>AND(Bills!AD709,"AAAAAH9fO6s=")</f>
        <v>#VALUE!</v>
      </c>
      <c r="FQ173" t="e">
        <f>AND(Bills!#REF!,"AAAAAH9fO6w=")</f>
        <v>#REF!</v>
      </c>
      <c r="FR173">
        <f>IF(Bills!710:710,"AAAAAH9fO60=",0)</f>
        <v>0</v>
      </c>
      <c r="FS173" t="e">
        <f>AND(Bills!B710,"AAAAAH9fO64=")</f>
        <v>#VALUE!</v>
      </c>
      <c r="FT173" t="e">
        <f>AND(Bills!#REF!,"AAAAAH9fO68=")</f>
        <v>#REF!</v>
      </c>
      <c r="FU173" t="e">
        <f>AND(Bills!C710,"AAAAAH9fO7A=")</f>
        <v>#VALUE!</v>
      </c>
      <c r="FV173" t="e">
        <f>AND(Bills!D710,"AAAAAH9fO7E=")</f>
        <v>#VALUE!</v>
      </c>
      <c r="FW173" t="e">
        <f>AND(Bills!E710,"AAAAAH9fO7I=")</f>
        <v>#VALUE!</v>
      </c>
      <c r="FX173" t="e">
        <f>AND(Bills!#REF!,"AAAAAH9fO7M=")</f>
        <v>#REF!</v>
      </c>
      <c r="FY173" t="e">
        <f>AND(Bills!#REF!,"AAAAAH9fO7Q=")</f>
        <v>#REF!</v>
      </c>
      <c r="FZ173" t="e">
        <f>AND(Bills!#REF!,"AAAAAH9fO7U=")</f>
        <v>#REF!</v>
      </c>
      <c r="GA173" t="e">
        <f>AND(Bills!F710,"AAAAAH9fO7Y=")</f>
        <v>#VALUE!</v>
      </c>
      <c r="GB173" t="e">
        <f>AND(Bills!#REF!,"AAAAAH9fO7c=")</f>
        <v>#REF!</v>
      </c>
      <c r="GC173" t="e">
        <f>AND(Bills!G710,"AAAAAH9fO7g=")</f>
        <v>#VALUE!</v>
      </c>
      <c r="GD173" t="e">
        <f>AND(Bills!H710,"AAAAAH9fO7k=")</f>
        <v>#VALUE!</v>
      </c>
      <c r="GE173" t="e">
        <f>AND(Bills!I710,"AAAAAH9fO7o=")</f>
        <v>#VALUE!</v>
      </c>
      <c r="GF173" t="e">
        <f>AND(Bills!J710,"AAAAAH9fO7s=")</f>
        <v>#VALUE!</v>
      </c>
      <c r="GG173" t="e">
        <f>AND(Bills!K710,"AAAAAH9fO7w=")</f>
        <v>#VALUE!</v>
      </c>
      <c r="GH173" t="e">
        <f>AND(Bills!L710,"AAAAAH9fO70=")</f>
        <v>#VALUE!</v>
      </c>
      <c r="GI173" t="e">
        <f>AND(Bills!#REF!,"AAAAAH9fO74=")</f>
        <v>#REF!</v>
      </c>
      <c r="GJ173" t="e">
        <f>AND(Bills!M710,"AAAAAH9fO78=")</f>
        <v>#VALUE!</v>
      </c>
      <c r="GK173" t="e">
        <f>AND(Bills!N710,"AAAAAH9fO8A=")</f>
        <v>#VALUE!</v>
      </c>
      <c r="GL173" t="e">
        <f>AND(Bills!O710,"AAAAAH9fO8E=")</f>
        <v>#VALUE!</v>
      </c>
      <c r="GM173" t="e">
        <f>AND(Bills!P710,"AAAAAH9fO8I=")</f>
        <v>#VALUE!</v>
      </c>
      <c r="GN173" t="e">
        <f>AND(Bills!Q710,"AAAAAH9fO8M=")</f>
        <v>#VALUE!</v>
      </c>
      <c r="GO173" t="e">
        <f>AND(Bills!R710,"AAAAAH9fO8Q=")</f>
        <v>#VALUE!</v>
      </c>
      <c r="GP173" t="e">
        <f>AND(Bills!S710,"AAAAAH9fO8U=")</f>
        <v>#VALUE!</v>
      </c>
      <c r="GQ173" t="e">
        <f>AND(Bills!T710,"AAAAAH9fO8Y=")</f>
        <v>#VALUE!</v>
      </c>
      <c r="GR173" t="e">
        <f>AND(Bills!#REF!,"AAAAAH9fO8c=")</f>
        <v>#REF!</v>
      </c>
      <c r="GS173" t="e">
        <f>AND(Bills!U710,"AAAAAH9fO8g=")</f>
        <v>#VALUE!</v>
      </c>
      <c r="GT173" t="e">
        <f>AND(Bills!V710,"AAAAAH9fO8k=")</f>
        <v>#VALUE!</v>
      </c>
      <c r="GU173" t="e">
        <f>AND(Bills!W710,"AAAAAH9fO8o=")</f>
        <v>#VALUE!</v>
      </c>
      <c r="GV173" t="e">
        <f>AND(Bills!#REF!,"AAAAAH9fO8s=")</f>
        <v>#REF!</v>
      </c>
      <c r="GW173" t="e">
        <f>AND(Bills!#REF!,"AAAAAH9fO8w=")</f>
        <v>#REF!</v>
      </c>
      <c r="GX173" t="e">
        <f>AND(Bills!Y710,"AAAAAH9fO80=")</f>
        <v>#VALUE!</v>
      </c>
      <c r="GY173" t="e">
        <f>AND(Bills!Z710,"AAAAAH9fO84=")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AND(Bills!AA710,"AAAAAH9fO9g=")</f>
        <v>#VALUE!</v>
      </c>
      <c r="HJ173" t="e">
        <f>AND(Bills!AB710,"AAAAAH9fO9k=")</f>
        <v>#VALUE!</v>
      </c>
      <c r="HK173" t="e">
        <f>AND(Bills!#REF!,"AAAAAH9fO9o=")</f>
        <v>#REF!</v>
      </c>
      <c r="HL173" t="e">
        <f>AND(Bills!#REF!,"AAAAAH9fO9s=")</f>
        <v>#REF!</v>
      </c>
      <c r="HM173" t="e">
        <f>AND(Bills!#REF!,"AAAAAH9fO9w=")</f>
        <v>#REF!</v>
      </c>
      <c r="HN173" t="e">
        <f>AND(Bills!AC710,"AAAAAH9fO90=")</f>
        <v>#VALUE!</v>
      </c>
      <c r="HO173" t="e">
        <f>AND(Bills!AD710,"AAAAAH9fO94=")</f>
        <v>#VALUE!</v>
      </c>
      <c r="HP173" t="e">
        <f>AND(Bills!#REF!,"AAAAAH9fO98=")</f>
        <v>#REF!</v>
      </c>
      <c r="HQ173">
        <f>IF(Bills!711:711,"AAAAAH9fO+A=",0)</f>
        <v>0</v>
      </c>
      <c r="HR173" t="e">
        <f>AND(Bills!B711,"AAAAAH9fO+E=")</f>
        <v>#VALUE!</v>
      </c>
      <c r="HS173" t="e">
        <f>AND(Bills!#REF!,"AAAAAH9fO+I=")</f>
        <v>#REF!</v>
      </c>
      <c r="HT173" t="e">
        <f>AND(Bills!C711,"AAAAAH9fO+M=")</f>
        <v>#VALUE!</v>
      </c>
      <c r="HU173" t="e">
        <f>AND(Bills!D711,"AAAAAH9fO+Q=")</f>
        <v>#VALUE!</v>
      </c>
      <c r="HV173" t="e">
        <f>AND(Bills!E711,"AAAAAH9fO+U=")</f>
        <v>#VALUE!</v>
      </c>
      <c r="HW173" t="e">
        <f>AND(Bills!#REF!,"AAAAAH9fO+Y=")</f>
        <v>#REF!</v>
      </c>
      <c r="HX173" t="e">
        <f>AND(Bills!#REF!,"AAAAAH9fO+c=")</f>
        <v>#REF!</v>
      </c>
      <c r="HY173" t="e">
        <f>AND(Bills!#REF!,"AAAAAH9fO+g=")</f>
        <v>#REF!</v>
      </c>
      <c r="HZ173" t="e">
        <f>AND(Bills!F711,"AAAAAH9fO+k=")</f>
        <v>#VALUE!</v>
      </c>
      <c r="IA173" t="e">
        <f>AND(Bills!#REF!,"AAAAAH9fO+o=")</f>
        <v>#REF!</v>
      </c>
      <c r="IB173" t="e">
        <f>AND(Bills!G711,"AAAAAH9fO+s=")</f>
        <v>#VALUE!</v>
      </c>
      <c r="IC173" t="e">
        <f>AND(Bills!H711,"AAAAAH9fO+w=")</f>
        <v>#VALUE!</v>
      </c>
      <c r="ID173" t="e">
        <f>AND(Bills!I711,"AAAAAH9fO+0=")</f>
        <v>#VALUE!</v>
      </c>
      <c r="IE173" t="e">
        <f>AND(Bills!J711,"AAAAAH9fO+4=")</f>
        <v>#VALUE!</v>
      </c>
      <c r="IF173" t="e">
        <f>AND(Bills!K711,"AAAAAH9fO+8=")</f>
        <v>#VALUE!</v>
      </c>
      <c r="IG173" t="e">
        <f>AND(Bills!L711,"AAAAAH9fO/A=")</f>
        <v>#VALUE!</v>
      </c>
      <c r="IH173" t="e">
        <f>AND(Bills!#REF!,"AAAAAH9fO/E=")</f>
        <v>#REF!</v>
      </c>
      <c r="II173" t="e">
        <f>AND(Bills!M711,"AAAAAH9fO/I=")</f>
        <v>#VALUE!</v>
      </c>
      <c r="IJ173" t="e">
        <f>AND(Bills!N711,"AAAAAH9fO/M=")</f>
        <v>#VALUE!</v>
      </c>
      <c r="IK173" t="e">
        <f>AND(Bills!O711,"AAAAAH9fO/Q=")</f>
        <v>#VALUE!</v>
      </c>
      <c r="IL173" t="e">
        <f>AND(Bills!P711,"AAAAAH9fO/U=")</f>
        <v>#VALUE!</v>
      </c>
      <c r="IM173" t="e">
        <f>AND(Bills!Q711,"AAAAAH9fO/Y=")</f>
        <v>#VALUE!</v>
      </c>
      <c r="IN173" t="e">
        <f>AND(Bills!R711,"AAAAAH9fO/c=")</f>
        <v>#VALUE!</v>
      </c>
      <c r="IO173" t="e">
        <f>AND(Bills!S711,"AAAAAH9fO/g=")</f>
        <v>#VALUE!</v>
      </c>
      <c r="IP173" t="e">
        <f>AND(Bills!T711,"AAAAAH9fO/k=")</f>
        <v>#VALUE!</v>
      </c>
      <c r="IQ173" t="e">
        <f>AND(Bills!#REF!,"AAAAAH9fO/o=")</f>
        <v>#REF!</v>
      </c>
      <c r="IR173" t="e">
        <f>AND(Bills!U711,"AAAAAH9fO/s=")</f>
        <v>#VALUE!</v>
      </c>
      <c r="IS173" t="e">
        <f>AND(Bills!V711,"AAAAAH9fO/w=")</f>
        <v>#VALUE!</v>
      </c>
      <c r="IT173" t="e">
        <f>AND(Bills!W711,"AAAAAH9fO/0=")</f>
        <v>#VALUE!</v>
      </c>
      <c r="IU173" t="e">
        <f>AND(Bills!#REF!,"AAAAAH9fO/4=")</f>
        <v>#REF!</v>
      </c>
      <c r="IV173" t="e">
        <f>AND(Bills!#REF!,"AAAAAH9fO/8=")</f>
        <v>#REF!</v>
      </c>
    </row>
    <row r="174" spans="1:256">
      <c r="A174" t="e">
        <f>AND(Bills!Y711,"AAAAAE+1nwA=")</f>
        <v>#VALUE!</v>
      </c>
      <c r="B174" t="e">
        <f>AND(Bills!Z711,"AAAAAE+1nwE=")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AND(Bills!AA711,"AAAAAE+1nws=")</f>
        <v>#VALUE!</v>
      </c>
      <c r="M174" t="e">
        <f>AND(Bills!AB711,"AAAAAE+1nww=")</f>
        <v>#VALUE!</v>
      </c>
      <c r="N174" t="e">
        <f>AND(Bills!#REF!,"AAAAAE+1nw0=")</f>
        <v>#REF!</v>
      </c>
      <c r="O174" t="e">
        <f>AND(Bills!#REF!,"AAAAAE+1nw4=")</f>
        <v>#REF!</v>
      </c>
      <c r="P174" t="e">
        <f>AND(Bills!#REF!,"AAAAAE+1nw8=")</f>
        <v>#REF!</v>
      </c>
      <c r="Q174" t="e">
        <f>AND(Bills!AC711,"AAAAAE+1nxA=")</f>
        <v>#VALUE!</v>
      </c>
      <c r="R174" t="e">
        <f>AND(Bills!AD711,"AAAAAE+1nxE=")</f>
        <v>#VALUE!</v>
      </c>
      <c r="S174" t="e">
        <f>AND(Bills!#REF!,"AAAAAE+1nxI=")</f>
        <v>#REF!</v>
      </c>
      <c r="T174">
        <f>IF(Bills!712:712,"AAAAAE+1nxM=",0)</f>
        <v>0</v>
      </c>
      <c r="U174" t="e">
        <f>AND(Bills!B712,"AAAAAE+1nxQ=")</f>
        <v>#VALUE!</v>
      </c>
      <c r="V174" t="e">
        <f>AND(Bills!#REF!,"AAAAAE+1nxU=")</f>
        <v>#REF!</v>
      </c>
      <c r="W174" t="e">
        <f>AND(Bills!C712,"AAAAAE+1nxY=")</f>
        <v>#VALUE!</v>
      </c>
      <c r="X174" t="e">
        <f>AND(Bills!D712,"AAAAAE+1nxc=")</f>
        <v>#VALUE!</v>
      </c>
      <c r="Y174" t="e">
        <f>AND(Bills!E712,"AAAAAE+1nxg=")</f>
        <v>#VALUE!</v>
      </c>
      <c r="Z174" t="e">
        <f>AND(Bills!#REF!,"AAAAAE+1nxk=")</f>
        <v>#REF!</v>
      </c>
      <c r="AA174" t="e">
        <f>AND(Bills!#REF!,"AAAAAE+1nxo=")</f>
        <v>#REF!</v>
      </c>
      <c r="AB174" t="e">
        <f>AND(Bills!#REF!,"AAAAAE+1nxs=")</f>
        <v>#REF!</v>
      </c>
      <c r="AC174" t="e">
        <f>AND(Bills!F712,"AAAAAE+1nxw=")</f>
        <v>#VALUE!</v>
      </c>
      <c r="AD174" t="e">
        <f>AND(Bills!#REF!,"AAAAAE+1nx0=")</f>
        <v>#REF!</v>
      </c>
      <c r="AE174" t="e">
        <f>AND(Bills!G712,"AAAAAE+1nx4=")</f>
        <v>#VALUE!</v>
      </c>
      <c r="AF174" t="e">
        <f>AND(Bills!H712,"AAAAAE+1nx8=")</f>
        <v>#VALUE!</v>
      </c>
      <c r="AG174" t="e">
        <f>AND(Bills!I712,"AAAAAE+1nyA=")</f>
        <v>#VALUE!</v>
      </c>
      <c r="AH174" t="e">
        <f>AND(Bills!J712,"AAAAAE+1nyE=")</f>
        <v>#VALUE!</v>
      </c>
      <c r="AI174" t="e">
        <f>AND(Bills!K712,"AAAAAE+1nyI=")</f>
        <v>#VALUE!</v>
      </c>
      <c r="AJ174" t="e">
        <f>AND(Bills!L712,"AAAAAE+1nyM=")</f>
        <v>#VALUE!</v>
      </c>
      <c r="AK174" t="e">
        <f>AND(Bills!#REF!,"AAAAAE+1nyQ=")</f>
        <v>#REF!</v>
      </c>
      <c r="AL174" t="e">
        <f>AND(Bills!M712,"AAAAAE+1nyU=")</f>
        <v>#VALUE!</v>
      </c>
      <c r="AM174" t="e">
        <f>AND(Bills!N712,"AAAAAE+1nyY=")</f>
        <v>#VALUE!</v>
      </c>
      <c r="AN174" t="e">
        <f>AND(Bills!O712,"AAAAAE+1nyc=")</f>
        <v>#VALUE!</v>
      </c>
      <c r="AO174" t="e">
        <f>AND(Bills!P712,"AAAAAE+1nyg=")</f>
        <v>#VALUE!</v>
      </c>
      <c r="AP174" t="e">
        <f>AND(Bills!Q712,"AAAAAE+1nyk=")</f>
        <v>#VALUE!</v>
      </c>
      <c r="AQ174" t="e">
        <f>AND(Bills!R712,"AAAAAE+1nyo=")</f>
        <v>#VALUE!</v>
      </c>
      <c r="AR174" t="e">
        <f>AND(Bills!S712,"AAAAAE+1nys=")</f>
        <v>#VALUE!</v>
      </c>
      <c r="AS174" t="e">
        <f>AND(Bills!T712,"AAAAAE+1nyw=")</f>
        <v>#VALUE!</v>
      </c>
      <c r="AT174" t="e">
        <f>AND(Bills!#REF!,"AAAAAE+1ny0=")</f>
        <v>#REF!</v>
      </c>
      <c r="AU174" t="e">
        <f>AND(Bills!U712,"AAAAAE+1ny4=")</f>
        <v>#VALUE!</v>
      </c>
      <c r="AV174" t="e">
        <f>AND(Bills!V712,"AAAAAE+1ny8=")</f>
        <v>#VALUE!</v>
      </c>
      <c r="AW174" t="e">
        <f>AND(Bills!W712,"AAAAAE+1nzA=")</f>
        <v>#VALUE!</v>
      </c>
      <c r="AX174" t="e">
        <f>AND(Bills!#REF!,"AAAAAE+1nzE=")</f>
        <v>#REF!</v>
      </c>
      <c r="AY174" t="e">
        <f>AND(Bills!#REF!,"AAAAAE+1nzI=")</f>
        <v>#REF!</v>
      </c>
      <c r="AZ174" t="e">
        <f>AND(Bills!Y712,"AAAAAE+1nzM=")</f>
        <v>#VALUE!</v>
      </c>
      <c r="BA174" t="e">
        <f>AND(Bills!Z712,"AAAAAE+1nzQ=")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AND(Bills!AA712,"AAAAAE+1nz4=")</f>
        <v>#VALUE!</v>
      </c>
      <c r="BL174" t="e">
        <f>AND(Bills!AB712,"AAAAAE+1nz8=")</f>
        <v>#VALUE!</v>
      </c>
      <c r="BM174" t="e">
        <f>AND(Bills!#REF!,"AAAAAE+1n0A=")</f>
        <v>#REF!</v>
      </c>
      <c r="BN174" t="e">
        <f>AND(Bills!#REF!,"AAAAAE+1n0E=")</f>
        <v>#REF!</v>
      </c>
      <c r="BO174" t="e">
        <f>AND(Bills!#REF!,"AAAAAE+1n0I=")</f>
        <v>#REF!</v>
      </c>
      <c r="BP174" t="e">
        <f>AND(Bills!AC712,"AAAAAE+1n0M=")</f>
        <v>#VALUE!</v>
      </c>
      <c r="BQ174" t="e">
        <f>AND(Bills!AD712,"AAAAAE+1n0Q=")</f>
        <v>#VALUE!</v>
      </c>
      <c r="BR174" t="e">
        <f>AND(Bills!#REF!,"AAAAAE+1n0U=")</f>
        <v>#REF!</v>
      </c>
      <c r="BS174">
        <f>IF(Bills!713:713,"AAAAAE+1n0Y=",0)</f>
        <v>0</v>
      </c>
      <c r="BT174" t="e">
        <f>AND(Bills!B713,"AAAAAE+1n0c=")</f>
        <v>#VALUE!</v>
      </c>
      <c r="BU174" t="e">
        <f>AND(Bills!#REF!,"AAAAAE+1n0g=")</f>
        <v>#REF!</v>
      </c>
      <c r="BV174" t="e">
        <f>AND(Bills!C713,"AAAAAE+1n0k=")</f>
        <v>#VALUE!</v>
      </c>
      <c r="BW174" t="e">
        <f>AND(Bills!D713,"AAAAAE+1n0o=")</f>
        <v>#VALUE!</v>
      </c>
      <c r="BX174" t="e">
        <f>AND(Bills!E713,"AAAAAE+1n0s=")</f>
        <v>#VALUE!</v>
      </c>
      <c r="BY174" t="e">
        <f>AND(Bills!#REF!,"AAAAAE+1n0w=")</f>
        <v>#REF!</v>
      </c>
      <c r="BZ174" t="e">
        <f>AND(Bills!#REF!,"AAAAAE+1n00=")</f>
        <v>#REF!</v>
      </c>
      <c r="CA174" t="e">
        <f>AND(Bills!#REF!,"AAAAAE+1n04=")</f>
        <v>#REF!</v>
      </c>
      <c r="CB174" t="e">
        <f>AND(Bills!F713,"AAAAAE+1n08=")</f>
        <v>#VALUE!</v>
      </c>
      <c r="CC174" t="e">
        <f>AND(Bills!#REF!,"AAAAAE+1n1A=")</f>
        <v>#REF!</v>
      </c>
      <c r="CD174" t="e">
        <f>AND(Bills!G713,"AAAAAE+1n1E=")</f>
        <v>#VALUE!</v>
      </c>
      <c r="CE174" t="e">
        <f>AND(Bills!H713,"AAAAAE+1n1I=")</f>
        <v>#VALUE!</v>
      </c>
      <c r="CF174" t="e">
        <f>AND(Bills!I713,"AAAAAE+1n1M=")</f>
        <v>#VALUE!</v>
      </c>
      <c r="CG174" t="e">
        <f>AND(Bills!J713,"AAAAAE+1n1Q=")</f>
        <v>#VALUE!</v>
      </c>
      <c r="CH174" t="e">
        <f>AND(Bills!K713,"AAAAAE+1n1U=")</f>
        <v>#VALUE!</v>
      </c>
      <c r="CI174" t="e">
        <f>AND(Bills!L713,"AAAAAE+1n1Y=")</f>
        <v>#VALUE!</v>
      </c>
      <c r="CJ174" t="e">
        <f>AND(Bills!#REF!,"AAAAAE+1n1c=")</f>
        <v>#REF!</v>
      </c>
      <c r="CK174" t="e">
        <f>AND(Bills!M713,"AAAAAE+1n1g=")</f>
        <v>#VALUE!</v>
      </c>
      <c r="CL174" t="e">
        <f>AND(Bills!N713,"AAAAAE+1n1k=")</f>
        <v>#VALUE!</v>
      </c>
      <c r="CM174" t="e">
        <f>AND(Bills!O713,"AAAAAE+1n1o=")</f>
        <v>#VALUE!</v>
      </c>
      <c r="CN174" t="e">
        <f>AND(Bills!P713,"AAAAAE+1n1s=")</f>
        <v>#VALUE!</v>
      </c>
      <c r="CO174" t="e">
        <f>AND(Bills!Q713,"AAAAAE+1n1w=")</f>
        <v>#VALUE!</v>
      </c>
      <c r="CP174" t="e">
        <f>AND(Bills!R713,"AAAAAE+1n10=")</f>
        <v>#VALUE!</v>
      </c>
      <c r="CQ174" t="e">
        <f>AND(Bills!S713,"AAAAAE+1n14=")</f>
        <v>#VALUE!</v>
      </c>
      <c r="CR174" t="e">
        <f>AND(Bills!T713,"AAAAAE+1n18=")</f>
        <v>#VALUE!</v>
      </c>
      <c r="CS174" t="e">
        <f>AND(Bills!#REF!,"AAAAAE+1n2A=")</f>
        <v>#REF!</v>
      </c>
      <c r="CT174" t="e">
        <f>AND(Bills!U713,"AAAAAE+1n2E=")</f>
        <v>#VALUE!</v>
      </c>
      <c r="CU174" t="e">
        <f>AND(Bills!V713,"AAAAAE+1n2I=")</f>
        <v>#VALUE!</v>
      </c>
      <c r="CV174" t="e">
        <f>AND(Bills!W713,"AAAAAE+1n2M=")</f>
        <v>#VALUE!</v>
      </c>
      <c r="CW174" t="e">
        <f>AND(Bills!#REF!,"AAAAAE+1n2Q=")</f>
        <v>#REF!</v>
      </c>
      <c r="CX174" t="e">
        <f>AND(Bills!#REF!,"AAAAAE+1n2U=")</f>
        <v>#REF!</v>
      </c>
      <c r="CY174" t="e">
        <f>AND(Bills!Y713,"AAAAAE+1n2Y=")</f>
        <v>#VALUE!</v>
      </c>
      <c r="CZ174" t="e">
        <f>AND(Bills!Z713,"AAAAAE+1n2c=")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AND(Bills!AA713,"AAAAAE+1n3E=")</f>
        <v>#VALUE!</v>
      </c>
      <c r="DK174" t="e">
        <f>AND(Bills!AB713,"AAAAAE+1n3I=")</f>
        <v>#VALUE!</v>
      </c>
      <c r="DL174" t="e">
        <f>AND(Bills!#REF!,"AAAAAE+1n3M=")</f>
        <v>#REF!</v>
      </c>
      <c r="DM174" t="e">
        <f>AND(Bills!#REF!,"AAAAAE+1n3Q=")</f>
        <v>#REF!</v>
      </c>
      <c r="DN174" t="e">
        <f>AND(Bills!#REF!,"AAAAAE+1n3U=")</f>
        <v>#REF!</v>
      </c>
      <c r="DO174" t="e">
        <f>AND(Bills!AC713,"AAAAAE+1n3Y=")</f>
        <v>#VALUE!</v>
      </c>
      <c r="DP174" t="e">
        <f>AND(Bills!AD713,"AAAAAE+1n3c=")</f>
        <v>#VALUE!</v>
      </c>
      <c r="DQ174" t="e">
        <f>AND(Bills!#REF!,"AAAAAE+1n3g=")</f>
        <v>#REF!</v>
      </c>
      <c r="DR174">
        <f>IF(Bills!714:714,"AAAAAE+1n3k=",0)</f>
        <v>0</v>
      </c>
      <c r="DS174" t="e">
        <f>AND(Bills!B714,"AAAAAE+1n3o=")</f>
        <v>#VALUE!</v>
      </c>
      <c r="DT174" t="e">
        <f>AND(Bills!#REF!,"AAAAAE+1n3s=")</f>
        <v>#REF!</v>
      </c>
      <c r="DU174" t="e">
        <f>AND(Bills!C714,"AAAAAE+1n3w=")</f>
        <v>#VALUE!</v>
      </c>
      <c r="DV174" t="e">
        <f>AND(Bills!D714,"AAAAAE+1n30=")</f>
        <v>#VALUE!</v>
      </c>
      <c r="DW174" t="e">
        <f>AND(Bills!E714,"AAAAAE+1n34=")</f>
        <v>#VALUE!</v>
      </c>
      <c r="DX174" t="e">
        <f>AND(Bills!#REF!,"AAAAAE+1n38=")</f>
        <v>#REF!</v>
      </c>
      <c r="DY174" t="e">
        <f>AND(Bills!#REF!,"AAAAAE+1n4A=")</f>
        <v>#REF!</v>
      </c>
      <c r="DZ174" t="e">
        <f>AND(Bills!#REF!,"AAAAAE+1n4E=")</f>
        <v>#REF!</v>
      </c>
      <c r="EA174" t="e">
        <f>AND(Bills!F714,"AAAAAE+1n4I=")</f>
        <v>#VALUE!</v>
      </c>
      <c r="EB174" t="e">
        <f>AND(Bills!#REF!,"AAAAAE+1n4M=")</f>
        <v>#REF!</v>
      </c>
      <c r="EC174" t="e">
        <f>AND(Bills!G714,"AAAAAE+1n4Q=")</f>
        <v>#VALUE!</v>
      </c>
      <c r="ED174" t="e">
        <f>AND(Bills!H714,"AAAAAE+1n4U=")</f>
        <v>#VALUE!</v>
      </c>
      <c r="EE174" t="e">
        <f>AND(Bills!I714,"AAAAAE+1n4Y=")</f>
        <v>#VALUE!</v>
      </c>
      <c r="EF174" t="e">
        <f>AND(Bills!J714,"AAAAAE+1n4c=")</f>
        <v>#VALUE!</v>
      </c>
      <c r="EG174" t="e">
        <f>AND(Bills!K714,"AAAAAE+1n4g=")</f>
        <v>#VALUE!</v>
      </c>
      <c r="EH174" t="e">
        <f>AND(Bills!L714,"AAAAAE+1n4k=")</f>
        <v>#VALUE!</v>
      </c>
      <c r="EI174" t="e">
        <f>AND(Bills!#REF!,"AAAAAE+1n4o=")</f>
        <v>#REF!</v>
      </c>
      <c r="EJ174" t="e">
        <f>AND(Bills!M714,"AAAAAE+1n4s=")</f>
        <v>#VALUE!</v>
      </c>
      <c r="EK174" t="e">
        <f>AND(Bills!N714,"AAAAAE+1n4w=")</f>
        <v>#VALUE!</v>
      </c>
      <c r="EL174" t="e">
        <f>AND(Bills!O714,"AAAAAE+1n40=")</f>
        <v>#VALUE!</v>
      </c>
      <c r="EM174" t="e">
        <f>AND(Bills!P714,"AAAAAE+1n44=")</f>
        <v>#VALUE!</v>
      </c>
      <c r="EN174" t="e">
        <f>AND(Bills!Q714,"AAAAAE+1n48=")</f>
        <v>#VALUE!</v>
      </c>
      <c r="EO174" t="e">
        <f>AND(Bills!R714,"AAAAAE+1n5A=")</f>
        <v>#VALUE!</v>
      </c>
      <c r="EP174" t="e">
        <f>AND(Bills!S714,"AAAAAE+1n5E=")</f>
        <v>#VALUE!</v>
      </c>
      <c r="EQ174" t="e">
        <f>AND(Bills!T714,"AAAAAE+1n5I=")</f>
        <v>#VALUE!</v>
      </c>
      <c r="ER174" t="e">
        <f>AND(Bills!#REF!,"AAAAAE+1n5M=")</f>
        <v>#REF!</v>
      </c>
      <c r="ES174" t="e">
        <f>AND(Bills!U714,"AAAAAE+1n5Q=")</f>
        <v>#VALUE!</v>
      </c>
      <c r="ET174" t="e">
        <f>AND(Bills!V714,"AAAAAE+1n5U=")</f>
        <v>#VALUE!</v>
      </c>
      <c r="EU174" t="e">
        <f>AND(Bills!W714,"AAAAAE+1n5Y=")</f>
        <v>#VALUE!</v>
      </c>
      <c r="EV174" t="e">
        <f>AND(Bills!#REF!,"AAAAAE+1n5c=")</f>
        <v>#REF!</v>
      </c>
      <c r="EW174" t="e">
        <f>AND(Bills!#REF!,"AAAAAE+1n5g=")</f>
        <v>#REF!</v>
      </c>
      <c r="EX174" t="e">
        <f>AND(Bills!Y714,"AAAAAE+1n5k=")</f>
        <v>#VALUE!</v>
      </c>
      <c r="EY174" t="e">
        <f>AND(Bills!Z714,"AAAAAE+1n5o=")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AND(Bills!AA714,"AAAAAE+1n6Q=")</f>
        <v>#VALUE!</v>
      </c>
      <c r="FJ174" t="e">
        <f>AND(Bills!AB714,"AAAAAE+1n6U=")</f>
        <v>#VALUE!</v>
      </c>
      <c r="FK174" t="e">
        <f>AND(Bills!#REF!,"AAAAAE+1n6Y=")</f>
        <v>#REF!</v>
      </c>
      <c r="FL174" t="e">
        <f>AND(Bills!#REF!,"AAAAAE+1n6c=")</f>
        <v>#REF!</v>
      </c>
      <c r="FM174" t="e">
        <f>AND(Bills!#REF!,"AAAAAE+1n6g=")</f>
        <v>#REF!</v>
      </c>
      <c r="FN174" t="e">
        <f>AND(Bills!AC714,"AAAAAE+1n6k=")</f>
        <v>#VALUE!</v>
      </c>
      <c r="FO174" t="e">
        <f>AND(Bills!AD714,"AAAAAE+1n6o=")</f>
        <v>#VALUE!</v>
      </c>
      <c r="FP174" t="e">
        <f>AND(Bills!#REF!,"AAAAAE+1n6s=")</f>
        <v>#REF!</v>
      </c>
      <c r="FQ174">
        <f>IF(Bills!715:715,"AAAAAE+1n6w=",0)</f>
        <v>0</v>
      </c>
      <c r="FR174" t="e">
        <f>AND(Bills!B715,"AAAAAE+1n60=")</f>
        <v>#VALUE!</v>
      </c>
      <c r="FS174" t="e">
        <f>AND(Bills!#REF!,"AAAAAE+1n64=")</f>
        <v>#REF!</v>
      </c>
      <c r="FT174" t="e">
        <f>AND(Bills!C715,"AAAAAE+1n68=")</f>
        <v>#VALUE!</v>
      </c>
      <c r="FU174" t="e">
        <f>AND(Bills!D715,"AAAAAE+1n7A=")</f>
        <v>#VALUE!</v>
      </c>
      <c r="FV174" t="e">
        <f>AND(Bills!E715,"AAAAAE+1n7E=")</f>
        <v>#VALUE!</v>
      </c>
      <c r="FW174" t="e">
        <f>AND(Bills!#REF!,"AAAAAE+1n7I=")</f>
        <v>#REF!</v>
      </c>
      <c r="FX174" t="e">
        <f>AND(Bills!#REF!,"AAAAAE+1n7M=")</f>
        <v>#REF!</v>
      </c>
      <c r="FY174" t="e">
        <f>AND(Bills!#REF!,"AAAAAE+1n7Q=")</f>
        <v>#REF!</v>
      </c>
      <c r="FZ174" t="e">
        <f>AND(Bills!F715,"AAAAAE+1n7U=")</f>
        <v>#VALUE!</v>
      </c>
      <c r="GA174" t="e">
        <f>AND(Bills!#REF!,"AAAAAE+1n7Y=")</f>
        <v>#REF!</v>
      </c>
      <c r="GB174" t="e">
        <f>AND(Bills!G715,"AAAAAE+1n7c=")</f>
        <v>#VALUE!</v>
      </c>
      <c r="GC174" t="e">
        <f>AND(Bills!H715,"AAAAAE+1n7g=")</f>
        <v>#VALUE!</v>
      </c>
      <c r="GD174" t="e">
        <f>AND(Bills!I715,"AAAAAE+1n7k=")</f>
        <v>#VALUE!</v>
      </c>
      <c r="GE174" t="e">
        <f>AND(Bills!J715,"AAAAAE+1n7o=")</f>
        <v>#VALUE!</v>
      </c>
      <c r="GF174" t="e">
        <f>AND(Bills!K715,"AAAAAE+1n7s=")</f>
        <v>#VALUE!</v>
      </c>
      <c r="GG174" t="e">
        <f>AND(Bills!L715,"AAAAAE+1n7w=")</f>
        <v>#VALUE!</v>
      </c>
      <c r="GH174" t="e">
        <f>AND(Bills!#REF!,"AAAAAE+1n70=")</f>
        <v>#REF!</v>
      </c>
      <c r="GI174" t="e">
        <f>AND(Bills!M715,"AAAAAE+1n74=")</f>
        <v>#VALUE!</v>
      </c>
      <c r="GJ174" t="e">
        <f>AND(Bills!N715,"AAAAAE+1n78=")</f>
        <v>#VALUE!</v>
      </c>
      <c r="GK174" t="e">
        <f>AND(Bills!O715,"AAAAAE+1n8A=")</f>
        <v>#VALUE!</v>
      </c>
      <c r="GL174" t="e">
        <f>AND(Bills!P715,"AAAAAE+1n8E=")</f>
        <v>#VALUE!</v>
      </c>
      <c r="GM174" t="e">
        <f>AND(Bills!Q715,"AAAAAE+1n8I=")</f>
        <v>#VALUE!</v>
      </c>
      <c r="GN174" t="e">
        <f>AND(Bills!R715,"AAAAAE+1n8M=")</f>
        <v>#VALUE!</v>
      </c>
      <c r="GO174" t="e">
        <f>AND(Bills!S715,"AAAAAE+1n8Q=")</f>
        <v>#VALUE!</v>
      </c>
      <c r="GP174" t="e">
        <f>AND(Bills!T715,"AAAAAE+1n8U=")</f>
        <v>#VALUE!</v>
      </c>
      <c r="GQ174" t="e">
        <f>AND(Bills!#REF!,"AAAAAE+1n8Y=")</f>
        <v>#REF!</v>
      </c>
      <c r="GR174" t="e">
        <f>AND(Bills!U715,"AAAAAE+1n8c=")</f>
        <v>#VALUE!</v>
      </c>
      <c r="GS174" t="e">
        <f>AND(Bills!V715,"AAAAAE+1n8g=")</f>
        <v>#VALUE!</v>
      </c>
      <c r="GT174" t="e">
        <f>AND(Bills!W715,"AAAAAE+1n8k=")</f>
        <v>#VALUE!</v>
      </c>
      <c r="GU174" t="e">
        <f>AND(Bills!#REF!,"AAAAAE+1n8o=")</f>
        <v>#REF!</v>
      </c>
      <c r="GV174" t="e">
        <f>AND(Bills!#REF!,"AAAAAE+1n8s=")</f>
        <v>#REF!</v>
      </c>
      <c r="GW174" t="e">
        <f>AND(Bills!Y715,"AAAAAE+1n8w=")</f>
        <v>#VALUE!</v>
      </c>
      <c r="GX174" t="e">
        <f>AND(Bills!Z715,"AAAAAE+1n80=")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AND(Bills!AA715,"AAAAAE+1n9c=")</f>
        <v>#VALUE!</v>
      </c>
      <c r="HI174" t="e">
        <f>AND(Bills!AB715,"AAAAAE+1n9g=")</f>
        <v>#VALUE!</v>
      </c>
      <c r="HJ174" t="e">
        <f>AND(Bills!#REF!,"AAAAAE+1n9k=")</f>
        <v>#REF!</v>
      </c>
      <c r="HK174" t="e">
        <f>AND(Bills!#REF!,"AAAAAE+1n9o=")</f>
        <v>#REF!</v>
      </c>
      <c r="HL174" t="e">
        <f>AND(Bills!#REF!,"AAAAAE+1n9s=")</f>
        <v>#REF!</v>
      </c>
      <c r="HM174" t="e">
        <f>AND(Bills!AC715,"AAAAAE+1n9w=")</f>
        <v>#VALUE!</v>
      </c>
      <c r="HN174" t="e">
        <f>AND(Bills!AD715,"AAAAAE+1n90=")</f>
        <v>#VALUE!</v>
      </c>
      <c r="HO174" t="e">
        <f>AND(Bills!#REF!,"AAAAAE+1n94=")</f>
        <v>#REF!</v>
      </c>
      <c r="HP174">
        <f>IF(Bills!716:716,"AAAAAE+1n98=",0)</f>
        <v>0</v>
      </c>
      <c r="HQ174" t="e">
        <f>AND(Bills!B716,"AAAAAE+1n+A=")</f>
        <v>#VALUE!</v>
      </c>
      <c r="HR174" t="e">
        <f>AND(Bills!#REF!,"AAAAAE+1n+E=")</f>
        <v>#REF!</v>
      </c>
      <c r="HS174" t="e">
        <f>AND(Bills!C716,"AAAAAE+1n+I=")</f>
        <v>#VALUE!</v>
      </c>
      <c r="HT174" t="e">
        <f>AND(Bills!D716,"AAAAAE+1n+M=")</f>
        <v>#VALUE!</v>
      </c>
      <c r="HU174" t="e">
        <f>AND(Bills!E716,"AAAAAE+1n+Q=")</f>
        <v>#VALUE!</v>
      </c>
      <c r="HV174" t="e">
        <f>AND(Bills!#REF!,"AAAAAE+1n+U=")</f>
        <v>#REF!</v>
      </c>
      <c r="HW174" t="e">
        <f>AND(Bills!#REF!,"AAAAAE+1n+Y=")</f>
        <v>#REF!</v>
      </c>
      <c r="HX174" t="e">
        <f>AND(Bills!#REF!,"AAAAAE+1n+c=")</f>
        <v>#REF!</v>
      </c>
      <c r="HY174" t="e">
        <f>AND(Bills!F716,"AAAAAE+1n+g=")</f>
        <v>#VALUE!</v>
      </c>
      <c r="HZ174" t="e">
        <f>AND(Bills!#REF!,"AAAAAE+1n+k=")</f>
        <v>#REF!</v>
      </c>
      <c r="IA174" t="e">
        <f>AND(Bills!G716,"AAAAAE+1n+o=")</f>
        <v>#VALUE!</v>
      </c>
      <c r="IB174" t="e">
        <f>AND(Bills!H716,"AAAAAE+1n+s=")</f>
        <v>#VALUE!</v>
      </c>
      <c r="IC174" t="e">
        <f>AND(Bills!I716,"AAAAAE+1n+w=")</f>
        <v>#VALUE!</v>
      </c>
      <c r="ID174" t="e">
        <f>AND(Bills!J716,"AAAAAE+1n+0=")</f>
        <v>#VALUE!</v>
      </c>
      <c r="IE174" t="e">
        <f>AND(Bills!K716,"AAAAAE+1n+4=")</f>
        <v>#VALUE!</v>
      </c>
      <c r="IF174" t="e">
        <f>AND(Bills!L716,"AAAAAE+1n+8=")</f>
        <v>#VALUE!</v>
      </c>
      <c r="IG174" t="e">
        <f>AND(Bills!#REF!,"AAAAAE+1n/A=")</f>
        <v>#REF!</v>
      </c>
      <c r="IH174" t="e">
        <f>AND(Bills!M716,"AAAAAE+1n/E=")</f>
        <v>#VALUE!</v>
      </c>
      <c r="II174" t="e">
        <f>AND(Bills!N716,"AAAAAE+1n/I=")</f>
        <v>#VALUE!</v>
      </c>
      <c r="IJ174" t="e">
        <f>AND(Bills!O716,"AAAAAE+1n/M=")</f>
        <v>#VALUE!</v>
      </c>
      <c r="IK174" t="e">
        <f>AND(Bills!P716,"AAAAAE+1n/Q=")</f>
        <v>#VALUE!</v>
      </c>
      <c r="IL174" t="e">
        <f>AND(Bills!Q716,"AAAAAE+1n/U=")</f>
        <v>#VALUE!</v>
      </c>
      <c r="IM174" t="e">
        <f>AND(Bills!R716,"AAAAAE+1n/Y=")</f>
        <v>#VALUE!</v>
      </c>
      <c r="IN174" t="e">
        <f>AND(Bills!S716,"AAAAAE+1n/c=")</f>
        <v>#VALUE!</v>
      </c>
      <c r="IO174" t="e">
        <f>AND(Bills!T716,"AAAAAE+1n/g=")</f>
        <v>#VALUE!</v>
      </c>
      <c r="IP174" t="e">
        <f>AND(Bills!#REF!,"AAAAAE+1n/k=")</f>
        <v>#REF!</v>
      </c>
      <c r="IQ174" t="e">
        <f>AND(Bills!U716,"AAAAAE+1n/o=")</f>
        <v>#VALUE!</v>
      </c>
      <c r="IR174" t="e">
        <f>AND(Bills!V716,"AAAAAE+1n/s=")</f>
        <v>#VALUE!</v>
      </c>
      <c r="IS174" t="e">
        <f>AND(Bills!W716,"AAAAAE+1n/w=")</f>
        <v>#VALUE!</v>
      </c>
      <c r="IT174" t="e">
        <f>AND(Bills!#REF!,"AAAAAE+1n/0=")</f>
        <v>#REF!</v>
      </c>
      <c r="IU174" t="e">
        <f>AND(Bills!#REF!,"AAAAAE+1n/4=")</f>
        <v>#REF!</v>
      </c>
      <c r="IV174" t="e">
        <f>AND(Bills!Y716,"AAAAAE+1n/8=")</f>
        <v>#VALUE!</v>
      </c>
    </row>
    <row r="175" spans="1:256">
      <c r="A175" t="e">
        <f>AND(Bills!Z716,"AAAAAD/zdQA=")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AND(Bills!AA716,"AAAAAD/zdQo=")</f>
        <v>#VALUE!</v>
      </c>
      <c r="L175" t="e">
        <f>AND(Bills!AB716,"AAAAAD/zdQs=")</f>
        <v>#VALUE!</v>
      </c>
      <c r="M175" t="e">
        <f>AND(Bills!#REF!,"AAAAAD/zdQw=")</f>
        <v>#REF!</v>
      </c>
      <c r="N175" t="e">
        <f>AND(Bills!#REF!,"AAAAAD/zdQ0=")</f>
        <v>#REF!</v>
      </c>
      <c r="O175" t="e">
        <f>AND(Bills!#REF!,"AAAAAD/zdQ4=")</f>
        <v>#REF!</v>
      </c>
      <c r="P175" t="e">
        <f>AND(Bills!AC716,"AAAAAD/zdQ8=")</f>
        <v>#VALUE!</v>
      </c>
      <c r="Q175" t="e">
        <f>AND(Bills!AD716,"AAAAAD/zdRA=")</f>
        <v>#VALUE!</v>
      </c>
      <c r="R175" t="e">
        <f>AND(Bills!#REF!,"AAAAAD/zdRE=")</f>
        <v>#REF!</v>
      </c>
      <c r="S175">
        <f>IF(Bills!717:717,"AAAAAD/zdRI=",0)</f>
        <v>0</v>
      </c>
      <c r="T175" t="e">
        <f>AND(Bills!B717,"AAAAAD/zdRM=")</f>
        <v>#VALUE!</v>
      </c>
      <c r="U175" t="e">
        <f>AND(Bills!#REF!,"AAAAAD/zdRQ=")</f>
        <v>#REF!</v>
      </c>
      <c r="V175" t="e">
        <f>AND(Bills!C717,"AAAAAD/zdRU=")</f>
        <v>#VALUE!</v>
      </c>
      <c r="W175" t="e">
        <f>AND(Bills!D717,"AAAAAD/zdRY=")</f>
        <v>#VALUE!</v>
      </c>
      <c r="X175" t="e">
        <f>AND(Bills!E717,"AAAAAD/zdRc=")</f>
        <v>#VALUE!</v>
      </c>
      <c r="Y175" t="e">
        <f>AND(Bills!#REF!,"AAAAAD/zdRg=")</f>
        <v>#REF!</v>
      </c>
      <c r="Z175" t="e">
        <f>AND(Bills!#REF!,"AAAAAD/zdRk=")</f>
        <v>#REF!</v>
      </c>
      <c r="AA175" t="e">
        <f>AND(Bills!#REF!,"AAAAAD/zdRo=")</f>
        <v>#REF!</v>
      </c>
      <c r="AB175" t="e">
        <f>AND(Bills!F717,"AAAAAD/zdRs=")</f>
        <v>#VALUE!</v>
      </c>
      <c r="AC175" t="e">
        <f>AND(Bills!#REF!,"AAAAAD/zdRw=")</f>
        <v>#REF!</v>
      </c>
      <c r="AD175" t="e">
        <f>AND(Bills!G717,"AAAAAD/zdR0=")</f>
        <v>#VALUE!</v>
      </c>
      <c r="AE175" t="e">
        <f>AND(Bills!H717,"AAAAAD/zdR4=")</f>
        <v>#VALUE!</v>
      </c>
      <c r="AF175" t="e">
        <f>AND(Bills!I717,"AAAAAD/zdR8=")</f>
        <v>#VALUE!</v>
      </c>
      <c r="AG175" t="e">
        <f>AND(Bills!J717,"AAAAAD/zdSA=")</f>
        <v>#VALUE!</v>
      </c>
      <c r="AH175" t="e">
        <f>AND(Bills!K717,"AAAAAD/zdSE=")</f>
        <v>#VALUE!</v>
      </c>
      <c r="AI175" t="e">
        <f>AND(Bills!L717,"AAAAAD/zdSI=")</f>
        <v>#VALUE!</v>
      </c>
      <c r="AJ175" t="e">
        <f>AND(Bills!#REF!,"AAAAAD/zdSM=")</f>
        <v>#REF!</v>
      </c>
      <c r="AK175" t="e">
        <f>AND(Bills!M717,"AAAAAD/zdSQ=")</f>
        <v>#VALUE!</v>
      </c>
      <c r="AL175" t="e">
        <f>AND(Bills!N717,"AAAAAD/zdSU=")</f>
        <v>#VALUE!</v>
      </c>
      <c r="AM175" t="e">
        <f>AND(Bills!O717,"AAAAAD/zdSY=")</f>
        <v>#VALUE!</v>
      </c>
      <c r="AN175" t="e">
        <f>AND(Bills!P717,"AAAAAD/zdSc=")</f>
        <v>#VALUE!</v>
      </c>
      <c r="AO175" t="e">
        <f>AND(Bills!Q717,"AAAAAD/zdSg=")</f>
        <v>#VALUE!</v>
      </c>
      <c r="AP175" t="e">
        <f>AND(Bills!R717,"AAAAAD/zdSk=")</f>
        <v>#VALUE!</v>
      </c>
      <c r="AQ175" t="e">
        <f>AND(Bills!S717,"AAAAAD/zdSo=")</f>
        <v>#VALUE!</v>
      </c>
      <c r="AR175" t="e">
        <f>AND(Bills!T717,"AAAAAD/zdSs=")</f>
        <v>#VALUE!</v>
      </c>
      <c r="AS175" t="e">
        <f>AND(Bills!#REF!,"AAAAAD/zdSw=")</f>
        <v>#REF!</v>
      </c>
      <c r="AT175" t="e">
        <f>AND(Bills!U717,"AAAAAD/zdS0=")</f>
        <v>#VALUE!</v>
      </c>
      <c r="AU175" t="e">
        <f>AND(Bills!V717,"AAAAAD/zdS4=")</f>
        <v>#VALUE!</v>
      </c>
      <c r="AV175" t="e">
        <f>AND(Bills!W717,"AAAAAD/zdS8=")</f>
        <v>#VALUE!</v>
      </c>
      <c r="AW175" t="e">
        <f>AND(Bills!#REF!,"AAAAAD/zdTA=")</f>
        <v>#REF!</v>
      </c>
      <c r="AX175" t="e">
        <f>AND(Bills!#REF!,"AAAAAD/zdTE=")</f>
        <v>#REF!</v>
      </c>
      <c r="AY175" t="e">
        <f>AND(Bills!Y717,"AAAAAD/zdTI=")</f>
        <v>#VALUE!</v>
      </c>
      <c r="AZ175" t="e">
        <f>AND(Bills!Z717,"AAAAAD/zdTM=")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AND(Bills!AA717,"AAAAAD/zdT0=")</f>
        <v>#VALUE!</v>
      </c>
      <c r="BK175" t="e">
        <f>AND(Bills!AB717,"AAAAAD/zdT4=")</f>
        <v>#VALUE!</v>
      </c>
      <c r="BL175" t="e">
        <f>AND(Bills!#REF!,"AAAAAD/zdT8=")</f>
        <v>#REF!</v>
      </c>
      <c r="BM175" t="e">
        <f>AND(Bills!#REF!,"AAAAAD/zdUA=")</f>
        <v>#REF!</v>
      </c>
      <c r="BN175" t="e">
        <f>AND(Bills!#REF!,"AAAAAD/zdUE=")</f>
        <v>#REF!</v>
      </c>
      <c r="BO175" t="e">
        <f>AND(Bills!AC717,"AAAAAD/zdUI=")</f>
        <v>#VALUE!</v>
      </c>
      <c r="BP175" t="e">
        <f>AND(Bills!AD717,"AAAAAD/zdUM=")</f>
        <v>#VALUE!</v>
      </c>
      <c r="BQ175" t="e">
        <f>AND(Bills!#REF!,"AAAAAD/zdUQ=")</f>
        <v>#REF!</v>
      </c>
      <c r="BR175">
        <f>IF(Bills!718:718,"AAAAAD/zdUU=",0)</f>
        <v>0</v>
      </c>
      <c r="BS175" t="e">
        <f>AND(Bills!B718,"AAAAAD/zdUY=")</f>
        <v>#VALUE!</v>
      </c>
      <c r="BT175" t="e">
        <f>AND(Bills!#REF!,"AAAAAD/zdUc=")</f>
        <v>#REF!</v>
      </c>
      <c r="BU175" t="e">
        <f>AND(Bills!C718,"AAAAAD/zdUg=")</f>
        <v>#VALUE!</v>
      </c>
      <c r="BV175" t="e">
        <f>AND(Bills!D718,"AAAAAD/zdUk=")</f>
        <v>#VALUE!</v>
      </c>
      <c r="BW175" t="e">
        <f>AND(Bills!E718,"AAAAAD/zdUo=")</f>
        <v>#VALUE!</v>
      </c>
      <c r="BX175" t="e">
        <f>AND(Bills!#REF!,"AAAAAD/zdUs=")</f>
        <v>#REF!</v>
      </c>
      <c r="BY175" t="e">
        <f>AND(Bills!#REF!,"AAAAAD/zdUw=")</f>
        <v>#REF!</v>
      </c>
      <c r="BZ175" t="e">
        <f>AND(Bills!#REF!,"AAAAAD/zdU0=")</f>
        <v>#REF!</v>
      </c>
      <c r="CA175" t="e">
        <f>AND(Bills!F718,"AAAAAD/zdU4=")</f>
        <v>#VALUE!</v>
      </c>
      <c r="CB175" t="e">
        <f>AND(Bills!#REF!,"AAAAAD/zdU8=")</f>
        <v>#REF!</v>
      </c>
      <c r="CC175" t="e">
        <f>AND(Bills!G718,"AAAAAD/zdVA=")</f>
        <v>#VALUE!</v>
      </c>
      <c r="CD175" t="e">
        <f>AND(Bills!H718,"AAAAAD/zdVE=")</f>
        <v>#VALUE!</v>
      </c>
      <c r="CE175" t="e">
        <f>AND(Bills!I718,"AAAAAD/zdVI=")</f>
        <v>#VALUE!</v>
      </c>
      <c r="CF175" t="e">
        <f>AND(Bills!J718,"AAAAAD/zdVM=")</f>
        <v>#VALUE!</v>
      </c>
      <c r="CG175" t="e">
        <f>AND(Bills!K718,"AAAAAD/zdVQ=")</f>
        <v>#VALUE!</v>
      </c>
      <c r="CH175" t="e">
        <f>AND(Bills!L718,"AAAAAD/zdVU=")</f>
        <v>#VALUE!</v>
      </c>
      <c r="CI175" t="e">
        <f>AND(Bills!#REF!,"AAAAAD/zdVY=")</f>
        <v>#REF!</v>
      </c>
      <c r="CJ175" t="e">
        <f>AND(Bills!M718,"AAAAAD/zdVc=")</f>
        <v>#VALUE!</v>
      </c>
      <c r="CK175" t="e">
        <f>AND(Bills!N718,"AAAAAD/zdVg=")</f>
        <v>#VALUE!</v>
      </c>
      <c r="CL175" t="e">
        <f>AND(Bills!O718,"AAAAAD/zdVk=")</f>
        <v>#VALUE!</v>
      </c>
      <c r="CM175" t="e">
        <f>AND(Bills!P718,"AAAAAD/zdVo=")</f>
        <v>#VALUE!</v>
      </c>
      <c r="CN175" t="e">
        <f>AND(Bills!Q718,"AAAAAD/zdVs=")</f>
        <v>#VALUE!</v>
      </c>
      <c r="CO175" t="e">
        <f>AND(Bills!R718,"AAAAAD/zdVw=")</f>
        <v>#VALUE!</v>
      </c>
      <c r="CP175" t="e">
        <f>AND(Bills!S718,"AAAAAD/zdV0=")</f>
        <v>#VALUE!</v>
      </c>
      <c r="CQ175" t="e">
        <f>AND(Bills!T718,"AAAAAD/zdV4=")</f>
        <v>#VALUE!</v>
      </c>
      <c r="CR175" t="e">
        <f>AND(Bills!#REF!,"AAAAAD/zdV8=")</f>
        <v>#REF!</v>
      </c>
      <c r="CS175" t="e">
        <f>AND(Bills!U718,"AAAAAD/zdWA=")</f>
        <v>#VALUE!</v>
      </c>
      <c r="CT175" t="e">
        <f>AND(Bills!V718,"AAAAAD/zdWE=")</f>
        <v>#VALUE!</v>
      </c>
      <c r="CU175" t="e">
        <f>AND(Bills!W718,"AAAAAD/zdWI=")</f>
        <v>#VALUE!</v>
      </c>
      <c r="CV175" t="e">
        <f>AND(Bills!#REF!,"AAAAAD/zdWM=")</f>
        <v>#REF!</v>
      </c>
      <c r="CW175" t="e">
        <f>AND(Bills!#REF!,"AAAAAD/zdWQ=")</f>
        <v>#REF!</v>
      </c>
      <c r="CX175" t="e">
        <f>AND(Bills!Y718,"AAAAAD/zdWU=")</f>
        <v>#VALUE!</v>
      </c>
      <c r="CY175" t="e">
        <f>AND(Bills!Z718,"AAAAAD/zdWY=")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AND(Bills!AA718,"AAAAAD/zdXA=")</f>
        <v>#VALUE!</v>
      </c>
      <c r="DJ175" t="e">
        <f>AND(Bills!AB718,"AAAAAD/zdXE=")</f>
        <v>#VALUE!</v>
      </c>
      <c r="DK175" t="e">
        <f>AND(Bills!#REF!,"AAAAAD/zdXI=")</f>
        <v>#REF!</v>
      </c>
      <c r="DL175" t="e">
        <f>AND(Bills!#REF!,"AAAAAD/zdXM=")</f>
        <v>#REF!</v>
      </c>
      <c r="DM175" t="e">
        <f>AND(Bills!#REF!,"AAAAAD/zdXQ=")</f>
        <v>#REF!</v>
      </c>
      <c r="DN175" t="e">
        <f>AND(Bills!AC718,"AAAAAD/zdXU=")</f>
        <v>#VALUE!</v>
      </c>
      <c r="DO175" t="e">
        <f>AND(Bills!AD718,"AAAAAD/zdXY=")</f>
        <v>#VALUE!</v>
      </c>
      <c r="DP175" t="e">
        <f>AND(Bills!#REF!,"AAAAAD/zdXc=")</f>
        <v>#REF!</v>
      </c>
      <c r="DQ175">
        <f>IF(Bills!719:719,"AAAAAD/zdXg=",0)</f>
        <v>0</v>
      </c>
      <c r="DR175" t="e">
        <f>AND(Bills!B719,"AAAAAD/zdXk=")</f>
        <v>#VALUE!</v>
      </c>
      <c r="DS175" t="e">
        <f>AND(Bills!#REF!,"AAAAAD/zdXo=")</f>
        <v>#REF!</v>
      </c>
      <c r="DT175" t="e">
        <f>AND(Bills!C719,"AAAAAD/zdXs=")</f>
        <v>#VALUE!</v>
      </c>
      <c r="DU175" t="e">
        <f>AND(Bills!D719,"AAAAAD/zdXw=")</f>
        <v>#VALUE!</v>
      </c>
      <c r="DV175" t="e">
        <f>AND(Bills!E719,"AAAAAD/zdX0=")</f>
        <v>#VALUE!</v>
      </c>
      <c r="DW175" t="e">
        <f>AND(Bills!#REF!,"AAAAAD/zdX4=")</f>
        <v>#REF!</v>
      </c>
      <c r="DX175" t="e">
        <f>AND(Bills!#REF!,"AAAAAD/zdX8=")</f>
        <v>#REF!</v>
      </c>
      <c r="DY175" t="e">
        <f>AND(Bills!#REF!,"AAAAAD/zdYA=")</f>
        <v>#REF!</v>
      </c>
      <c r="DZ175" t="e">
        <f>AND(Bills!F719,"AAAAAD/zdYE=")</f>
        <v>#VALUE!</v>
      </c>
      <c r="EA175" t="e">
        <f>AND(Bills!#REF!,"AAAAAD/zdYI=")</f>
        <v>#REF!</v>
      </c>
      <c r="EB175" t="e">
        <f>AND(Bills!G719,"AAAAAD/zdYM=")</f>
        <v>#VALUE!</v>
      </c>
      <c r="EC175" t="e">
        <f>AND(Bills!H719,"AAAAAD/zdYQ=")</f>
        <v>#VALUE!</v>
      </c>
      <c r="ED175" t="e">
        <f>AND(Bills!I719,"AAAAAD/zdYU=")</f>
        <v>#VALUE!</v>
      </c>
      <c r="EE175" t="e">
        <f>AND(Bills!J719,"AAAAAD/zdYY=")</f>
        <v>#VALUE!</v>
      </c>
      <c r="EF175" t="e">
        <f>AND(Bills!K719,"AAAAAD/zdYc=")</f>
        <v>#VALUE!</v>
      </c>
      <c r="EG175" t="e">
        <f>AND(Bills!L719,"AAAAAD/zdYg=")</f>
        <v>#VALUE!</v>
      </c>
      <c r="EH175" t="e">
        <f>AND(Bills!#REF!,"AAAAAD/zdYk=")</f>
        <v>#REF!</v>
      </c>
      <c r="EI175" t="e">
        <f>AND(Bills!M719,"AAAAAD/zdYo=")</f>
        <v>#VALUE!</v>
      </c>
      <c r="EJ175" t="e">
        <f>AND(Bills!N719,"AAAAAD/zdYs=")</f>
        <v>#VALUE!</v>
      </c>
      <c r="EK175" t="e">
        <f>AND(Bills!O719,"AAAAAD/zdYw=")</f>
        <v>#VALUE!</v>
      </c>
      <c r="EL175" t="e">
        <f>AND(Bills!P719,"AAAAAD/zdY0=")</f>
        <v>#VALUE!</v>
      </c>
      <c r="EM175" t="e">
        <f>AND(Bills!Q719,"AAAAAD/zdY4=")</f>
        <v>#VALUE!</v>
      </c>
      <c r="EN175" t="e">
        <f>AND(Bills!R719,"AAAAAD/zdY8=")</f>
        <v>#VALUE!</v>
      </c>
      <c r="EO175" t="e">
        <f>AND(Bills!S719,"AAAAAD/zdZA=")</f>
        <v>#VALUE!</v>
      </c>
      <c r="EP175" t="e">
        <f>AND(Bills!T719,"AAAAAD/zdZE=")</f>
        <v>#VALUE!</v>
      </c>
      <c r="EQ175" t="e">
        <f>AND(Bills!#REF!,"AAAAAD/zdZI=")</f>
        <v>#REF!</v>
      </c>
      <c r="ER175" t="e">
        <f>AND(Bills!U719,"AAAAAD/zdZM=")</f>
        <v>#VALUE!</v>
      </c>
      <c r="ES175" t="e">
        <f>AND(Bills!V719,"AAAAAD/zdZQ=")</f>
        <v>#VALUE!</v>
      </c>
      <c r="ET175" t="e">
        <f>AND(Bills!W719,"AAAAAD/zdZU=")</f>
        <v>#VALUE!</v>
      </c>
      <c r="EU175" t="e">
        <f>AND(Bills!#REF!,"AAAAAD/zdZY=")</f>
        <v>#REF!</v>
      </c>
      <c r="EV175" t="e">
        <f>AND(Bills!#REF!,"AAAAAD/zdZc=")</f>
        <v>#REF!</v>
      </c>
      <c r="EW175" t="e">
        <f>AND(Bills!Y719,"AAAAAD/zdZg=")</f>
        <v>#VALUE!</v>
      </c>
      <c r="EX175" t="e">
        <f>AND(Bills!Z719,"AAAAAD/zdZk=")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AND(Bills!AA719,"AAAAAD/zdaM=")</f>
        <v>#VALUE!</v>
      </c>
      <c r="FI175" t="e">
        <f>AND(Bills!AB719,"AAAAAD/zdaQ=")</f>
        <v>#VALUE!</v>
      </c>
      <c r="FJ175" t="e">
        <f>AND(Bills!#REF!,"AAAAAD/zdaU=")</f>
        <v>#REF!</v>
      </c>
      <c r="FK175" t="e">
        <f>AND(Bills!#REF!,"AAAAAD/zdaY=")</f>
        <v>#REF!</v>
      </c>
      <c r="FL175" t="e">
        <f>AND(Bills!#REF!,"AAAAAD/zdac=")</f>
        <v>#REF!</v>
      </c>
      <c r="FM175" t="e">
        <f>AND(Bills!AC719,"AAAAAD/zdag=")</f>
        <v>#VALUE!</v>
      </c>
      <c r="FN175" t="e">
        <f>AND(Bills!AD719,"AAAAAD/zdak=")</f>
        <v>#VALUE!</v>
      </c>
      <c r="FO175" t="e">
        <f>AND(Bills!#REF!,"AAAAAD/zdao=")</f>
        <v>#REF!</v>
      </c>
      <c r="FP175">
        <f>IF(Bills!720:720,"AAAAAD/zdas=",0)</f>
        <v>0</v>
      </c>
      <c r="FQ175" t="e">
        <f>AND(Bills!B720,"AAAAAD/zdaw=")</f>
        <v>#VALUE!</v>
      </c>
      <c r="FR175" t="e">
        <f>AND(Bills!#REF!,"AAAAAD/zda0=")</f>
        <v>#REF!</v>
      </c>
      <c r="FS175" t="e">
        <f>AND(Bills!C720,"AAAAAD/zda4=")</f>
        <v>#VALUE!</v>
      </c>
      <c r="FT175" t="e">
        <f>AND(Bills!D720,"AAAAAD/zda8=")</f>
        <v>#VALUE!</v>
      </c>
      <c r="FU175" t="e">
        <f>AND(Bills!E720,"AAAAAD/zdbA=")</f>
        <v>#VALUE!</v>
      </c>
      <c r="FV175" t="e">
        <f>AND(Bills!#REF!,"AAAAAD/zdbE=")</f>
        <v>#REF!</v>
      </c>
      <c r="FW175" t="e">
        <f>AND(Bills!#REF!,"AAAAAD/zdbI=")</f>
        <v>#REF!</v>
      </c>
      <c r="FX175" t="e">
        <f>AND(Bills!#REF!,"AAAAAD/zdbM=")</f>
        <v>#REF!</v>
      </c>
      <c r="FY175" t="e">
        <f>AND(Bills!F720,"AAAAAD/zdbQ=")</f>
        <v>#VALUE!</v>
      </c>
      <c r="FZ175" t="e">
        <f>AND(Bills!#REF!,"AAAAAD/zdbU=")</f>
        <v>#REF!</v>
      </c>
      <c r="GA175" t="e">
        <f>AND(Bills!G720,"AAAAAD/zdbY=")</f>
        <v>#VALUE!</v>
      </c>
      <c r="GB175" t="e">
        <f>AND(Bills!H720,"AAAAAD/zdbc=")</f>
        <v>#VALUE!</v>
      </c>
      <c r="GC175" t="e">
        <f>AND(Bills!I720,"AAAAAD/zdbg=")</f>
        <v>#VALUE!</v>
      </c>
      <c r="GD175" t="e">
        <f>AND(Bills!J720,"AAAAAD/zdbk=")</f>
        <v>#VALUE!</v>
      </c>
      <c r="GE175" t="e">
        <f>AND(Bills!K720,"AAAAAD/zdbo=")</f>
        <v>#VALUE!</v>
      </c>
      <c r="GF175" t="e">
        <f>AND(Bills!L720,"AAAAAD/zdbs=")</f>
        <v>#VALUE!</v>
      </c>
      <c r="GG175" t="e">
        <f>AND(Bills!#REF!,"AAAAAD/zdbw=")</f>
        <v>#REF!</v>
      </c>
      <c r="GH175" t="e">
        <f>AND(Bills!M720,"AAAAAD/zdb0=")</f>
        <v>#VALUE!</v>
      </c>
      <c r="GI175" t="e">
        <f>AND(Bills!N720,"AAAAAD/zdb4=")</f>
        <v>#VALUE!</v>
      </c>
      <c r="GJ175" t="e">
        <f>AND(Bills!O720,"AAAAAD/zdb8=")</f>
        <v>#VALUE!</v>
      </c>
      <c r="GK175" t="e">
        <f>AND(Bills!P720,"AAAAAD/zdcA=")</f>
        <v>#VALUE!</v>
      </c>
      <c r="GL175" t="e">
        <f>AND(Bills!Q720,"AAAAAD/zdcE=")</f>
        <v>#VALUE!</v>
      </c>
      <c r="GM175" t="e">
        <f>AND(Bills!R720,"AAAAAD/zdcI=")</f>
        <v>#VALUE!</v>
      </c>
      <c r="GN175" t="e">
        <f>AND(Bills!S720,"AAAAAD/zdcM=")</f>
        <v>#VALUE!</v>
      </c>
      <c r="GO175" t="e">
        <f>AND(Bills!T720,"AAAAAD/zdcQ=")</f>
        <v>#VALUE!</v>
      </c>
      <c r="GP175" t="e">
        <f>AND(Bills!#REF!,"AAAAAD/zdcU=")</f>
        <v>#REF!</v>
      </c>
      <c r="GQ175" t="e">
        <f>AND(Bills!U720,"AAAAAD/zdcY=")</f>
        <v>#VALUE!</v>
      </c>
      <c r="GR175" t="e">
        <f>AND(Bills!V720,"AAAAAD/zdcc=")</f>
        <v>#VALUE!</v>
      </c>
      <c r="GS175" t="e">
        <f>AND(Bills!W720,"AAAAAD/zdcg=")</f>
        <v>#VALUE!</v>
      </c>
      <c r="GT175" t="e">
        <f>AND(Bills!#REF!,"AAAAAD/zdck=")</f>
        <v>#REF!</v>
      </c>
      <c r="GU175" t="e">
        <f>AND(Bills!#REF!,"AAAAAD/zdco=")</f>
        <v>#REF!</v>
      </c>
      <c r="GV175" t="e">
        <f>AND(Bills!Y720,"AAAAAD/zdcs=")</f>
        <v>#VALUE!</v>
      </c>
      <c r="GW175" t="e">
        <f>AND(Bills!Z720,"AAAAAD/zdcw=")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AND(Bills!AA720,"AAAAAD/zddY=")</f>
        <v>#VALUE!</v>
      </c>
      <c r="HH175" t="e">
        <f>AND(Bills!AB720,"AAAAAD/zddc=")</f>
        <v>#VALUE!</v>
      </c>
      <c r="HI175" t="e">
        <f>AND(Bills!#REF!,"AAAAAD/zddg=")</f>
        <v>#REF!</v>
      </c>
      <c r="HJ175" t="e">
        <f>AND(Bills!#REF!,"AAAAAD/zddk=")</f>
        <v>#REF!</v>
      </c>
      <c r="HK175" t="e">
        <f>AND(Bills!#REF!,"AAAAAD/zddo=")</f>
        <v>#REF!</v>
      </c>
      <c r="HL175" t="e">
        <f>AND(Bills!AC720,"AAAAAD/zdds=")</f>
        <v>#VALUE!</v>
      </c>
      <c r="HM175" t="e">
        <f>AND(Bills!AD720,"AAAAAD/zddw=")</f>
        <v>#VALUE!</v>
      </c>
      <c r="HN175" t="e">
        <f>AND(Bills!#REF!,"AAAAAD/zdd0=")</f>
        <v>#REF!</v>
      </c>
      <c r="HO175">
        <f>IF(Bills!721:721,"AAAAAD/zdd4=",0)</f>
        <v>0</v>
      </c>
      <c r="HP175" t="e">
        <f>AND(Bills!B721,"AAAAAD/zdd8=")</f>
        <v>#VALUE!</v>
      </c>
      <c r="HQ175" t="e">
        <f>AND(Bills!#REF!,"AAAAAD/zdeA=")</f>
        <v>#REF!</v>
      </c>
      <c r="HR175" t="e">
        <f>AND(Bills!C721,"AAAAAD/zdeE=")</f>
        <v>#VALUE!</v>
      </c>
      <c r="HS175" t="e">
        <f>AND(Bills!D721,"AAAAAD/zdeI=")</f>
        <v>#VALUE!</v>
      </c>
      <c r="HT175" t="e">
        <f>AND(Bills!E721,"AAAAAD/zdeM=")</f>
        <v>#VALUE!</v>
      </c>
      <c r="HU175" t="e">
        <f>AND(Bills!#REF!,"AAAAAD/zdeQ=")</f>
        <v>#REF!</v>
      </c>
      <c r="HV175" t="e">
        <f>AND(Bills!#REF!,"AAAAAD/zdeU=")</f>
        <v>#REF!</v>
      </c>
      <c r="HW175" t="e">
        <f>AND(Bills!#REF!,"AAAAAD/zdeY=")</f>
        <v>#REF!</v>
      </c>
      <c r="HX175" t="e">
        <f>AND(Bills!F721,"AAAAAD/zdec=")</f>
        <v>#VALUE!</v>
      </c>
      <c r="HY175" t="e">
        <f>AND(Bills!#REF!,"AAAAAD/zdeg=")</f>
        <v>#REF!</v>
      </c>
      <c r="HZ175" t="e">
        <f>AND(Bills!G721,"AAAAAD/zdek=")</f>
        <v>#VALUE!</v>
      </c>
      <c r="IA175" t="e">
        <f>AND(Bills!H721,"AAAAAD/zdeo=")</f>
        <v>#VALUE!</v>
      </c>
      <c r="IB175" t="e">
        <f>AND(Bills!I721,"AAAAAD/zdes=")</f>
        <v>#VALUE!</v>
      </c>
      <c r="IC175" t="e">
        <f>AND(Bills!J721,"AAAAAD/zdew=")</f>
        <v>#VALUE!</v>
      </c>
      <c r="ID175" t="e">
        <f>AND(Bills!K721,"AAAAAD/zde0=")</f>
        <v>#VALUE!</v>
      </c>
      <c r="IE175" t="e">
        <f>AND(Bills!L721,"AAAAAD/zde4=")</f>
        <v>#VALUE!</v>
      </c>
      <c r="IF175" t="e">
        <f>AND(Bills!#REF!,"AAAAAD/zde8=")</f>
        <v>#REF!</v>
      </c>
      <c r="IG175" t="e">
        <f>AND(Bills!M721,"AAAAAD/zdfA=")</f>
        <v>#VALUE!</v>
      </c>
      <c r="IH175" t="e">
        <f>AND(Bills!N721,"AAAAAD/zdfE=")</f>
        <v>#VALUE!</v>
      </c>
      <c r="II175" t="e">
        <f>AND(Bills!O721,"AAAAAD/zdfI=")</f>
        <v>#VALUE!</v>
      </c>
      <c r="IJ175" t="e">
        <f>AND(Bills!P721,"AAAAAD/zdfM=")</f>
        <v>#VALUE!</v>
      </c>
      <c r="IK175" t="e">
        <f>AND(Bills!Q721,"AAAAAD/zdfQ=")</f>
        <v>#VALUE!</v>
      </c>
      <c r="IL175" t="e">
        <f>AND(Bills!R721,"AAAAAD/zdfU=")</f>
        <v>#VALUE!</v>
      </c>
      <c r="IM175" t="e">
        <f>AND(Bills!S721,"AAAAAD/zdfY=")</f>
        <v>#VALUE!</v>
      </c>
      <c r="IN175" t="e">
        <f>AND(Bills!T721,"AAAAAD/zdfc=")</f>
        <v>#VALUE!</v>
      </c>
      <c r="IO175" t="e">
        <f>AND(Bills!#REF!,"AAAAAD/zdfg=")</f>
        <v>#REF!</v>
      </c>
      <c r="IP175" t="e">
        <f>AND(Bills!U721,"AAAAAD/zdfk=")</f>
        <v>#VALUE!</v>
      </c>
      <c r="IQ175" t="e">
        <f>AND(Bills!V721,"AAAAAD/zdfo=")</f>
        <v>#VALUE!</v>
      </c>
      <c r="IR175" t="e">
        <f>AND(Bills!W721,"AAAAAD/zdfs=")</f>
        <v>#VALUE!</v>
      </c>
      <c r="IS175" t="e">
        <f>AND(Bills!#REF!,"AAAAAD/zdfw=")</f>
        <v>#REF!</v>
      </c>
      <c r="IT175" t="e">
        <f>AND(Bills!#REF!,"AAAAAD/zdf0=")</f>
        <v>#REF!</v>
      </c>
      <c r="IU175" t="e">
        <f>AND(Bills!Y721,"AAAAAD/zdf4=")</f>
        <v>#VALUE!</v>
      </c>
      <c r="IV175" t="e">
        <f>AND(Bills!Z721,"AAAAAD/zdf8=")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AND(Bills!AA721,"AAAAAD9/8wk=")</f>
        <v>#VALUE!</v>
      </c>
      <c r="K176" t="e">
        <f>AND(Bills!AB721,"AAAAAD9/8wo=")</f>
        <v>#VALUE!</v>
      </c>
      <c r="L176" t="e">
        <f>AND(Bills!#REF!,"AAAAAD9/8ws=")</f>
        <v>#REF!</v>
      </c>
      <c r="M176" t="e">
        <f>AND(Bills!#REF!,"AAAAAD9/8ww=")</f>
        <v>#REF!</v>
      </c>
      <c r="N176" t="e">
        <f>AND(Bills!#REF!,"AAAAAD9/8w0=")</f>
        <v>#REF!</v>
      </c>
      <c r="O176" t="e">
        <f>AND(Bills!AC721,"AAAAAD9/8w4=")</f>
        <v>#VALUE!</v>
      </c>
      <c r="P176" t="e">
        <f>AND(Bills!AD721,"AAAAAD9/8w8=")</f>
        <v>#VALUE!</v>
      </c>
      <c r="Q176" t="e">
        <f>AND(Bills!#REF!,"AAAAAD9/8xA=")</f>
        <v>#REF!</v>
      </c>
      <c r="R176">
        <f>IF(Bills!722:722,"AAAAAD9/8xE=",0)</f>
        <v>0</v>
      </c>
      <c r="S176" t="e">
        <f>AND(Bills!B722,"AAAAAD9/8xI=")</f>
        <v>#VALUE!</v>
      </c>
      <c r="T176" t="e">
        <f>AND(Bills!#REF!,"AAAAAD9/8xM=")</f>
        <v>#REF!</v>
      </c>
      <c r="U176" t="e">
        <f>AND(Bills!C722,"AAAAAD9/8xQ=")</f>
        <v>#VALUE!</v>
      </c>
      <c r="V176" t="e">
        <f>AND(Bills!D722,"AAAAAD9/8xU=")</f>
        <v>#VALUE!</v>
      </c>
      <c r="W176" t="e">
        <f>AND(Bills!E722,"AAAAAD9/8xY=")</f>
        <v>#VALUE!</v>
      </c>
      <c r="X176" t="e">
        <f>AND(Bills!#REF!,"AAAAAD9/8xc=")</f>
        <v>#REF!</v>
      </c>
      <c r="Y176" t="e">
        <f>AND(Bills!#REF!,"AAAAAD9/8xg=")</f>
        <v>#REF!</v>
      </c>
      <c r="Z176" t="e">
        <f>AND(Bills!#REF!,"AAAAAD9/8xk=")</f>
        <v>#REF!</v>
      </c>
      <c r="AA176" t="e">
        <f>AND(Bills!F722,"AAAAAD9/8xo=")</f>
        <v>#VALUE!</v>
      </c>
      <c r="AB176" t="e">
        <f>AND(Bills!#REF!,"AAAAAD9/8xs=")</f>
        <v>#REF!</v>
      </c>
      <c r="AC176" t="e">
        <f>AND(Bills!G722,"AAAAAD9/8xw=")</f>
        <v>#VALUE!</v>
      </c>
      <c r="AD176" t="e">
        <f>AND(Bills!H722,"AAAAAD9/8x0=")</f>
        <v>#VALUE!</v>
      </c>
      <c r="AE176" t="e">
        <f>AND(Bills!I722,"AAAAAD9/8x4=")</f>
        <v>#VALUE!</v>
      </c>
      <c r="AF176" t="e">
        <f>AND(Bills!J722,"AAAAAD9/8x8=")</f>
        <v>#VALUE!</v>
      </c>
      <c r="AG176" t="e">
        <f>AND(Bills!K722,"AAAAAD9/8yA=")</f>
        <v>#VALUE!</v>
      </c>
      <c r="AH176" t="e">
        <f>AND(Bills!L722,"AAAAAD9/8yE=")</f>
        <v>#VALUE!</v>
      </c>
      <c r="AI176" t="e">
        <f>AND(Bills!#REF!,"AAAAAD9/8yI=")</f>
        <v>#REF!</v>
      </c>
      <c r="AJ176" t="e">
        <f>AND(Bills!M722,"AAAAAD9/8yM=")</f>
        <v>#VALUE!</v>
      </c>
      <c r="AK176" t="e">
        <f>AND(Bills!N722,"AAAAAD9/8yQ=")</f>
        <v>#VALUE!</v>
      </c>
      <c r="AL176" t="e">
        <f>AND(Bills!O722,"AAAAAD9/8yU=")</f>
        <v>#VALUE!</v>
      </c>
      <c r="AM176" t="e">
        <f>AND(Bills!P722,"AAAAAD9/8yY=")</f>
        <v>#VALUE!</v>
      </c>
      <c r="AN176" t="e">
        <f>AND(Bills!Q722,"AAAAAD9/8yc=")</f>
        <v>#VALUE!</v>
      </c>
      <c r="AO176" t="e">
        <f>AND(Bills!R722,"AAAAAD9/8yg=")</f>
        <v>#VALUE!</v>
      </c>
      <c r="AP176" t="e">
        <f>AND(Bills!S722,"AAAAAD9/8yk=")</f>
        <v>#VALUE!</v>
      </c>
      <c r="AQ176" t="e">
        <f>AND(Bills!T722,"AAAAAD9/8yo=")</f>
        <v>#VALUE!</v>
      </c>
      <c r="AR176" t="e">
        <f>AND(Bills!#REF!,"AAAAAD9/8ys=")</f>
        <v>#REF!</v>
      </c>
      <c r="AS176" t="e">
        <f>AND(Bills!U722,"AAAAAD9/8yw=")</f>
        <v>#VALUE!</v>
      </c>
      <c r="AT176" t="e">
        <f>AND(Bills!V722,"AAAAAD9/8y0=")</f>
        <v>#VALUE!</v>
      </c>
      <c r="AU176" t="e">
        <f>AND(Bills!W722,"AAAAAD9/8y4=")</f>
        <v>#VALUE!</v>
      </c>
      <c r="AV176" t="e">
        <f>AND(Bills!#REF!,"AAAAAD9/8y8=")</f>
        <v>#REF!</v>
      </c>
      <c r="AW176" t="e">
        <f>AND(Bills!#REF!,"AAAAAD9/8zA=")</f>
        <v>#REF!</v>
      </c>
      <c r="AX176" t="e">
        <f>AND(Bills!Y722,"AAAAAD9/8zE=")</f>
        <v>#VALUE!</v>
      </c>
      <c r="AY176" t="e">
        <f>AND(Bills!Z722,"AAAAAD9/8zI=")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AND(Bills!AA722,"AAAAAD9/8zw=")</f>
        <v>#VALUE!</v>
      </c>
      <c r="BJ176" t="e">
        <f>AND(Bills!AB722,"AAAAAD9/8z0=")</f>
        <v>#VALUE!</v>
      </c>
      <c r="BK176" t="e">
        <f>AND(Bills!#REF!,"AAAAAD9/8z4=")</f>
        <v>#REF!</v>
      </c>
      <c r="BL176" t="e">
        <f>AND(Bills!#REF!,"AAAAAD9/8z8=")</f>
        <v>#REF!</v>
      </c>
      <c r="BM176" t="e">
        <f>AND(Bills!#REF!,"AAAAAD9/80A=")</f>
        <v>#REF!</v>
      </c>
      <c r="BN176" t="e">
        <f>AND(Bills!AC722,"AAAAAD9/80E=")</f>
        <v>#VALUE!</v>
      </c>
      <c r="BO176" t="e">
        <f>AND(Bills!AD722,"AAAAAD9/80I=")</f>
        <v>#VALUE!</v>
      </c>
      <c r="BP176" t="e">
        <f>AND(Bills!#REF!,"AAAAAD9/80M=")</f>
        <v>#REF!</v>
      </c>
      <c r="BQ176">
        <f>IF(Bills!723:723,"AAAAAD9/80Q=",0)</f>
        <v>0</v>
      </c>
      <c r="BR176" t="e">
        <f>AND(Bills!B723,"AAAAAD9/80U=")</f>
        <v>#VALUE!</v>
      </c>
      <c r="BS176" t="e">
        <f>AND(Bills!#REF!,"AAAAAD9/80Y=")</f>
        <v>#REF!</v>
      </c>
      <c r="BT176" t="e">
        <f>AND(Bills!C723,"AAAAAD9/80c=")</f>
        <v>#VALUE!</v>
      </c>
      <c r="BU176" t="e">
        <f>AND(Bills!D723,"AAAAAD9/80g=")</f>
        <v>#VALUE!</v>
      </c>
      <c r="BV176" t="e">
        <f>AND(Bills!E723,"AAAAAD9/80k=")</f>
        <v>#VALUE!</v>
      </c>
      <c r="BW176" t="e">
        <f>AND(Bills!#REF!,"AAAAAD9/80o=")</f>
        <v>#REF!</v>
      </c>
      <c r="BX176" t="e">
        <f>AND(Bills!#REF!,"AAAAAD9/80s=")</f>
        <v>#REF!</v>
      </c>
      <c r="BY176" t="e">
        <f>AND(Bills!#REF!,"AAAAAD9/80w=")</f>
        <v>#REF!</v>
      </c>
      <c r="BZ176" t="e">
        <f>AND(Bills!F723,"AAAAAD9/800=")</f>
        <v>#VALUE!</v>
      </c>
      <c r="CA176" t="e">
        <f>AND(Bills!#REF!,"AAAAAD9/804=")</f>
        <v>#REF!</v>
      </c>
      <c r="CB176" t="e">
        <f>AND(Bills!G723,"AAAAAD9/808=")</f>
        <v>#VALUE!</v>
      </c>
      <c r="CC176" t="e">
        <f>AND(Bills!H723,"AAAAAD9/81A=")</f>
        <v>#VALUE!</v>
      </c>
      <c r="CD176" t="e">
        <f>AND(Bills!I723,"AAAAAD9/81E=")</f>
        <v>#VALUE!</v>
      </c>
      <c r="CE176" t="e">
        <f>AND(Bills!J723,"AAAAAD9/81I=")</f>
        <v>#VALUE!</v>
      </c>
      <c r="CF176" t="e">
        <f>AND(Bills!K723,"AAAAAD9/81M=")</f>
        <v>#VALUE!</v>
      </c>
      <c r="CG176" t="e">
        <f>AND(Bills!L723,"AAAAAD9/81Q=")</f>
        <v>#VALUE!</v>
      </c>
      <c r="CH176" t="e">
        <f>AND(Bills!#REF!,"AAAAAD9/81U=")</f>
        <v>#REF!</v>
      </c>
      <c r="CI176" t="e">
        <f>AND(Bills!M723,"AAAAAD9/81Y=")</f>
        <v>#VALUE!</v>
      </c>
      <c r="CJ176" t="e">
        <f>AND(Bills!N723,"AAAAAD9/81c=")</f>
        <v>#VALUE!</v>
      </c>
      <c r="CK176" t="e">
        <f>AND(Bills!O723,"AAAAAD9/81g=")</f>
        <v>#VALUE!</v>
      </c>
      <c r="CL176" t="e">
        <f>AND(Bills!P723,"AAAAAD9/81k=")</f>
        <v>#VALUE!</v>
      </c>
      <c r="CM176" t="e">
        <f>AND(Bills!Q723,"AAAAAD9/81o=")</f>
        <v>#VALUE!</v>
      </c>
      <c r="CN176" t="e">
        <f>AND(Bills!R723,"AAAAAD9/81s=")</f>
        <v>#VALUE!</v>
      </c>
      <c r="CO176" t="e">
        <f>AND(Bills!S723,"AAAAAD9/81w=")</f>
        <v>#VALUE!</v>
      </c>
      <c r="CP176" t="e">
        <f>AND(Bills!T723,"AAAAAD9/810=")</f>
        <v>#VALUE!</v>
      </c>
      <c r="CQ176" t="e">
        <f>AND(Bills!#REF!,"AAAAAD9/814=")</f>
        <v>#REF!</v>
      </c>
      <c r="CR176" t="e">
        <f>AND(Bills!U723,"AAAAAD9/818=")</f>
        <v>#VALUE!</v>
      </c>
      <c r="CS176" t="e">
        <f>AND(Bills!V723,"AAAAAD9/82A=")</f>
        <v>#VALUE!</v>
      </c>
      <c r="CT176" t="e">
        <f>AND(Bills!W723,"AAAAAD9/82E=")</f>
        <v>#VALUE!</v>
      </c>
      <c r="CU176" t="e">
        <f>AND(Bills!#REF!,"AAAAAD9/82I=")</f>
        <v>#REF!</v>
      </c>
      <c r="CV176" t="e">
        <f>AND(Bills!#REF!,"AAAAAD9/82M=")</f>
        <v>#REF!</v>
      </c>
      <c r="CW176" t="e">
        <f>AND(Bills!Y723,"AAAAAD9/82Q=")</f>
        <v>#VALUE!</v>
      </c>
      <c r="CX176" t="e">
        <f>AND(Bills!Z723,"AAAAAD9/82U=")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AND(Bills!AA723,"AAAAAD9/828=")</f>
        <v>#VALUE!</v>
      </c>
      <c r="DI176" t="e">
        <f>AND(Bills!AB723,"AAAAAD9/83A=")</f>
        <v>#VALUE!</v>
      </c>
      <c r="DJ176" t="e">
        <f>AND(Bills!#REF!,"AAAAAD9/83E=")</f>
        <v>#REF!</v>
      </c>
      <c r="DK176" t="e">
        <f>AND(Bills!#REF!,"AAAAAD9/83I=")</f>
        <v>#REF!</v>
      </c>
      <c r="DL176" t="e">
        <f>AND(Bills!#REF!,"AAAAAD9/83M=")</f>
        <v>#REF!</v>
      </c>
      <c r="DM176" t="e">
        <f>AND(Bills!AC723,"AAAAAD9/83Q=")</f>
        <v>#VALUE!</v>
      </c>
      <c r="DN176" t="e">
        <f>AND(Bills!AD723,"AAAAAD9/83U=")</f>
        <v>#VALUE!</v>
      </c>
      <c r="DO176" t="e">
        <f>AND(Bills!#REF!,"AAAAAD9/83Y=")</f>
        <v>#REF!</v>
      </c>
      <c r="DP176">
        <f>IF(Bills!724:724,"AAAAAD9/83c=",0)</f>
        <v>0</v>
      </c>
      <c r="DQ176" t="e">
        <f>AND(Bills!B724,"AAAAAD9/83g=")</f>
        <v>#VALUE!</v>
      </c>
      <c r="DR176" t="e">
        <f>AND(Bills!#REF!,"AAAAAD9/83k=")</f>
        <v>#REF!</v>
      </c>
      <c r="DS176" t="e">
        <f>AND(Bills!C724,"AAAAAD9/83o=")</f>
        <v>#VALUE!</v>
      </c>
      <c r="DT176" t="e">
        <f>AND(Bills!D724,"AAAAAD9/83s=")</f>
        <v>#VALUE!</v>
      </c>
      <c r="DU176" t="e">
        <f>AND(Bills!E724,"AAAAAD9/83w=")</f>
        <v>#VALUE!</v>
      </c>
      <c r="DV176" t="e">
        <f>AND(Bills!#REF!,"AAAAAD9/830=")</f>
        <v>#REF!</v>
      </c>
      <c r="DW176" t="e">
        <f>AND(Bills!#REF!,"AAAAAD9/834=")</f>
        <v>#REF!</v>
      </c>
      <c r="DX176" t="e">
        <f>AND(Bills!#REF!,"AAAAAD9/838=")</f>
        <v>#REF!</v>
      </c>
      <c r="DY176" t="e">
        <f>AND(Bills!F724,"AAAAAD9/84A=")</f>
        <v>#VALUE!</v>
      </c>
      <c r="DZ176" t="e">
        <f>AND(Bills!#REF!,"AAAAAD9/84E=")</f>
        <v>#REF!</v>
      </c>
      <c r="EA176" t="e">
        <f>AND(Bills!G724,"AAAAAD9/84I=")</f>
        <v>#VALUE!</v>
      </c>
      <c r="EB176" t="e">
        <f>AND(Bills!H724,"AAAAAD9/84M=")</f>
        <v>#VALUE!</v>
      </c>
      <c r="EC176" t="e">
        <f>AND(Bills!I724,"AAAAAD9/84Q=")</f>
        <v>#VALUE!</v>
      </c>
      <c r="ED176" t="e">
        <f>AND(Bills!J724,"AAAAAD9/84U=")</f>
        <v>#VALUE!</v>
      </c>
      <c r="EE176" t="e">
        <f>AND(Bills!K724,"AAAAAD9/84Y=")</f>
        <v>#VALUE!</v>
      </c>
      <c r="EF176" t="e">
        <f>AND(Bills!L724,"AAAAAD9/84c=")</f>
        <v>#VALUE!</v>
      </c>
      <c r="EG176" t="e">
        <f>AND(Bills!#REF!,"AAAAAD9/84g=")</f>
        <v>#REF!</v>
      </c>
      <c r="EH176" t="e">
        <f>AND(Bills!M724,"AAAAAD9/84k=")</f>
        <v>#VALUE!</v>
      </c>
      <c r="EI176" t="e">
        <f>AND(Bills!N724,"AAAAAD9/84o=")</f>
        <v>#VALUE!</v>
      </c>
      <c r="EJ176" t="e">
        <f>AND(Bills!O724,"AAAAAD9/84s=")</f>
        <v>#VALUE!</v>
      </c>
      <c r="EK176" t="e">
        <f>AND(Bills!P724,"AAAAAD9/84w=")</f>
        <v>#VALUE!</v>
      </c>
      <c r="EL176" t="e">
        <f>AND(Bills!Q724,"AAAAAD9/840=")</f>
        <v>#VALUE!</v>
      </c>
      <c r="EM176" t="e">
        <f>AND(Bills!R724,"AAAAAD9/844=")</f>
        <v>#VALUE!</v>
      </c>
      <c r="EN176" t="e">
        <f>AND(Bills!S724,"AAAAAD9/848=")</f>
        <v>#VALUE!</v>
      </c>
      <c r="EO176" t="e">
        <f>AND(Bills!T724,"AAAAAD9/85A=")</f>
        <v>#VALUE!</v>
      </c>
      <c r="EP176" t="e">
        <f>AND(Bills!#REF!,"AAAAAD9/85E=")</f>
        <v>#REF!</v>
      </c>
      <c r="EQ176" t="e">
        <f>AND(Bills!U724,"AAAAAD9/85I=")</f>
        <v>#VALUE!</v>
      </c>
      <c r="ER176" t="e">
        <f>AND(Bills!V724,"AAAAAD9/85M=")</f>
        <v>#VALUE!</v>
      </c>
      <c r="ES176" t="e">
        <f>AND(Bills!W724,"AAAAAD9/85Q=")</f>
        <v>#VALUE!</v>
      </c>
      <c r="ET176" t="e">
        <f>AND(Bills!#REF!,"AAAAAD9/85U=")</f>
        <v>#REF!</v>
      </c>
      <c r="EU176" t="e">
        <f>AND(Bills!#REF!,"AAAAAD9/85Y=")</f>
        <v>#REF!</v>
      </c>
      <c r="EV176" t="e">
        <f>AND(Bills!Y724,"AAAAAD9/85c=")</f>
        <v>#VALUE!</v>
      </c>
      <c r="EW176" t="e">
        <f>AND(Bills!Z724,"AAAAAD9/85g=")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AND(Bills!AA724,"AAAAAD9/86I=")</f>
        <v>#VALUE!</v>
      </c>
      <c r="FH176" t="e">
        <f>AND(Bills!AB724,"AAAAAD9/86M=")</f>
        <v>#VALUE!</v>
      </c>
      <c r="FI176" t="e">
        <f>AND(Bills!#REF!,"AAAAAD9/86Q=")</f>
        <v>#REF!</v>
      </c>
      <c r="FJ176" t="e">
        <f>AND(Bills!#REF!,"AAAAAD9/86U=")</f>
        <v>#REF!</v>
      </c>
      <c r="FK176" t="e">
        <f>AND(Bills!#REF!,"AAAAAD9/86Y=")</f>
        <v>#REF!</v>
      </c>
      <c r="FL176" t="e">
        <f>AND(Bills!AC724,"AAAAAD9/86c=")</f>
        <v>#VALUE!</v>
      </c>
      <c r="FM176" t="e">
        <f>AND(Bills!AD724,"AAAAAD9/86g=")</f>
        <v>#VALUE!</v>
      </c>
      <c r="FN176" t="e">
        <f>AND(Bills!#REF!,"AAAAAD9/86k=")</f>
        <v>#REF!</v>
      </c>
      <c r="FO176">
        <f>IF(Bills!725:725,"AAAAAD9/86o=",0)</f>
        <v>0</v>
      </c>
      <c r="FP176" t="e">
        <f>AND(Bills!B725,"AAAAAD9/86s=")</f>
        <v>#VALUE!</v>
      </c>
      <c r="FQ176" t="e">
        <f>AND(Bills!#REF!,"AAAAAD9/86w=")</f>
        <v>#REF!</v>
      </c>
      <c r="FR176" t="e">
        <f>AND(Bills!C725,"AAAAAD9/860=")</f>
        <v>#VALUE!</v>
      </c>
      <c r="FS176" t="e">
        <f>AND(Bills!D725,"AAAAAD9/864=")</f>
        <v>#VALUE!</v>
      </c>
      <c r="FT176" t="e">
        <f>AND(Bills!E725,"AAAAAD9/868=")</f>
        <v>#VALUE!</v>
      </c>
      <c r="FU176" t="e">
        <f>AND(Bills!#REF!,"AAAAAD9/87A=")</f>
        <v>#REF!</v>
      </c>
      <c r="FV176" t="e">
        <f>AND(Bills!#REF!,"AAAAAD9/87E=")</f>
        <v>#REF!</v>
      </c>
      <c r="FW176" t="e">
        <f>AND(Bills!#REF!,"AAAAAD9/87I=")</f>
        <v>#REF!</v>
      </c>
      <c r="FX176" t="e">
        <f>AND(Bills!F725,"AAAAAD9/87M=")</f>
        <v>#VALUE!</v>
      </c>
      <c r="FY176" t="e">
        <f>AND(Bills!#REF!,"AAAAAD9/87Q=")</f>
        <v>#REF!</v>
      </c>
      <c r="FZ176" t="e">
        <f>AND(Bills!G725,"AAAAAD9/87U=")</f>
        <v>#VALUE!</v>
      </c>
      <c r="GA176" t="e">
        <f>AND(Bills!H725,"AAAAAD9/87Y=")</f>
        <v>#VALUE!</v>
      </c>
      <c r="GB176" t="e">
        <f>AND(Bills!I725,"AAAAAD9/87c=")</f>
        <v>#VALUE!</v>
      </c>
      <c r="GC176" t="e">
        <f>AND(Bills!J725,"AAAAAD9/87g=")</f>
        <v>#VALUE!</v>
      </c>
      <c r="GD176" t="e">
        <f>AND(Bills!K725,"AAAAAD9/87k=")</f>
        <v>#VALUE!</v>
      </c>
      <c r="GE176" t="e">
        <f>AND(Bills!L725,"AAAAAD9/87o=")</f>
        <v>#VALUE!</v>
      </c>
      <c r="GF176" t="e">
        <f>AND(Bills!#REF!,"AAAAAD9/87s=")</f>
        <v>#REF!</v>
      </c>
      <c r="GG176" t="e">
        <f>AND(Bills!M725,"AAAAAD9/87w=")</f>
        <v>#VALUE!</v>
      </c>
      <c r="GH176" t="e">
        <f>AND(Bills!N725,"AAAAAD9/870=")</f>
        <v>#VALUE!</v>
      </c>
      <c r="GI176" t="e">
        <f>AND(Bills!O725,"AAAAAD9/874=")</f>
        <v>#VALUE!</v>
      </c>
      <c r="GJ176" t="e">
        <f>AND(Bills!P725,"AAAAAD9/878=")</f>
        <v>#VALUE!</v>
      </c>
      <c r="GK176" t="e">
        <f>AND(Bills!Q725,"AAAAAD9/88A=")</f>
        <v>#VALUE!</v>
      </c>
      <c r="GL176" t="e">
        <f>AND(Bills!R725,"AAAAAD9/88E=")</f>
        <v>#VALUE!</v>
      </c>
      <c r="GM176" t="e">
        <f>AND(Bills!S725,"AAAAAD9/88I=")</f>
        <v>#VALUE!</v>
      </c>
      <c r="GN176" t="e">
        <f>AND(Bills!T725,"AAAAAD9/88M=")</f>
        <v>#VALUE!</v>
      </c>
      <c r="GO176" t="e">
        <f>AND(Bills!#REF!,"AAAAAD9/88Q=")</f>
        <v>#REF!</v>
      </c>
      <c r="GP176" t="e">
        <f>AND(Bills!U725,"AAAAAD9/88U=")</f>
        <v>#VALUE!</v>
      </c>
      <c r="GQ176" t="e">
        <f>AND(Bills!V725,"AAAAAD9/88Y=")</f>
        <v>#VALUE!</v>
      </c>
      <c r="GR176" t="e">
        <f>AND(Bills!W725,"AAAAAD9/88c=")</f>
        <v>#VALUE!</v>
      </c>
      <c r="GS176" t="e">
        <f>AND(Bills!#REF!,"AAAAAD9/88g=")</f>
        <v>#REF!</v>
      </c>
      <c r="GT176" t="e">
        <f>AND(Bills!#REF!,"AAAAAD9/88k=")</f>
        <v>#REF!</v>
      </c>
      <c r="GU176" t="e">
        <f>AND(Bills!Y725,"AAAAAD9/88o=")</f>
        <v>#VALUE!</v>
      </c>
      <c r="GV176" t="e">
        <f>AND(Bills!Z725,"AAAAAD9/88s=")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AND(Bills!AA725,"AAAAAD9/89U=")</f>
        <v>#VALUE!</v>
      </c>
      <c r="HG176" t="e">
        <f>AND(Bills!AB725,"AAAAAD9/89Y=")</f>
        <v>#VALUE!</v>
      </c>
      <c r="HH176" t="e">
        <f>AND(Bills!#REF!,"AAAAAD9/89c=")</f>
        <v>#REF!</v>
      </c>
      <c r="HI176" t="e">
        <f>AND(Bills!#REF!,"AAAAAD9/89g=")</f>
        <v>#REF!</v>
      </c>
      <c r="HJ176" t="e">
        <f>AND(Bills!#REF!,"AAAAAD9/89k=")</f>
        <v>#REF!</v>
      </c>
      <c r="HK176" t="e">
        <f>AND(Bills!AC725,"AAAAAD9/89o=")</f>
        <v>#VALUE!</v>
      </c>
      <c r="HL176" t="e">
        <f>AND(Bills!AD725,"AAAAAD9/89s=")</f>
        <v>#VALUE!</v>
      </c>
      <c r="HM176" t="e">
        <f>AND(Bills!#REF!,"AAAAAD9/89w=")</f>
        <v>#REF!</v>
      </c>
      <c r="HN176">
        <f>IF(Bills!726:726,"AAAAAD9/890=",0)</f>
        <v>0</v>
      </c>
      <c r="HO176" t="e">
        <f>AND(Bills!B726,"AAAAAD9/894=")</f>
        <v>#VALUE!</v>
      </c>
      <c r="HP176" t="e">
        <f>AND(Bills!#REF!,"AAAAAD9/898=")</f>
        <v>#REF!</v>
      </c>
      <c r="HQ176" t="e">
        <f>AND(Bills!C726,"AAAAAD9/8+A=")</f>
        <v>#VALUE!</v>
      </c>
      <c r="HR176" t="e">
        <f>AND(Bills!D726,"AAAAAD9/8+E=")</f>
        <v>#VALUE!</v>
      </c>
      <c r="HS176" t="e">
        <f>AND(Bills!E726,"AAAAAD9/8+I=")</f>
        <v>#VALUE!</v>
      </c>
      <c r="HT176" t="e">
        <f>AND(Bills!#REF!,"AAAAAD9/8+M=")</f>
        <v>#REF!</v>
      </c>
      <c r="HU176" t="e">
        <f>AND(Bills!#REF!,"AAAAAD9/8+Q=")</f>
        <v>#REF!</v>
      </c>
      <c r="HV176" t="e">
        <f>AND(Bills!#REF!,"AAAAAD9/8+U=")</f>
        <v>#REF!</v>
      </c>
      <c r="HW176" t="e">
        <f>AND(Bills!F726,"AAAAAD9/8+Y=")</f>
        <v>#VALUE!</v>
      </c>
      <c r="HX176" t="e">
        <f>AND(Bills!#REF!,"AAAAAD9/8+c=")</f>
        <v>#REF!</v>
      </c>
      <c r="HY176" t="e">
        <f>AND(Bills!G726,"AAAAAD9/8+g=")</f>
        <v>#VALUE!</v>
      </c>
      <c r="HZ176" t="e">
        <f>AND(Bills!H726,"AAAAAD9/8+k=")</f>
        <v>#VALUE!</v>
      </c>
      <c r="IA176" t="e">
        <f>AND(Bills!I726,"AAAAAD9/8+o=")</f>
        <v>#VALUE!</v>
      </c>
      <c r="IB176" t="e">
        <f>AND(Bills!J726,"AAAAAD9/8+s=")</f>
        <v>#VALUE!</v>
      </c>
      <c r="IC176" t="e">
        <f>AND(Bills!K726,"AAAAAD9/8+w=")</f>
        <v>#VALUE!</v>
      </c>
      <c r="ID176" t="e">
        <f>AND(Bills!L726,"AAAAAD9/8+0=")</f>
        <v>#VALUE!</v>
      </c>
      <c r="IE176" t="e">
        <f>AND(Bills!#REF!,"AAAAAD9/8+4=")</f>
        <v>#REF!</v>
      </c>
      <c r="IF176" t="e">
        <f>AND(Bills!M726,"AAAAAD9/8+8=")</f>
        <v>#VALUE!</v>
      </c>
      <c r="IG176" t="e">
        <f>AND(Bills!N726,"AAAAAD9/8/A=")</f>
        <v>#VALUE!</v>
      </c>
      <c r="IH176" t="e">
        <f>AND(Bills!O726,"AAAAAD9/8/E=")</f>
        <v>#VALUE!</v>
      </c>
      <c r="II176" t="e">
        <f>AND(Bills!P726,"AAAAAD9/8/I=")</f>
        <v>#VALUE!</v>
      </c>
      <c r="IJ176" t="e">
        <f>AND(Bills!Q726,"AAAAAD9/8/M=")</f>
        <v>#VALUE!</v>
      </c>
      <c r="IK176" t="e">
        <f>AND(Bills!R726,"AAAAAD9/8/Q=")</f>
        <v>#VALUE!</v>
      </c>
      <c r="IL176" t="e">
        <f>AND(Bills!S726,"AAAAAD9/8/U=")</f>
        <v>#VALUE!</v>
      </c>
      <c r="IM176" t="e">
        <f>AND(Bills!T726,"AAAAAD9/8/Y=")</f>
        <v>#VALUE!</v>
      </c>
      <c r="IN176" t="e">
        <f>AND(Bills!#REF!,"AAAAAD9/8/c=")</f>
        <v>#REF!</v>
      </c>
      <c r="IO176" t="e">
        <f>AND(Bills!U726,"AAAAAD9/8/g=")</f>
        <v>#VALUE!</v>
      </c>
      <c r="IP176" t="e">
        <f>AND(Bills!V726,"AAAAAD9/8/k=")</f>
        <v>#VALUE!</v>
      </c>
      <c r="IQ176" t="e">
        <f>AND(Bills!W726,"AAAAAD9/8/o=")</f>
        <v>#VALUE!</v>
      </c>
      <c r="IR176" t="e">
        <f>AND(Bills!#REF!,"AAAAAD9/8/s=")</f>
        <v>#REF!</v>
      </c>
      <c r="IS176" t="e">
        <f>AND(Bills!#REF!,"AAAAAD9/8/w=")</f>
        <v>#REF!</v>
      </c>
      <c r="IT176" t="e">
        <f>AND(Bills!Y726,"AAAAAD9/8/0=")</f>
        <v>#VALUE!</v>
      </c>
      <c r="IU176" t="e">
        <f>AND(Bills!Z726,"AAAAAD9/8/4=")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AND(Bills!AA726,"AAAAAH7/uQg=")</f>
        <v>#VALUE!</v>
      </c>
      <c r="J177" t="e">
        <f>AND(Bills!AB726,"AAAAAH7/uQk=")</f>
        <v>#VALUE!</v>
      </c>
      <c r="K177" t="e">
        <f>AND(Bills!#REF!,"AAAAAH7/uQo=")</f>
        <v>#REF!</v>
      </c>
      <c r="L177" t="e">
        <f>AND(Bills!#REF!,"AAAAAH7/uQs=")</f>
        <v>#REF!</v>
      </c>
      <c r="M177" t="e">
        <f>AND(Bills!#REF!,"AAAAAH7/uQw=")</f>
        <v>#REF!</v>
      </c>
      <c r="N177" t="e">
        <f>AND(Bills!AC726,"AAAAAH7/uQ0=")</f>
        <v>#VALUE!</v>
      </c>
      <c r="O177" t="e">
        <f>AND(Bills!AD726,"AAAAAH7/uQ4=")</f>
        <v>#VALUE!</v>
      </c>
      <c r="P177" t="e">
        <f>AND(Bills!#REF!,"AAAAAH7/uQ8=")</f>
        <v>#REF!</v>
      </c>
      <c r="Q177">
        <f>IF(Bills!727:727,"AAAAAH7/uRA=",0)</f>
        <v>0</v>
      </c>
      <c r="R177" t="e">
        <f>AND(Bills!B727,"AAAAAH7/uRE=")</f>
        <v>#VALUE!</v>
      </c>
      <c r="S177" t="e">
        <f>AND(Bills!#REF!,"AAAAAH7/uRI=")</f>
        <v>#REF!</v>
      </c>
      <c r="T177" t="e">
        <f>AND(Bills!C727,"AAAAAH7/uRM=")</f>
        <v>#VALUE!</v>
      </c>
      <c r="U177" t="e">
        <f>AND(Bills!D727,"AAAAAH7/uRQ=")</f>
        <v>#VALUE!</v>
      </c>
      <c r="V177" t="e">
        <f>AND(Bills!E727,"AAAAAH7/uRU=")</f>
        <v>#VALUE!</v>
      </c>
      <c r="W177" t="e">
        <f>AND(Bills!#REF!,"AAAAAH7/uRY=")</f>
        <v>#REF!</v>
      </c>
      <c r="X177" t="e">
        <f>AND(Bills!#REF!,"AAAAAH7/uRc=")</f>
        <v>#REF!</v>
      </c>
      <c r="Y177" t="e">
        <f>AND(Bills!#REF!,"AAAAAH7/uRg=")</f>
        <v>#REF!</v>
      </c>
      <c r="Z177" t="e">
        <f>AND(Bills!F727,"AAAAAH7/uRk=")</f>
        <v>#VALUE!</v>
      </c>
      <c r="AA177" t="e">
        <f>AND(Bills!#REF!,"AAAAAH7/uRo=")</f>
        <v>#REF!</v>
      </c>
      <c r="AB177" t="e">
        <f>AND(Bills!G727,"AAAAAH7/uRs=")</f>
        <v>#VALUE!</v>
      </c>
      <c r="AC177" t="e">
        <f>AND(Bills!H727,"AAAAAH7/uRw=")</f>
        <v>#VALUE!</v>
      </c>
      <c r="AD177" t="e">
        <f>AND(Bills!I727,"AAAAAH7/uR0=")</f>
        <v>#VALUE!</v>
      </c>
      <c r="AE177" t="e">
        <f>AND(Bills!J727,"AAAAAH7/uR4=")</f>
        <v>#VALUE!</v>
      </c>
      <c r="AF177" t="e">
        <f>AND(Bills!K727,"AAAAAH7/uR8=")</f>
        <v>#VALUE!</v>
      </c>
      <c r="AG177" t="e">
        <f>AND(Bills!L727,"AAAAAH7/uSA=")</f>
        <v>#VALUE!</v>
      </c>
      <c r="AH177" t="e">
        <f>AND(Bills!#REF!,"AAAAAH7/uSE=")</f>
        <v>#REF!</v>
      </c>
      <c r="AI177" t="e">
        <f>AND(Bills!M727,"AAAAAH7/uSI=")</f>
        <v>#VALUE!</v>
      </c>
      <c r="AJ177" t="e">
        <f>AND(Bills!N727,"AAAAAH7/uSM=")</f>
        <v>#VALUE!</v>
      </c>
      <c r="AK177" t="e">
        <f>AND(Bills!O727,"AAAAAH7/uSQ=")</f>
        <v>#VALUE!</v>
      </c>
      <c r="AL177" t="e">
        <f>AND(Bills!P727,"AAAAAH7/uSU=")</f>
        <v>#VALUE!</v>
      </c>
      <c r="AM177" t="e">
        <f>AND(Bills!Q727,"AAAAAH7/uSY=")</f>
        <v>#VALUE!</v>
      </c>
      <c r="AN177" t="e">
        <f>AND(Bills!R727,"AAAAAH7/uSc=")</f>
        <v>#VALUE!</v>
      </c>
      <c r="AO177" t="e">
        <f>AND(Bills!S727,"AAAAAH7/uSg=")</f>
        <v>#VALUE!</v>
      </c>
      <c r="AP177" t="e">
        <f>AND(Bills!T727,"AAAAAH7/uSk=")</f>
        <v>#VALUE!</v>
      </c>
      <c r="AQ177" t="e">
        <f>AND(Bills!#REF!,"AAAAAH7/uSo=")</f>
        <v>#REF!</v>
      </c>
      <c r="AR177" t="e">
        <f>AND(Bills!U727,"AAAAAH7/uSs=")</f>
        <v>#VALUE!</v>
      </c>
      <c r="AS177" t="e">
        <f>AND(Bills!V727,"AAAAAH7/uSw=")</f>
        <v>#VALUE!</v>
      </c>
      <c r="AT177" t="e">
        <f>AND(Bills!W727,"AAAAAH7/uS0=")</f>
        <v>#VALUE!</v>
      </c>
      <c r="AU177" t="e">
        <f>AND(Bills!#REF!,"AAAAAH7/uS4=")</f>
        <v>#REF!</v>
      </c>
      <c r="AV177" t="e">
        <f>AND(Bills!#REF!,"AAAAAH7/uS8=")</f>
        <v>#REF!</v>
      </c>
      <c r="AW177" t="e">
        <f>AND(Bills!Y727,"AAAAAH7/uTA=")</f>
        <v>#VALUE!</v>
      </c>
      <c r="AX177" t="e">
        <f>AND(Bills!Z727,"AAAAAH7/uTE=")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AND(Bills!AA727,"AAAAAH7/uTs=")</f>
        <v>#VALUE!</v>
      </c>
      <c r="BI177" t="e">
        <f>AND(Bills!AB727,"AAAAAH7/uTw=")</f>
        <v>#VALUE!</v>
      </c>
      <c r="BJ177" t="e">
        <f>AND(Bills!#REF!,"AAAAAH7/uT0=")</f>
        <v>#REF!</v>
      </c>
      <c r="BK177" t="e">
        <f>AND(Bills!#REF!,"AAAAAH7/uT4=")</f>
        <v>#REF!</v>
      </c>
      <c r="BL177" t="e">
        <f>AND(Bills!#REF!,"AAAAAH7/uT8=")</f>
        <v>#REF!</v>
      </c>
      <c r="BM177" t="e">
        <f>AND(Bills!AC727,"AAAAAH7/uUA=")</f>
        <v>#VALUE!</v>
      </c>
      <c r="BN177" t="e">
        <f>AND(Bills!AD727,"AAAAAH7/uUE=")</f>
        <v>#VALUE!</v>
      </c>
      <c r="BO177" t="e">
        <f>AND(Bills!#REF!,"AAAAAH7/uUI=")</f>
        <v>#REF!</v>
      </c>
      <c r="BP177">
        <f>IF(Bills!728:728,"AAAAAH7/uUM=",0)</f>
        <v>0</v>
      </c>
      <c r="BQ177" t="e">
        <f>AND(Bills!B728,"AAAAAH7/uUQ=")</f>
        <v>#VALUE!</v>
      </c>
      <c r="BR177" t="e">
        <f>AND(Bills!#REF!,"AAAAAH7/uUU=")</f>
        <v>#REF!</v>
      </c>
      <c r="BS177" t="e">
        <f>AND(Bills!C728,"AAAAAH7/uUY=")</f>
        <v>#VALUE!</v>
      </c>
      <c r="BT177" t="e">
        <f>AND(Bills!D728,"AAAAAH7/uUc=")</f>
        <v>#VALUE!</v>
      </c>
      <c r="BU177" t="e">
        <f>AND(Bills!E728,"AAAAAH7/uUg=")</f>
        <v>#VALUE!</v>
      </c>
      <c r="BV177" t="e">
        <f>AND(Bills!#REF!,"AAAAAH7/uUk=")</f>
        <v>#REF!</v>
      </c>
      <c r="BW177" t="e">
        <f>AND(Bills!#REF!,"AAAAAH7/uUo=")</f>
        <v>#REF!</v>
      </c>
      <c r="BX177" t="e">
        <f>AND(Bills!#REF!,"AAAAAH7/uUs=")</f>
        <v>#REF!</v>
      </c>
      <c r="BY177" t="e">
        <f>AND(Bills!F728,"AAAAAH7/uUw=")</f>
        <v>#VALUE!</v>
      </c>
      <c r="BZ177" t="e">
        <f>AND(Bills!#REF!,"AAAAAH7/uU0=")</f>
        <v>#REF!</v>
      </c>
      <c r="CA177" t="e">
        <f>AND(Bills!G728,"AAAAAH7/uU4=")</f>
        <v>#VALUE!</v>
      </c>
      <c r="CB177" t="e">
        <f>AND(Bills!H728,"AAAAAH7/uU8=")</f>
        <v>#VALUE!</v>
      </c>
      <c r="CC177" t="e">
        <f>AND(Bills!I728,"AAAAAH7/uVA=")</f>
        <v>#VALUE!</v>
      </c>
      <c r="CD177" t="e">
        <f>AND(Bills!J728,"AAAAAH7/uVE=")</f>
        <v>#VALUE!</v>
      </c>
      <c r="CE177" t="e">
        <f>AND(Bills!K728,"AAAAAH7/uVI=")</f>
        <v>#VALUE!</v>
      </c>
      <c r="CF177" t="e">
        <f>AND(Bills!L728,"AAAAAH7/uVM=")</f>
        <v>#VALUE!</v>
      </c>
      <c r="CG177" t="e">
        <f>AND(Bills!#REF!,"AAAAAH7/uVQ=")</f>
        <v>#REF!</v>
      </c>
      <c r="CH177" t="e">
        <f>AND(Bills!M728,"AAAAAH7/uVU=")</f>
        <v>#VALUE!</v>
      </c>
      <c r="CI177" t="e">
        <f>AND(Bills!N728,"AAAAAH7/uVY=")</f>
        <v>#VALUE!</v>
      </c>
      <c r="CJ177" t="e">
        <f>AND(Bills!O728,"AAAAAH7/uVc=")</f>
        <v>#VALUE!</v>
      </c>
      <c r="CK177" t="e">
        <f>AND(Bills!P728,"AAAAAH7/uVg=")</f>
        <v>#VALUE!</v>
      </c>
      <c r="CL177" t="e">
        <f>AND(Bills!Q728,"AAAAAH7/uVk=")</f>
        <v>#VALUE!</v>
      </c>
      <c r="CM177" t="e">
        <f>AND(Bills!R728,"AAAAAH7/uVo=")</f>
        <v>#VALUE!</v>
      </c>
      <c r="CN177" t="e">
        <f>AND(Bills!S728,"AAAAAH7/uVs=")</f>
        <v>#VALUE!</v>
      </c>
      <c r="CO177" t="e">
        <f>AND(Bills!T728,"AAAAAH7/uVw=")</f>
        <v>#VALUE!</v>
      </c>
      <c r="CP177" t="e">
        <f>AND(Bills!#REF!,"AAAAAH7/uV0=")</f>
        <v>#REF!</v>
      </c>
      <c r="CQ177" t="e">
        <f>AND(Bills!U728,"AAAAAH7/uV4=")</f>
        <v>#VALUE!</v>
      </c>
      <c r="CR177" t="e">
        <f>AND(Bills!V728,"AAAAAH7/uV8=")</f>
        <v>#VALUE!</v>
      </c>
      <c r="CS177" t="e">
        <f>AND(Bills!W728,"AAAAAH7/uWA=")</f>
        <v>#VALUE!</v>
      </c>
      <c r="CT177" t="e">
        <f>AND(Bills!#REF!,"AAAAAH7/uWE=")</f>
        <v>#REF!</v>
      </c>
      <c r="CU177" t="e">
        <f>AND(Bills!#REF!,"AAAAAH7/uWI=")</f>
        <v>#REF!</v>
      </c>
      <c r="CV177" t="e">
        <f>AND(Bills!Y728,"AAAAAH7/uWM=")</f>
        <v>#VALUE!</v>
      </c>
      <c r="CW177" t="e">
        <f>AND(Bills!Z728,"AAAAAH7/uWQ=")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AND(Bills!AA728,"AAAAAH7/uW4=")</f>
        <v>#VALUE!</v>
      </c>
      <c r="DH177" t="e">
        <f>AND(Bills!AB728,"AAAAAH7/uW8=")</f>
        <v>#VALUE!</v>
      </c>
      <c r="DI177" t="e">
        <f>AND(Bills!#REF!,"AAAAAH7/uXA=")</f>
        <v>#REF!</v>
      </c>
      <c r="DJ177" t="e">
        <f>AND(Bills!#REF!,"AAAAAH7/uXE=")</f>
        <v>#REF!</v>
      </c>
      <c r="DK177" t="e">
        <f>AND(Bills!#REF!,"AAAAAH7/uXI=")</f>
        <v>#REF!</v>
      </c>
      <c r="DL177" t="e">
        <f>AND(Bills!AC728,"AAAAAH7/uXM=")</f>
        <v>#VALUE!</v>
      </c>
      <c r="DM177" t="e">
        <f>AND(Bills!AD728,"AAAAAH7/uXQ=")</f>
        <v>#VALUE!</v>
      </c>
      <c r="DN177" t="e">
        <f>AND(Bills!#REF!,"AAAAAH7/uXU=")</f>
        <v>#REF!</v>
      </c>
      <c r="DO177">
        <f>IF(Bills!729:729,"AAAAAH7/uXY=",0)</f>
        <v>0</v>
      </c>
      <c r="DP177" t="e">
        <f>AND(Bills!B729,"AAAAAH7/uXc=")</f>
        <v>#VALUE!</v>
      </c>
      <c r="DQ177" t="e">
        <f>AND(Bills!#REF!,"AAAAAH7/uXg=")</f>
        <v>#REF!</v>
      </c>
      <c r="DR177" t="e">
        <f>AND(Bills!C729,"AAAAAH7/uXk=")</f>
        <v>#VALUE!</v>
      </c>
      <c r="DS177" t="e">
        <f>AND(Bills!D729,"AAAAAH7/uXo=")</f>
        <v>#VALUE!</v>
      </c>
      <c r="DT177" t="e">
        <f>AND(Bills!E729,"AAAAAH7/uXs=")</f>
        <v>#VALUE!</v>
      </c>
      <c r="DU177" t="e">
        <f>AND(Bills!#REF!,"AAAAAH7/uXw=")</f>
        <v>#REF!</v>
      </c>
      <c r="DV177" t="e">
        <f>AND(Bills!#REF!,"AAAAAH7/uX0=")</f>
        <v>#REF!</v>
      </c>
      <c r="DW177" t="e">
        <f>AND(Bills!#REF!,"AAAAAH7/uX4=")</f>
        <v>#REF!</v>
      </c>
      <c r="DX177" t="e">
        <f>AND(Bills!F729,"AAAAAH7/uX8=")</f>
        <v>#VALUE!</v>
      </c>
      <c r="DY177" t="e">
        <f>AND(Bills!#REF!,"AAAAAH7/uYA=")</f>
        <v>#REF!</v>
      </c>
      <c r="DZ177" t="e">
        <f>AND(Bills!G729,"AAAAAH7/uYE=")</f>
        <v>#VALUE!</v>
      </c>
      <c r="EA177" t="e">
        <f>AND(Bills!H729,"AAAAAH7/uYI=")</f>
        <v>#VALUE!</v>
      </c>
      <c r="EB177" t="e">
        <f>AND(Bills!I729,"AAAAAH7/uYM=")</f>
        <v>#VALUE!</v>
      </c>
      <c r="EC177" t="e">
        <f>AND(Bills!J729,"AAAAAH7/uYQ=")</f>
        <v>#VALUE!</v>
      </c>
      <c r="ED177" t="e">
        <f>AND(Bills!K729,"AAAAAH7/uYU=")</f>
        <v>#VALUE!</v>
      </c>
      <c r="EE177" t="e">
        <f>AND(Bills!L729,"AAAAAH7/uYY=")</f>
        <v>#VALUE!</v>
      </c>
      <c r="EF177" t="e">
        <f>AND(Bills!#REF!,"AAAAAH7/uYc=")</f>
        <v>#REF!</v>
      </c>
      <c r="EG177" t="e">
        <f>AND(Bills!M729,"AAAAAH7/uYg=")</f>
        <v>#VALUE!</v>
      </c>
      <c r="EH177" t="e">
        <f>AND(Bills!N729,"AAAAAH7/uYk=")</f>
        <v>#VALUE!</v>
      </c>
      <c r="EI177" t="e">
        <f>AND(Bills!O729,"AAAAAH7/uYo=")</f>
        <v>#VALUE!</v>
      </c>
      <c r="EJ177" t="e">
        <f>AND(Bills!P729,"AAAAAH7/uYs=")</f>
        <v>#VALUE!</v>
      </c>
      <c r="EK177" t="e">
        <f>AND(Bills!Q729,"AAAAAH7/uYw=")</f>
        <v>#VALUE!</v>
      </c>
      <c r="EL177" t="e">
        <f>AND(Bills!R729,"AAAAAH7/uY0=")</f>
        <v>#VALUE!</v>
      </c>
      <c r="EM177" t="e">
        <f>AND(Bills!S729,"AAAAAH7/uY4=")</f>
        <v>#VALUE!</v>
      </c>
      <c r="EN177" t="e">
        <f>AND(Bills!T729,"AAAAAH7/uY8=")</f>
        <v>#VALUE!</v>
      </c>
      <c r="EO177" t="e">
        <f>AND(Bills!#REF!,"AAAAAH7/uZA=")</f>
        <v>#REF!</v>
      </c>
      <c r="EP177" t="e">
        <f>AND(Bills!U729,"AAAAAH7/uZE=")</f>
        <v>#VALUE!</v>
      </c>
      <c r="EQ177" t="e">
        <f>AND(Bills!V729,"AAAAAH7/uZI=")</f>
        <v>#VALUE!</v>
      </c>
      <c r="ER177" t="e">
        <f>AND(Bills!W729,"AAAAAH7/uZM=")</f>
        <v>#VALUE!</v>
      </c>
      <c r="ES177" t="e">
        <f>AND(Bills!#REF!,"AAAAAH7/uZQ=")</f>
        <v>#REF!</v>
      </c>
      <c r="ET177" t="e">
        <f>AND(Bills!#REF!,"AAAAAH7/uZU=")</f>
        <v>#REF!</v>
      </c>
      <c r="EU177" t="e">
        <f>AND(Bills!Y729,"AAAAAH7/uZY=")</f>
        <v>#VALUE!</v>
      </c>
      <c r="EV177" t="e">
        <f>AND(Bills!Z729,"AAAAAH7/uZc=")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AND(Bills!AA729,"AAAAAH7/uaE=")</f>
        <v>#VALUE!</v>
      </c>
      <c r="FG177" t="e">
        <f>AND(Bills!AB729,"AAAAAH7/uaI=")</f>
        <v>#VALUE!</v>
      </c>
      <c r="FH177" t="e">
        <f>AND(Bills!#REF!,"AAAAAH7/uaM=")</f>
        <v>#REF!</v>
      </c>
      <c r="FI177" t="e">
        <f>AND(Bills!#REF!,"AAAAAH7/uaQ=")</f>
        <v>#REF!</v>
      </c>
      <c r="FJ177" t="e">
        <f>AND(Bills!#REF!,"AAAAAH7/uaU=")</f>
        <v>#REF!</v>
      </c>
      <c r="FK177" t="e">
        <f>AND(Bills!AC729,"AAAAAH7/uaY=")</f>
        <v>#VALUE!</v>
      </c>
      <c r="FL177" t="e">
        <f>AND(Bills!AD729,"AAAAAH7/uac=")</f>
        <v>#VALUE!</v>
      </c>
      <c r="FM177" t="e">
        <f>AND(Bills!#REF!,"AAAAAH7/uag=")</f>
        <v>#REF!</v>
      </c>
      <c r="FN177">
        <f>IF(Bills!730:730,"AAAAAH7/uak=",0)</f>
        <v>0</v>
      </c>
      <c r="FO177" t="e">
        <f>AND(Bills!B730,"AAAAAH7/uao=")</f>
        <v>#VALUE!</v>
      </c>
      <c r="FP177" t="e">
        <f>AND(Bills!#REF!,"AAAAAH7/uas=")</f>
        <v>#REF!</v>
      </c>
      <c r="FQ177" t="e">
        <f>AND(Bills!C730,"AAAAAH7/uaw=")</f>
        <v>#VALUE!</v>
      </c>
      <c r="FR177" t="e">
        <f>AND(Bills!D730,"AAAAAH7/ua0=")</f>
        <v>#VALUE!</v>
      </c>
      <c r="FS177" t="e">
        <f>AND(Bills!E730,"AAAAAH7/ua4=")</f>
        <v>#VALUE!</v>
      </c>
      <c r="FT177" t="e">
        <f>AND(Bills!#REF!,"AAAAAH7/ua8=")</f>
        <v>#REF!</v>
      </c>
      <c r="FU177" t="e">
        <f>AND(Bills!#REF!,"AAAAAH7/ubA=")</f>
        <v>#REF!</v>
      </c>
      <c r="FV177" t="e">
        <f>AND(Bills!#REF!,"AAAAAH7/ubE=")</f>
        <v>#REF!</v>
      </c>
      <c r="FW177" t="e">
        <f>AND(Bills!F730,"AAAAAH7/ubI=")</f>
        <v>#VALUE!</v>
      </c>
      <c r="FX177" t="e">
        <f>AND(Bills!#REF!,"AAAAAH7/ubM=")</f>
        <v>#REF!</v>
      </c>
      <c r="FY177" t="e">
        <f>AND(Bills!G730,"AAAAAH7/ubQ=")</f>
        <v>#VALUE!</v>
      </c>
      <c r="FZ177" t="e">
        <f>AND(Bills!H730,"AAAAAH7/ubU=")</f>
        <v>#VALUE!</v>
      </c>
      <c r="GA177" t="e">
        <f>AND(Bills!I730,"AAAAAH7/ubY=")</f>
        <v>#VALUE!</v>
      </c>
      <c r="GB177" t="e">
        <f>AND(Bills!J730,"AAAAAH7/ubc=")</f>
        <v>#VALUE!</v>
      </c>
      <c r="GC177" t="e">
        <f>AND(Bills!K730,"AAAAAH7/ubg=")</f>
        <v>#VALUE!</v>
      </c>
      <c r="GD177" t="e">
        <f>AND(Bills!L730,"AAAAAH7/ubk=")</f>
        <v>#VALUE!</v>
      </c>
      <c r="GE177" t="e">
        <f>AND(Bills!#REF!,"AAAAAH7/ubo=")</f>
        <v>#REF!</v>
      </c>
      <c r="GF177" t="e">
        <f>AND(Bills!M730,"AAAAAH7/ubs=")</f>
        <v>#VALUE!</v>
      </c>
      <c r="GG177" t="e">
        <f>AND(Bills!N730,"AAAAAH7/ubw=")</f>
        <v>#VALUE!</v>
      </c>
      <c r="GH177" t="e">
        <f>AND(Bills!O730,"AAAAAH7/ub0=")</f>
        <v>#VALUE!</v>
      </c>
      <c r="GI177" t="e">
        <f>AND(Bills!P730,"AAAAAH7/ub4=")</f>
        <v>#VALUE!</v>
      </c>
      <c r="GJ177" t="e">
        <f>AND(Bills!Q730,"AAAAAH7/ub8=")</f>
        <v>#VALUE!</v>
      </c>
      <c r="GK177" t="e">
        <f>AND(Bills!R730,"AAAAAH7/ucA=")</f>
        <v>#VALUE!</v>
      </c>
      <c r="GL177" t="e">
        <f>AND(Bills!S730,"AAAAAH7/ucE=")</f>
        <v>#VALUE!</v>
      </c>
      <c r="GM177" t="e">
        <f>AND(Bills!T730,"AAAAAH7/ucI=")</f>
        <v>#VALUE!</v>
      </c>
      <c r="GN177" t="e">
        <f>AND(Bills!#REF!,"AAAAAH7/ucM=")</f>
        <v>#REF!</v>
      </c>
      <c r="GO177" t="e">
        <f>AND(Bills!U730,"AAAAAH7/ucQ=")</f>
        <v>#VALUE!</v>
      </c>
      <c r="GP177" t="e">
        <f>AND(Bills!V730,"AAAAAH7/ucU=")</f>
        <v>#VALUE!</v>
      </c>
      <c r="GQ177" t="e">
        <f>AND(Bills!W730,"AAAAAH7/ucY=")</f>
        <v>#VALUE!</v>
      </c>
      <c r="GR177" t="e">
        <f>AND(Bills!#REF!,"AAAAAH7/ucc=")</f>
        <v>#REF!</v>
      </c>
      <c r="GS177" t="e">
        <f>AND(Bills!#REF!,"AAAAAH7/ucg=")</f>
        <v>#REF!</v>
      </c>
      <c r="GT177" t="e">
        <f>AND(Bills!Y730,"AAAAAH7/uck=")</f>
        <v>#VALUE!</v>
      </c>
      <c r="GU177" t="e">
        <f>AND(Bills!Z730,"AAAAAH7/uco=")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AND(Bills!AA730,"AAAAAH7/udQ=")</f>
        <v>#VALUE!</v>
      </c>
      <c r="HF177" t="e">
        <f>AND(Bills!AB730,"AAAAAH7/udU=")</f>
        <v>#VALUE!</v>
      </c>
      <c r="HG177" t="e">
        <f>AND(Bills!#REF!,"AAAAAH7/udY=")</f>
        <v>#REF!</v>
      </c>
      <c r="HH177" t="e">
        <f>AND(Bills!#REF!,"AAAAAH7/udc=")</f>
        <v>#REF!</v>
      </c>
      <c r="HI177" t="e">
        <f>AND(Bills!#REF!,"AAAAAH7/udg=")</f>
        <v>#REF!</v>
      </c>
      <c r="HJ177" t="e">
        <f>AND(Bills!AC730,"AAAAAH7/udk=")</f>
        <v>#VALUE!</v>
      </c>
      <c r="HK177" t="e">
        <f>AND(Bills!AD730,"AAAAAH7/udo=")</f>
        <v>#VALUE!</v>
      </c>
      <c r="HL177" t="e">
        <f>AND(Bills!#REF!,"AAAAAH7/uds=")</f>
        <v>#REF!</v>
      </c>
      <c r="HM177">
        <f>IF(Bills!731:731,"AAAAAH7/udw=",0)</f>
        <v>0</v>
      </c>
      <c r="HN177" t="e">
        <f>AND(Bills!B731,"AAAAAH7/ud0=")</f>
        <v>#VALUE!</v>
      </c>
      <c r="HO177" t="e">
        <f>AND(Bills!#REF!,"AAAAAH7/ud4=")</f>
        <v>#REF!</v>
      </c>
      <c r="HP177" t="e">
        <f>AND(Bills!C731,"AAAAAH7/ud8=")</f>
        <v>#VALUE!</v>
      </c>
      <c r="HQ177" t="e">
        <f>AND(Bills!D731,"AAAAAH7/ueA=")</f>
        <v>#VALUE!</v>
      </c>
      <c r="HR177" t="e">
        <f>AND(Bills!E731,"AAAAAH7/ueE=")</f>
        <v>#VALUE!</v>
      </c>
      <c r="HS177" t="e">
        <f>AND(Bills!#REF!,"AAAAAH7/ueI=")</f>
        <v>#REF!</v>
      </c>
      <c r="HT177" t="e">
        <f>AND(Bills!#REF!,"AAAAAH7/ueM=")</f>
        <v>#REF!</v>
      </c>
      <c r="HU177" t="e">
        <f>AND(Bills!#REF!,"AAAAAH7/ueQ=")</f>
        <v>#REF!</v>
      </c>
      <c r="HV177" t="e">
        <f>AND(Bills!F731,"AAAAAH7/ueU=")</f>
        <v>#VALUE!</v>
      </c>
      <c r="HW177" t="e">
        <f>AND(Bills!#REF!,"AAAAAH7/ueY=")</f>
        <v>#REF!</v>
      </c>
      <c r="HX177" t="e">
        <f>AND(Bills!G731,"AAAAAH7/uec=")</f>
        <v>#VALUE!</v>
      </c>
      <c r="HY177" t="e">
        <f>AND(Bills!H731,"AAAAAH7/ueg=")</f>
        <v>#VALUE!</v>
      </c>
      <c r="HZ177" t="e">
        <f>AND(Bills!I731,"AAAAAH7/uek=")</f>
        <v>#VALUE!</v>
      </c>
      <c r="IA177" t="e">
        <f>AND(Bills!J731,"AAAAAH7/ueo=")</f>
        <v>#VALUE!</v>
      </c>
      <c r="IB177" t="e">
        <f>AND(Bills!K731,"AAAAAH7/ues=")</f>
        <v>#VALUE!</v>
      </c>
      <c r="IC177" t="e">
        <f>AND(Bills!L731,"AAAAAH7/uew=")</f>
        <v>#VALUE!</v>
      </c>
      <c r="ID177" t="e">
        <f>AND(Bills!#REF!,"AAAAAH7/ue0=")</f>
        <v>#REF!</v>
      </c>
      <c r="IE177" t="e">
        <f>AND(Bills!M731,"AAAAAH7/ue4=")</f>
        <v>#VALUE!</v>
      </c>
      <c r="IF177" t="e">
        <f>AND(Bills!N731,"AAAAAH7/ue8=")</f>
        <v>#VALUE!</v>
      </c>
      <c r="IG177" t="e">
        <f>AND(Bills!O731,"AAAAAH7/ufA=")</f>
        <v>#VALUE!</v>
      </c>
      <c r="IH177" t="e">
        <f>AND(Bills!P731,"AAAAAH7/ufE=")</f>
        <v>#VALUE!</v>
      </c>
      <c r="II177" t="e">
        <f>AND(Bills!Q731,"AAAAAH7/ufI=")</f>
        <v>#VALUE!</v>
      </c>
      <c r="IJ177" t="e">
        <f>AND(Bills!R731,"AAAAAH7/ufM=")</f>
        <v>#VALUE!</v>
      </c>
      <c r="IK177" t="e">
        <f>AND(Bills!S731,"AAAAAH7/ufQ=")</f>
        <v>#VALUE!</v>
      </c>
      <c r="IL177" t="e">
        <f>AND(Bills!T731,"AAAAAH7/ufU=")</f>
        <v>#VALUE!</v>
      </c>
      <c r="IM177" t="e">
        <f>AND(Bills!#REF!,"AAAAAH7/ufY=")</f>
        <v>#REF!</v>
      </c>
      <c r="IN177" t="e">
        <f>AND(Bills!U731,"AAAAAH7/ufc=")</f>
        <v>#VALUE!</v>
      </c>
      <c r="IO177" t="e">
        <f>AND(Bills!V731,"AAAAAH7/ufg=")</f>
        <v>#VALUE!</v>
      </c>
      <c r="IP177" t="e">
        <f>AND(Bills!W731,"AAAAAH7/ufk=")</f>
        <v>#VALUE!</v>
      </c>
      <c r="IQ177" t="e">
        <f>AND(Bills!#REF!,"AAAAAH7/ufo=")</f>
        <v>#REF!</v>
      </c>
      <c r="IR177" t="e">
        <f>AND(Bills!#REF!,"AAAAAH7/ufs=")</f>
        <v>#REF!</v>
      </c>
      <c r="IS177" t="e">
        <f>AND(Bills!Y731,"AAAAAH7/ufw=")</f>
        <v>#VALUE!</v>
      </c>
      <c r="IT177" t="e">
        <f>AND(Bills!Z731,"AAAAAH7/uf0=")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AND(Bills!AA731,"AAAAADvn/wc=")</f>
        <v>#VALUE!</v>
      </c>
      <c r="I178" t="e">
        <f>AND(Bills!AB731,"AAAAADvn/wg=")</f>
        <v>#VALUE!</v>
      </c>
      <c r="J178" t="e">
        <f>AND(Bills!#REF!,"AAAAADvn/wk=")</f>
        <v>#REF!</v>
      </c>
      <c r="K178" t="e">
        <f>AND(Bills!#REF!,"AAAAADvn/wo=")</f>
        <v>#REF!</v>
      </c>
      <c r="L178" t="e">
        <f>AND(Bills!#REF!,"AAAAADvn/ws=")</f>
        <v>#REF!</v>
      </c>
      <c r="M178" t="e">
        <f>AND(Bills!AC731,"AAAAADvn/ww=")</f>
        <v>#VALUE!</v>
      </c>
      <c r="N178" t="e">
        <f>AND(Bills!AD731,"AAAAADvn/w0=")</f>
        <v>#VALUE!</v>
      </c>
      <c r="O178" t="e">
        <f>AND(Bills!#REF!,"AAAAADvn/w4=")</f>
        <v>#REF!</v>
      </c>
      <c r="P178">
        <f>IF(Bills!732:732,"AAAAADvn/w8=",0)</f>
        <v>0</v>
      </c>
      <c r="Q178" t="e">
        <f>AND(Bills!B732,"AAAAADvn/xA=")</f>
        <v>#VALUE!</v>
      </c>
      <c r="R178" t="e">
        <f>AND(Bills!#REF!,"AAAAADvn/xE=")</f>
        <v>#REF!</v>
      </c>
      <c r="S178" t="e">
        <f>AND(Bills!C732,"AAAAADvn/xI=")</f>
        <v>#VALUE!</v>
      </c>
      <c r="T178" t="e">
        <f>AND(Bills!D732,"AAAAADvn/xM=")</f>
        <v>#VALUE!</v>
      </c>
      <c r="U178" t="e">
        <f>AND(Bills!E732,"AAAAADvn/xQ=")</f>
        <v>#VALUE!</v>
      </c>
      <c r="V178" t="e">
        <f>AND(Bills!#REF!,"AAAAADvn/xU=")</f>
        <v>#REF!</v>
      </c>
      <c r="W178" t="e">
        <f>AND(Bills!#REF!,"AAAAADvn/xY=")</f>
        <v>#REF!</v>
      </c>
      <c r="X178" t="e">
        <f>AND(Bills!#REF!,"AAAAADvn/xc=")</f>
        <v>#REF!</v>
      </c>
      <c r="Y178" t="e">
        <f>AND(Bills!F732,"AAAAADvn/xg=")</f>
        <v>#VALUE!</v>
      </c>
      <c r="Z178" t="e">
        <f>AND(Bills!#REF!,"AAAAADvn/xk=")</f>
        <v>#REF!</v>
      </c>
      <c r="AA178" t="e">
        <f>AND(Bills!G732,"AAAAADvn/xo=")</f>
        <v>#VALUE!</v>
      </c>
      <c r="AB178" t="e">
        <f>AND(Bills!H732,"AAAAADvn/xs=")</f>
        <v>#VALUE!</v>
      </c>
      <c r="AC178" t="e">
        <f>AND(Bills!I732,"AAAAADvn/xw=")</f>
        <v>#VALUE!</v>
      </c>
      <c r="AD178" t="e">
        <f>AND(Bills!J732,"AAAAADvn/x0=")</f>
        <v>#VALUE!</v>
      </c>
      <c r="AE178" t="e">
        <f>AND(Bills!K732,"AAAAADvn/x4=")</f>
        <v>#VALUE!</v>
      </c>
      <c r="AF178" t="e">
        <f>AND(Bills!L732,"AAAAADvn/x8=")</f>
        <v>#VALUE!</v>
      </c>
      <c r="AG178" t="e">
        <f>AND(Bills!#REF!,"AAAAADvn/yA=")</f>
        <v>#REF!</v>
      </c>
      <c r="AH178" t="e">
        <f>AND(Bills!M732,"AAAAADvn/yE=")</f>
        <v>#VALUE!</v>
      </c>
      <c r="AI178" t="e">
        <f>AND(Bills!N732,"AAAAADvn/yI=")</f>
        <v>#VALUE!</v>
      </c>
      <c r="AJ178" t="e">
        <f>AND(Bills!O732,"AAAAADvn/yM=")</f>
        <v>#VALUE!</v>
      </c>
      <c r="AK178" t="e">
        <f>AND(Bills!P732,"AAAAADvn/yQ=")</f>
        <v>#VALUE!</v>
      </c>
      <c r="AL178" t="e">
        <f>AND(Bills!Q732,"AAAAADvn/yU=")</f>
        <v>#VALUE!</v>
      </c>
      <c r="AM178" t="e">
        <f>AND(Bills!R732,"AAAAADvn/yY=")</f>
        <v>#VALUE!</v>
      </c>
      <c r="AN178" t="e">
        <f>AND(Bills!S732,"AAAAADvn/yc=")</f>
        <v>#VALUE!</v>
      </c>
      <c r="AO178" t="e">
        <f>AND(Bills!T732,"AAAAADvn/yg=")</f>
        <v>#VALUE!</v>
      </c>
      <c r="AP178" t="e">
        <f>AND(Bills!#REF!,"AAAAADvn/yk=")</f>
        <v>#REF!</v>
      </c>
      <c r="AQ178" t="e">
        <f>AND(Bills!U732,"AAAAADvn/yo=")</f>
        <v>#VALUE!</v>
      </c>
      <c r="AR178" t="e">
        <f>AND(Bills!V732,"AAAAADvn/ys=")</f>
        <v>#VALUE!</v>
      </c>
      <c r="AS178" t="e">
        <f>AND(Bills!W732,"AAAAADvn/yw=")</f>
        <v>#VALUE!</v>
      </c>
      <c r="AT178" t="e">
        <f>AND(Bills!#REF!,"AAAAADvn/y0=")</f>
        <v>#REF!</v>
      </c>
      <c r="AU178" t="e">
        <f>AND(Bills!#REF!,"AAAAADvn/y4=")</f>
        <v>#REF!</v>
      </c>
      <c r="AV178" t="e">
        <f>AND(Bills!Y732,"AAAAADvn/y8=")</f>
        <v>#VALUE!</v>
      </c>
      <c r="AW178" t="e">
        <f>AND(Bills!Z732,"AAAAADvn/zA=")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AND(Bills!AA732,"AAAAADvn/zo=")</f>
        <v>#VALUE!</v>
      </c>
      <c r="BH178" t="e">
        <f>AND(Bills!AB732,"AAAAADvn/zs=")</f>
        <v>#VALUE!</v>
      </c>
      <c r="BI178" t="e">
        <f>AND(Bills!#REF!,"AAAAADvn/zw=")</f>
        <v>#REF!</v>
      </c>
      <c r="BJ178" t="e">
        <f>AND(Bills!#REF!,"AAAAADvn/z0=")</f>
        <v>#REF!</v>
      </c>
      <c r="BK178" t="e">
        <f>AND(Bills!#REF!,"AAAAADvn/z4=")</f>
        <v>#REF!</v>
      </c>
      <c r="BL178" t="e">
        <f>AND(Bills!AC732,"AAAAADvn/z8=")</f>
        <v>#VALUE!</v>
      </c>
      <c r="BM178" t="e">
        <f>AND(Bills!AD732,"AAAAADvn/0A=")</f>
        <v>#VALUE!</v>
      </c>
      <c r="BN178" t="e">
        <f>AND(Bills!#REF!,"AAAAADvn/0E=")</f>
        <v>#REF!</v>
      </c>
      <c r="BO178">
        <f>IF(Bills!733:733,"AAAAADvn/0I=",0)</f>
        <v>0</v>
      </c>
      <c r="BP178" t="e">
        <f>AND(Bills!B733,"AAAAADvn/0M=")</f>
        <v>#VALUE!</v>
      </c>
      <c r="BQ178" t="e">
        <f>AND(Bills!#REF!,"AAAAADvn/0Q=")</f>
        <v>#REF!</v>
      </c>
      <c r="BR178" t="e">
        <f>AND(Bills!C733,"AAAAADvn/0U=")</f>
        <v>#VALUE!</v>
      </c>
      <c r="BS178" t="e">
        <f>AND(Bills!D733,"AAAAADvn/0Y=")</f>
        <v>#VALUE!</v>
      </c>
      <c r="BT178" t="e">
        <f>AND(Bills!E733,"AAAAADvn/0c=")</f>
        <v>#VALUE!</v>
      </c>
      <c r="BU178" t="e">
        <f>AND(Bills!#REF!,"AAAAADvn/0g=")</f>
        <v>#REF!</v>
      </c>
      <c r="BV178" t="e">
        <f>AND(Bills!#REF!,"AAAAADvn/0k=")</f>
        <v>#REF!</v>
      </c>
      <c r="BW178" t="e">
        <f>AND(Bills!#REF!,"AAAAADvn/0o=")</f>
        <v>#REF!</v>
      </c>
      <c r="BX178" t="e">
        <f>AND(Bills!F733,"AAAAADvn/0s=")</f>
        <v>#VALUE!</v>
      </c>
      <c r="BY178" t="e">
        <f>AND(Bills!#REF!,"AAAAADvn/0w=")</f>
        <v>#REF!</v>
      </c>
      <c r="BZ178" t="e">
        <f>AND(Bills!G733,"AAAAADvn/00=")</f>
        <v>#VALUE!</v>
      </c>
      <c r="CA178" t="e">
        <f>AND(Bills!H733,"AAAAADvn/04=")</f>
        <v>#VALUE!</v>
      </c>
      <c r="CB178" t="e">
        <f>AND(Bills!I733,"AAAAADvn/08=")</f>
        <v>#VALUE!</v>
      </c>
      <c r="CC178" t="e">
        <f>AND(Bills!J733,"AAAAADvn/1A=")</f>
        <v>#VALUE!</v>
      </c>
      <c r="CD178" t="e">
        <f>AND(Bills!K733,"AAAAADvn/1E=")</f>
        <v>#VALUE!</v>
      </c>
      <c r="CE178" t="e">
        <f>AND(Bills!L733,"AAAAADvn/1I=")</f>
        <v>#VALUE!</v>
      </c>
      <c r="CF178" t="e">
        <f>AND(Bills!#REF!,"AAAAADvn/1M=")</f>
        <v>#REF!</v>
      </c>
      <c r="CG178" t="e">
        <f>AND(Bills!M733,"AAAAADvn/1Q=")</f>
        <v>#VALUE!</v>
      </c>
      <c r="CH178" t="e">
        <f>AND(Bills!N733,"AAAAADvn/1U=")</f>
        <v>#VALUE!</v>
      </c>
      <c r="CI178" t="e">
        <f>AND(Bills!O733,"AAAAADvn/1Y=")</f>
        <v>#VALUE!</v>
      </c>
      <c r="CJ178" t="e">
        <f>AND(Bills!P733,"AAAAADvn/1c=")</f>
        <v>#VALUE!</v>
      </c>
      <c r="CK178" t="e">
        <f>AND(Bills!Q733,"AAAAADvn/1g=")</f>
        <v>#VALUE!</v>
      </c>
      <c r="CL178" t="e">
        <f>AND(Bills!R733,"AAAAADvn/1k=")</f>
        <v>#VALUE!</v>
      </c>
      <c r="CM178" t="e">
        <f>AND(Bills!S733,"AAAAADvn/1o=")</f>
        <v>#VALUE!</v>
      </c>
      <c r="CN178" t="e">
        <f>AND(Bills!T733,"AAAAADvn/1s=")</f>
        <v>#VALUE!</v>
      </c>
      <c r="CO178" t="e">
        <f>AND(Bills!#REF!,"AAAAADvn/1w=")</f>
        <v>#REF!</v>
      </c>
      <c r="CP178" t="e">
        <f>AND(Bills!U733,"AAAAADvn/10=")</f>
        <v>#VALUE!</v>
      </c>
      <c r="CQ178" t="e">
        <f>AND(Bills!V733,"AAAAADvn/14=")</f>
        <v>#VALUE!</v>
      </c>
      <c r="CR178" t="e">
        <f>AND(Bills!W733,"AAAAADvn/18=")</f>
        <v>#VALUE!</v>
      </c>
      <c r="CS178" t="e">
        <f>AND(Bills!#REF!,"AAAAADvn/2A=")</f>
        <v>#REF!</v>
      </c>
      <c r="CT178" t="e">
        <f>AND(Bills!#REF!,"AAAAADvn/2E=")</f>
        <v>#REF!</v>
      </c>
      <c r="CU178" t="e">
        <f>AND(Bills!Y733,"AAAAADvn/2I=")</f>
        <v>#VALUE!</v>
      </c>
      <c r="CV178" t="e">
        <f>AND(Bills!Z733,"AAAAADvn/2M=")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AND(Bills!AA733,"AAAAADvn/20=")</f>
        <v>#VALUE!</v>
      </c>
      <c r="DG178" t="e">
        <f>AND(Bills!AB733,"AAAAADvn/24=")</f>
        <v>#VALUE!</v>
      </c>
      <c r="DH178" t="e">
        <f>AND(Bills!#REF!,"AAAAADvn/28=")</f>
        <v>#REF!</v>
      </c>
      <c r="DI178" t="e">
        <f>AND(Bills!#REF!,"AAAAADvn/3A=")</f>
        <v>#REF!</v>
      </c>
      <c r="DJ178" t="e">
        <f>AND(Bills!#REF!,"AAAAADvn/3E=")</f>
        <v>#REF!</v>
      </c>
      <c r="DK178" t="e">
        <f>AND(Bills!AC733,"AAAAADvn/3I=")</f>
        <v>#VALUE!</v>
      </c>
      <c r="DL178" t="e">
        <f>AND(Bills!AD733,"AAAAADvn/3M=")</f>
        <v>#VALUE!</v>
      </c>
      <c r="DM178" t="e">
        <f>AND(Bills!#REF!,"AAAAADvn/3Q=")</f>
        <v>#REF!</v>
      </c>
      <c r="DN178">
        <f>IF(Bills!734:734,"AAAAADvn/3U=",0)</f>
        <v>0</v>
      </c>
      <c r="DO178" t="e">
        <f>AND(Bills!B734,"AAAAADvn/3Y=")</f>
        <v>#VALUE!</v>
      </c>
      <c r="DP178" t="e">
        <f>AND(Bills!#REF!,"AAAAADvn/3c=")</f>
        <v>#REF!</v>
      </c>
      <c r="DQ178" t="e">
        <f>AND(Bills!C734,"AAAAADvn/3g=")</f>
        <v>#VALUE!</v>
      </c>
      <c r="DR178" t="e">
        <f>AND(Bills!D734,"AAAAADvn/3k=")</f>
        <v>#VALUE!</v>
      </c>
      <c r="DS178" t="e">
        <f>AND(Bills!E734,"AAAAADvn/3o=")</f>
        <v>#VALUE!</v>
      </c>
      <c r="DT178" t="e">
        <f>AND(Bills!#REF!,"AAAAADvn/3s=")</f>
        <v>#REF!</v>
      </c>
      <c r="DU178" t="e">
        <f>AND(Bills!#REF!,"AAAAADvn/3w=")</f>
        <v>#REF!</v>
      </c>
      <c r="DV178" t="e">
        <f>AND(Bills!#REF!,"AAAAADvn/30=")</f>
        <v>#REF!</v>
      </c>
      <c r="DW178" t="e">
        <f>AND(Bills!F734,"AAAAADvn/34=")</f>
        <v>#VALUE!</v>
      </c>
      <c r="DX178" t="e">
        <f>AND(Bills!#REF!,"AAAAADvn/38=")</f>
        <v>#REF!</v>
      </c>
      <c r="DY178" t="e">
        <f>AND(Bills!G734,"AAAAADvn/4A=")</f>
        <v>#VALUE!</v>
      </c>
      <c r="DZ178" t="e">
        <f>AND(Bills!H734,"AAAAADvn/4E=")</f>
        <v>#VALUE!</v>
      </c>
      <c r="EA178" t="e">
        <f>AND(Bills!I734,"AAAAADvn/4I=")</f>
        <v>#VALUE!</v>
      </c>
      <c r="EB178" t="e">
        <f>AND(Bills!J734,"AAAAADvn/4M=")</f>
        <v>#VALUE!</v>
      </c>
      <c r="EC178" t="e">
        <f>AND(Bills!K734,"AAAAADvn/4Q=")</f>
        <v>#VALUE!</v>
      </c>
      <c r="ED178" t="e">
        <f>AND(Bills!L734,"AAAAADvn/4U=")</f>
        <v>#VALUE!</v>
      </c>
      <c r="EE178" t="e">
        <f>AND(Bills!#REF!,"AAAAADvn/4Y=")</f>
        <v>#REF!</v>
      </c>
      <c r="EF178" t="e">
        <f>AND(Bills!M734,"AAAAADvn/4c=")</f>
        <v>#VALUE!</v>
      </c>
      <c r="EG178" t="e">
        <f>AND(Bills!N734,"AAAAADvn/4g=")</f>
        <v>#VALUE!</v>
      </c>
      <c r="EH178" t="e">
        <f>AND(Bills!O734,"AAAAADvn/4k=")</f>
        <v>#VALUE!</v>
      </c>
      <c r="EI178" t="e">
        <f>AND(Bills!P734,"AAAAADvn/4o=")</f>
        <v>#VALUE!</v>
      </c>
      <c r="EJ178" t="e">
        <f>AND(Bills!Q734,"AAAAADvn/4s=")</f>
        <v>#VALUE!</v>
      </c>
      <c r="EK178" t="e">
        <f>AND(Bills!R734,"AAAAADvn/4w=")</f>
        <v>#VALUE!</v>
      </c>
      <c r="EL178" t="e">
        <f>AND(Bills!S734,"AAAAADvn/40=")</f>
        <v>#VALUE!</v>
      </c>
      <c r="EM178" t="e">
        <f>AND(Bills!T734,"AAAAADvn/44=")</f>
        <v>#VALUE!</v>
      </c>
      <c r="EN178" t="e">
        <f>AND(Bills!#REF!,"AAAAADvn/48=")</f>
        <v>#REF!</v>
      </c>
      <c r="EO178" t="e">
        <f>AND(Bills!U734,"AAAAADvn/5A=")</f>
        <v>#VALUE!</v>
      </c>
      <c r="EP178" t="e">
        <f>AND(Bills!V734,"AAAAADvn/5E=")</f>
        <v>#VALUE!</v>
      </c>
      <c r="EQ178" t="e">
        <f>AND(Bills!W734,"AAAAADvn/5I=")</f>
        <v>#VALUE!</v>
      </c>
      <c r="ER178" t="e">
        <f>AND(Bills!#REF!,"AAAAADvn/5M=")</f>
        <v>#REF!</v>
      </c>
      <c r="ES178" t="e">
        <f>AND(Bills!#REF!,"AAAAADvn/5Q=")</f>
        <v>#REF!</v>
      </c>
      <c r="ET178" t="e">
        <f>AND(Bills!Y734,"AAAAADvn/5U=")</f>
        <v>#VALUE!</v>
      </c>
      <c r="EU178" t="e">
        <f>AND(Bills!Z734,"AAAAADvn/5Y=")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AND(Bills!AA734,"AAAAADvn/6A=")</f>
        <v>#VALUE!</v>
      </c>
      <c r="FF178" t="e">
        <f>AND(Bills!AB734,"AAAAADvn/6E=")</f>
        <v>#VALUE!</v>
      </c>
      <c r="FG178" t="e">
        <f>AND(Bills!#REF!,"AAAAADvn/6I=")</f>
        <v>#REF!</v>
      </c>
      <c r="FH178" t="e">
        <f>AND(Bills!#REF!,"AAAAADvn/6M=")</f>
        <v>#REF!</v>
      </c>
      <c r="FI178" t="e">
        <f>AND(Bills!#REF!,"AAAAADvn/6Q=")</f>
        <v>#REF!</v>
      </c>
      <c r="FJ178" t="e">
        <f>AND(Bills!AC734,"AAAAADvn/6U=")</f>
        <v>#VALUE!</v>
      </c>
      <c r="FK178" t="e">
        <f>AND(Bills!AD734,"AAAAADvn/6Y=")</f>
        <v>#VALUE!</v>
      </c>
      <c r="FL178" t="e">
        <f>AND(Bills!#REF!,"AAAAADvn/6c=")</f>
        <v>#REF!</v>
      </c>
      <c r="FM178">
        <f>IF(Bills!735:735,"AAAAADvn/6g=",0)</f>
        <v>0</v>
      </c>
      <c r="FN178" t="e">
        <f>AND(Bills!B735,"AAAAADvn/6k=")</f>
        <v>#VALUE!</v>
      </c>
      <c r="FO178" t="e">
        <f>AND(Bills!#REF!,"AAAAADvn/6o=")</f>
        <v>#REF!</v>
      </c>
      <c r="FP178" t="e">
        <f>AND(Bills!C735,"AAAAADvn/6s=")</f>
        <v>#VALUE!</v>
      </c>
      <c r="FQ178" t="e">
        <f>AND(Bills!D735,"AAAAADvn/6w=")</f>
        <v>#VALUE!</v>
      </c>
      <c r="FR178" t="e">
        <f>AND(Bills!E735,"AAAAADvn/60=")</f>
        <v>#VALUE!</v>
      </c>
      <c r="FS178" t="e">
        <f>AND(Bills!#REF!,"AAAAADvn/64=")</f>
        <v>#REF!</v>
      </c>
      <c r="FT178" t="e">
        <f>AND(Bills!#REF!,"AAAAADvn/68=")</f>
        <v>#REF!</v>
      </c>
      <c r="FU178" t="e">
        <f>AND(Bills!#REF!,"AAAAADvn/7A=")</f>
        <v>#REF!</v>
      </c>
      <c r="FV178" t="e">
        <f>AND(Bills!F735,"AAAAADvn/7E=")</f>
        <v>#VALUE!</v>
      </c>
      <c r="FW178" t="e">
        <f>AND(Bills!#REF!,"AAAAADvn/7I=")</f>
        <v>#REF!</v>
      </c>
      <c r="FX178" t="e">
        <f>AND(Bills!G735,"AAAAADvn/7M=")</f>
        <v>#VALUE!</v>
      </c>
      <c r="FY178" t="e">
        <f>AND(Bills!H735,"AAAAADvn/7Q=")</f>
        <v>#VALUE!</v>
      </c>
      <c r="FZ178" t="e">
        <f>AND(Bills!I735,"AAAAADvn/7U=")</f>
        <v>#VALUE!</v>
      </c>
      <c r="GA178" t="e">
        <f>AND(Bills!J735,"AAAAADvn/7Y=")</f>
        <v>#VALUE!</v>
      </c>
      <c r="GB178" t="e">
        <f>AND(Bills!K735,"AAAAADvn/7c=")</f>
        <v>#VALUE!</v>
      </c>
      <c r="GC178" t="e">
        <f>AND(Bills!L735,"AAAAADvn/7g=")</f>
        <v>#VALUE!</v>
      </c>
      <c r="GD178" t="e">
        <f>AND(Bills!#REF!,"AAAAADvn/7k=")</f>
        <v>#REF!</v>
      </c>
      <c r="GE178" t="e">
        <f>AND(Bills!M735,"AAAAADvn/7o=")</f>
        <v>#VALUE!</v>
      </c>
      <c r="GF178" t="e">
        <f>AND(Bills!N735,"AAAAADvn/7s=")</f>
        <v>#VALUE!</v>
      </c>
      <c r="GG178" t="e">
        <f>AND(Bills!O735,"AAAAADvn/7w=")</f>
        <v>#VALUE!</v>
      </c>
      <c r="GH178" t="e">
        <f>AND(Bills!P735,"AAAAADvn/70=")</f>
        <v>#VALUE!</v>
      </c>
      <c r="GI178" t="e">
        <f>AND(Bills!Q735,"AAAAADvn/74=")</f>
        <v>#VALUE!</v>
      </c>
      <c r="GJ178" t="e">
        <f>AND(Bills!R735,"AAAAADvn/78=")</f>
        <v>#VALUE!</v>
      </c>
      <c r="GK178" t="e">
        <f>AND(Bills!S735,"AAAAADvn/8A=")</f>
        <v>#VALUE!</v>
      </c>
      <c r="GL178" t="e">
        <f>AND(Bills!T735,"AAAAADvn/8E=")</f>
        <v>#VALUE!</v>
      </c>
      <c r="GM178" t="e">
        <f>AND(Bills!#REF!,"AAAAADvn/8I=")</f>
        <v>#REF!</v>
      </c>
      <c r="GN178" t="e">
        <f>AND(Bills!U735,"AAAAADvn/8M=")</f>
        <v>#VALUE!</v>
      </c>
      <c r="GO178" t="e">
        <f>AND(Bills!V735,"AAAAADvn/8Q=")</f>
        <v>#VALUE!</v>
      </c>
      <c r="GP178" t="e">
        <f>AND(Bills!W735,"AAAAADvn/8U=")</f>
        <v>#VALUE!</v>
      </c>
      <c r="GQ178" t="e">
        <f>AND(Bills!#REF!,"AAAAADvn/8Y=")</f>
        <v>#REF!</v>
      </c>
      <c r="GR178" t="e">
        <f>AND(Bills!#REF!,"AAAAADvn/8c=")</f>
        <v>#REF!</v>
      </c>
      <c r="GS178" t="e">
        <f>AND(Bills!Y735,"AAAAADvn/8g=")</f>
        <v>#VALUE!</v>
      </c>
      <c r="GT178" t="e">
        <f>AND(Bills!Z735,"AAAAADvn/8k=")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AND(Bills!AA735,"AAAAADvn/9M=")</f>
        <v>#VALUE!</v>
      </c>
      <c r="HE178" t="e">
        <f>AND(Bills!AB735,"AAAAADvn/9Q=")</f>
        <v>#VALUE!</v>
      </c>
      <c r="HF178" t="e">
        <f>AND(Bills!#REF!,"AAAAADvn/9U=")</f>
        <v>#REF!</v>
      </c>
      <c r="HG178" t="e">
        <f>AND(Bills!#REF!,"AAAAADvn/9Y=")</f>
        <v>#REF!</v>
      </c>
      <c r="HH178" t="e">
        <f>AND(Bills!#REF!,"AAAAADvn/9c=")</f>
        <v>#REF!</v>
      </c>
      <c r="HI178" t="e">
        <f>AND(Bills!AC735,"AAAAADvn/9g=")</f>
        <v>#VALUE!</v>
      </c>
      <c r="HJ178" t="e">
        <f>AND(Bills!AD735,"AAAAADvn/9k=")</f>
        <v>#VALUE!</v>
      </c>
      <c r="HK178" t="e">
        <f>AND(Bills!#REF!,"AAAAADvn/9o=")</f>
        <v>#REF!</v>
      </c>
      <c r="HL178">
        <f>IF(Bills!736:736,"AAAAADvn/9s=",0)</f>
        <v>0</v>
      </c>
      <c r="HM178" t="e">
        <f>AND(Bills!B736,"AAAAADvn/9w=")</f>
        <v>#VALUE!</v>
      </c>
      <c r="HN178" t="e">
        <f>AND(Bills!#REF!,"AAAAADvn/90=")</f>
        <v>#REF!</v>
      </c>
      <c r="HO178" t="e">
        <f>AND(Bills!C736,"AAAAADvn/94=")</f>
        <v>#VALUE!</v>
      </c>
      <c r="HP178" t="e">
        <f>AND(Bills!D736,"AAAAADvn/98=")</f>
        <v>#VALUE!</v>
      </c>
      <c r="HQ178" t="e">
        <f>AND(Bills!E736,"AAAAADvn/+A=")</f>
        <v>#VALUE!</v>
      </c>
      <c r="HR178" t="e">
        <f>AND(Bills!#REF!,"AAAAADvn/+E=")</f>
        <v>#REF!</v>
      </c>
      <c r="HS178" t="e">
        <f>AND(Bills!#REF!,"AAAAADvn/+I=")</f>
        <v>#REF!</v>
      </c>
      <c r="HT178" t="e">
        <f>AND(Bills!#REF!,"AAAAADvn/+M=")</f>
        <v>#REF!</v>
      </c>
      <c r="HU178" t="e">
        <f>AND(Bills!F736,"AAAAADvn/+Q=")</f>
        <v>#VALUE!</v>
      </c>
      <c r="HV178" t="e">
        <f>AND(Bills!#REF!,"AAAAADvn/+U=")</f>
        <v>#REF!</v>
      </c>
      <c r="HW178" t="e">
        <f>AND(Bills!G736,"AAAAADvn/+Y=")</f>
        <v>#VALUE!</v>
      </c>
      <c r="HX178" t="e">
        <f>AND(Bills!H736,"AAAAADvn/+c=")</f>
        <v>#VALUE!</v>
      </c>
      <c r="HY178" t="e">
        <f>AND(Bills!I736,"AAAAADvn/+g=")</f>
        <v>#VALUE!</v>
      </c>
      <c r="HZ178" t="e">
        <f>AND(Bills!J736,"AAAAADvn/+k=")</f>
        <v>#VALUE!</v>
      </c>
      <c r="IA178" t="e">
        <f>AND(Bills!K736,"AAAAADvn/+o=")</f>
        <v>#VALUE!</v>
      </c>
      <c r="IB178" t="e">
        <f>AND(Bills!L736,"AAAAADvn/+s=")</f>
        <v>#VALUE!</v>
      </c>
      <c r="IC178" t="e">
        <f>AND(Bills!#REF!,"AAAAADvn/+w=")</f>
        <v>#REF!</v>
      </c>
      <c r="ID178" t="e">
        <f>AND(Bills!M736,"AAAAADvn/+0=")</f>
        <v>#VALUE!</v>
      </c>
      <c r="IE178" t="e">
        <f>AND(Bills!N736,"AAAAADvn/+4=")</f>
        <v>#VALUE!</v>
      </c>
      <c r="IF178" t="e">
        <f>AND(Bills!O736,"AAAAADvn/+8=")</f>
        <v>#VALUE!</v>
      </c>
      <c r="IG178" t="e">
        <f>AND(Bills!P736,"AAAAADvn//A=")</f>
        <v>#VALUE!</v>
      </c>
      <c r="IH178" t="e">
        <f>AND(Bills!Q736,"AAAAADvn//E=")</f>
        <v>#VALUE!</v>
      </c>
      <c r="II178" t="e">
        <f>AND(Bills!R736,"AAAAADvn//I=")</f>
        <v>#VALUE!</v>
      </c>
      <c r="IJ178" t="e">
        <f>AND(Bills!S736,"AAAAADvn//M=")</f>
        <v>#VALUE!</v>
      </c>
      <c r="IK178" t="e">
        <f>AND(Bills!T736,"AAAAADvn//Q=")</f>
        <v>#VALUE!</v>
      </c>
      <c r="IL178" t="e">
        <f>AND(Bills!#REF!,"AAAAADvn//U=")</f>
        <v>#REF!</v>
      </c>
      <c r="IM178" t="e">
        <f>AND(Bills!U736,"AAAAADvn//Y=")</f>
        <v>#VALUE!</v>
      </c>
      <c r="IN178" t="e">
        <f>AND(Bills!V736,"AAAAADvn//c=")</f>
        <v>#VALUE!</v>
      </c>
      <c r="IO178" t="e">
        <f>AND(Bills!W736,"AAAAADvn//g=")</f>
        <v>#VALUE!</v>
      </c>
      <c r="IP178" t="e">
        <f>AND(Bills!#REF!,"AAAAADvn//k=")</f>
        <v>#REF!</v>
      </c>
      <c r="IQ178" t="e">
        <f>AND(Bills!#REF!,"AAAAADvn//o=")</f>
        <v>#REF!</v>
      </c>
      <c r="IR178" t="e">
        <f>AND(Bills!Y736,"AAAAADvn//s=")</f>
        <v>#VALUE!</v>
      </c>
      <c r="IS178" t="e">
        <f>AND(Bills!Z736,"AAAAADvn//w=")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AND(Bills!AA736,"AAAAAG4avgY=")</f>
        <v>#VALUE!</v>
      </c>
      <c r="H179" t="e">
        <f>AND(Bills!AB736,"AAAAAG4avgc=")</f>
        <v>#VALUE!</v>
      </c>
      <c r="I179" t="e">
        <f>AND(Bills!#REF!,"AAAAAG4avgg=")</f>
        <v>#REF!</v>
      </c>
      <c r="J179" t="e">
        <f>AND(Bills!#REF!,"AAAAAG4avgk=")</f>
        <v>#REF!</v>
      </c>
      <c r="K179" t="e">
        <f>AND(Bills!#REF!,"AAAAAG4avgo=")</f>
        <v>#REF!</v>
      </c>
      <c r="L179" t="e">
        <f>AND(Bills!AC736,"AAAAAG4avgs=")</f>
        <v>#VALUE!</v>
      </c>
      <c r="M179" t="e">
        <f>AND(Bills!AD736,"AAAAAG4avgw=")</f>
        <v>#VALUE!</v>
      </c>
      <c r="N179" t="e">
        <f>AND(Bills!#REF!,"AAAAAG4avg0=")</f>
        <v>#REF!</v>
      </c>
      <c r="O179">
        <f>IF(Bills!737:737,"AAAAAG4avg4=",0)</f>
        <v>0</v>
      </c>
      <c r="P179" t="e">
        <f>AND(Bills!B737,"AAAAAG4avg8=")</f>
        <v>#VALUE!</v>
      </c>
      <c r="Q179" t="e">
        <f>AND(Bills!#REF!,"AAAAAG4avhA=")</f>
        <v>#REF!</v>
      </c>
      <c r="R179" t="e">
        <f>AND(Bills!C737,"AAAAAG4avhE=")</f>
        <v>#VALUE!</v>
      </c>
      <c r="S179" t="e">
        <f>AND(Bills!D737,"AAAAAG4avhI=")</f>
        <v>#VALUE!</v>
      </c>
      <c r="T179" t="e">
        <f>AND(Bills!E737,"AAAAAG4avhM=")</f>
        <v>#VALUE!</v>
      </c>
      <c r="U179" t="e">
        <f>AND(Bills!#REF!,"AAAAAG4avhQ=")</f>
        <v>#REF!</v>
      </c>
      <c r="V179" t="e">
        <f>AND(Bills!#REF!,"AAAAAG4avhU=")</f>
        <v>#REF!</v>
      </c>
      <c r="W179" t="e">
        <f>AND(Bills!#REF!,"AAAAAG4avhY=")</f>
        <v>#REF!</v>
      </c>
      <c r="X179" t="e">
        <f>AND(Bills!F737,"AAAAAG4avhc=")</f>
        <v>#VALUE!</v>
      </c>
      <c r="Y179" t="e">
        <f>AND(Bills!#REF!,"AAAAAG4avhg=")</f>
        <v>#REF!</v>
      </c>
      <c r="Z179" t="e">
        <f>AND(Bills!G737,"AAAAAG4avhk=")</f>
        <v>#VALUE!</v>
      </c>
      <c r="AA179" t="e">
        <f>AND(Bills!H737,"AAAAAG4avho=")</f>
        <v>#VALUE!</v>
      </c>
      <c r="AB179" t="e">
        <f>AND(Bills!I737,"AAAAAG4avhs=")</f>
        <v>#VALUE!</v>
      </c>
      <c r="AC179" t="e">
        <f>AND(Bills!J737,"AAAAAG4avhw=")</f>
        <v>#VALUE!</v>
      </c>
      <c r="AD179" t="e">
        <f>AND(Bills!K737,"AAAAAG4avh0=")</f>
        <v>#VALUE!</v>
      </c>
      <c r="AE179" t="e">
        <f>AND(Bills!L737,"AAAAAG4avh4=")</f>
        <v>#VALUE!</v>
      </c>
      <c r="AF179" t="e">
        <f>AND(Bills!#REF!,"AAAAAG4avh8=")</f>
        <v>#REF!</v>
      </c>
      <c r="AG179" t="e">
        <f>AND(Bills!M737,"AAAAAG4aviA=")</f>
        <v>#VALUE!</v>
      </c>
      <c r="AH179" t="e">
        <f>AND(Bills!N737,"AAAAAG4aviE=")</f>
        <v>#VALUE!</v>
      </c>
      <c r="AI179" t="e">
        <f>AND(Bills!O737,"AAAAAG4aviI=")</f>
        <v>#VALUE!</v>
      </c>
      <c r="AJ179" t="e">
        <f>AND(Bills!P737,"AAAAAG4aviM=")</f>
        <v>#VALUE!</v>
      </c>
      <c r="AK179" t="e">
        <f>AND(Bills!Q737,"AAAAAG4aviQ=")</f>
        <v>#VALUE!</v>
      </c>
      <c r="AL179" t="e">
        <f>AND(Bills!R737,"AAAAAG4aviU=")</f>
        <v>#VALUE!</v>
      </c>
      <c r="AM179" t="e">
        <f>AND(Bills!S737,"AAAAAG4aviY=")</f>
        <v>#VALUE!</v>
      </c>
      <c r="AN179" t="e">
        <f>AND(Bills!T737,"AAAAAG4avic=")</f>
        <v>#VALUE!</v>
      </c>
      <c r="AO179" t="e">
        <f>AND(Bills!#REF!,"AAAAAG4avig=")</f>
        <v>#REF!</v>
      </c>
      <c r="AP179" t="e">
        <f>AND(Bills!U737,"AAAAAG4avik=")</f>
        <v>#VALUE!</v>
      </c>
      <c r="AQ179" t="e">
        <f>AND(Bills!V737,"AAAAAG4avio=")</f>
        <v>#VALUE!</v>
      </c>
      <c r="AR179" t="e">
        <f>AND(Bills!W737,"AAAAAG4avis=")</f>
        <v>#VALUE!</v>
      </c>
      <c r="AS179" t="e">
        <f>AND(Bills!#REF!,"AAAAAG4aviw=")</f>
        <v>#REF!</v>
      </c>
      <c r="AT179" t="e">
        <f>AND(Bills!#REF!,"AAAAAG4avi0=")</f>
        <v>#REF!</v>
      </c>
      <c r="AU179" t="e">
        <f>AND(Bills!Y737,"AAAAAG4avi4=")</f>
        <v>#VALUE!</v>
      </c>
      <c r="AV179" t="e">
        <f>AND(Bills!Z737,"AAAAAG4avi8=")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AND(Bills!AA737,"AAAAAG4avjk=")</f>
        <v>#VALUE!</v>
      </c>
      <c r="BG179" t="e">
        <f>AND(Bills!AB737,"AAAAAG4avjo=")</f>
        <v>#VALUE!</v>
      </c>
      <c r="BH179" t="e">
        <f>AND(Bills!#REF!,"AAAAAG4avjs=")</f>
        <v>#REF!</v>
      </c>
      <c r="BI179" t="e">
        <f>AND(Bills!#REF!,"AAAAAG4avjw=")</f>
        <v>#REF!</v>
      </c>
      <c r="BJ179" t="e">
        <f>AND(Bills!#REF!,"AAAAAG4avj0=")</f>
        <v>#REF!</v>
      </c>
      <c r="BK179" t="e">
        <f>AND(Bills!AC737,"AAAAAG4avj4=")</f>
        <v>#VALUE!</v>
      </c>
      <c r="BL179" t="e">
        <f>AND(Bills!AD737,"AAAAAG4avj8=")</f>
        <v>#VALUE!</v>
      </c>
      <c r="BM179" t="e">
        <f>AND(Bills!#REF!,"AAAAAG4avkA=")</f>
        <v>#REF!</v>
      </c>
      <c r="BN179">
        <f>IF(Bills!738:738,"AAAAAG4avkE=",0)</f>
        <v>0</v>
      </c>
      <c r="BO179" t="e">
        <f>AND(Bills!B738,"AAAAAG4avkI=")</f>
        <v>#VALUE!</v>
      </c>
      <c r="BP179" t="e">
        <f>AND(Bills!#REF!,"AAAAAG4avkM=")</f>
        <v>#REF!</v>
      </c>
      <c r="BQ179" t="e">
        <f>AND(Bills!C738,"AAAAAG4avkQ=")</f>
        <v>#VALUE!</v>
      </c>
      <c r="BR179" t="e">
        <f>AND(Bills!D738,"AAAAAG4avkU=")</f>
        <v>#VALUE!</v>
      </c>
      <c r="BS179" t="e">
        <f>AND(Bills!E738,"AAAAAG4avkY=")</f>
        <v>#VALUE!</v>
      </c>
      <c r="BT179" t="e">
        <f>AND(Bills!#REF!,"AAAAAG4avkc=")</f>
        <v>#REF!</v>
      </c>
      <c r="BU179" t="e">
        <f>AND(Bills!#REF!,"AAAAAG4avkg=")</f>
        <v>#REF!</v>
      </c>
      <c r="BV179" t="e">
        <f>AND(Bills!#REF!,"AAAAAG4avkk=")</f>
        <v>#REF!</v>
      </c>
      <c r="BW179" t="e">
        <f>AND(Bills!F738,"AAAAAG4avko=")</f>
        <v>#VALUE!</v>
      </c>
      <c r="BX179" t="e">
        <f>AND(Bills!#REF!,"AAAAAG4avks=")</f>
        <v>#REF!</v>
      </c>
      <c r="BY179" t="e">
        <f>AND(Bills!G738,"AAAAAG4avkw=")</f>
        <v>#VALUE!</v>
      </c>
      <c r="BZ179" t="e">
        <f>AND(Bills!H738,"AAAAAG4avk0=")</f>
        <v>#VALUE!</v>
      </c>
      <c r="CA179" t="e">
        <f>AND(Bills!I738,"AAAAAG4avk4=")</f>
        <v>#VALUE!</v>
      </c>
      <c r="CB179" t="e">
        <f>AND(Bills!J738,"AAAAAG4avk8=")</f>
        <v>#VALUE!</v>
      </c>
      <c r="CC179" t="e">
        <f>AND(Bills!K738,"AAAAAG4avlA=")</f>
        <v>#VALUE!</v>
      </c>
      <c r="CD179" t="e">
        <f>AND(Bills!L738,"AAAAAG4avlE=")</f>
        <v>#VALUE!</v>
      </c>
      <c r="CE179" t="e">
        <f>AND(Bills!#REF!,"AAAAAG4avlI=")</f>
        <v>#REF!</v>
      </c>
      <c r="CF179" t="e">
        <f>AND(Bills!M738,"AAAAAG4avlM=")</f>
        <v>#VALUE!</v>
      </c>
      <c r="CG179" t="e">
        <f>AND(Bills!N738,"AAAAAG4avlQ=")</f>
        <v>#VALUE!</v>
      </c>
      <c r="CH179" t="e">
        <f>AND(Bills!O738,"AAAAAG4avlU=")</f>
        <v>#VALUE!</v>
      </c>
      <c r="CI179" t="e">
        <f>AND(Bills!P738,"AAAAAG4avlY=")</f>
        <v>#VALUE!</v>
      </c>
      <c r="CJ179" t="e">
        <f>AND(Bills!Q738,"AAAAAG4avlc=")</f>
        <v>#VALUE!</v>
      </c>
      <c r="CK179" t="e">
        <f>AND(Bills!R738,"AAAAAG4avlg=")</f>
        <v>#VALUE!</v>
      </c>
      <c r="CL179" t="e">
        <f>AND(Bills!S738,"AAAAAG4avlk=")</f>
        <v>#VALUE!</v>
      </c>
      <c r="CM179" t="e">
        <f>AND(Bills!T738,"AAAAAG4avlo=")</f>
        <v>#VALUE!</v>
      </c>
      <c r="CN179" t="e">
        <f>AND(Bills!#REF!,"AAAAAG4avls=")</f>
        <v>#REF!</v>
      </c>
      <c r="CO179" t="e">
        <f>AND(Bills!U738,"AAAAAG4avlw=")</f>
        <v>#VALUE!</v>
      </c>
      <c r="CP179" t="e">
        <f>AND(Bills!V738,"AAAAAG4avl0=")</f>
        <v>#VALUE!</v>
      </c>
      <c r="CQ179" t="e">
        <f>AND(Bills!W738,"AAAAAG4avl4=")</f>
        <v>#VALUE!</v>
      </c>
      <c r="CR179" t="e">
        <f>AND(Bills!#REF!,"AAAAAG4avl8=")</f>
        <v>#REF!</v>
      </c>
      <c r="CS179" t="e">
        <f>AND(Bills!#REF!,"AAAAAG4avmA=")</f>
        <v>#REF!</v>
      </c>
      <c r="CT179" t="e">
        <f>AND(Bills!Y738,"AAAAAG4avmE=")</f>
        <v>#VALUE!</v>
      </c>
      <c r="CU179" t="e">
        <f>AND(Bills!Z738,"AAAAAG4avmI=")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AND(Bills!AA738,"AAAAAG4avmw=")</f>
        <v>#VALUE!</v>
      </c>
      <c r="DF179" t="e">
        <f>AND(Bills!AB738,"AAAAAG4avm0=")</f>
        <v>#VALUE!</v>
      </c>
      <c r="DG179" t="e">
        <f>AND(Bills!#REF!,"AAAAAG4avm4=")</f>
        <v>#REF!</v>
      </c>
      <c r="DH179" t="e">
        <f>AND(Bills!#REF!,"AAAAAG4avm8=")</f>
        <v>#REF!</v>
      </c>
      <c r="DI179" t="e">
        <f>AND(Bills!#REF!,"AAAAAG4avnA=")</f>
        <v>#REF!</v>
      </c>
      <c r="DJ179" t="e">
        <f>AND(Bills!AC738,"AAAAAG4avnE=")</f>
        <v>#VALUE!</v>
      </c>
      <c r="DK179" t="e">
        <f>AND(Bills!AD738,"AAAAAG4avnI=")</f>
        <v>#VALUE!</v>
      </c>
      <c r="DL179" t="e">
        <f>AND(Bills!#REF!,"AAAAAG4avnM=")</f>
        <v>#REF!</v>
      </c>
      <c r="DM179">
        <f>IF(Bills!739:739,"AAAAAG4avnQ=",0)</f>
        <v>0</v>
      </c>
      <c r="DN179" t="e">
        <f>AND(Bills!B739,"AAAAAG4avnU=")</f>
        <v>#VALUE!</v>
      </c>
      <c r="DO179" t="e">
        <f>AND(Bills!#REF!,"AAAAAG4avnY=")</f>
        <v>#REF!</v>
      </c>
      <c r="DP179" t="e">
        <f>AND(Bills!C739,"AAAAAG4avnc=")</f>
        <v>#VALUE!</v>
      </c>
      <c r="DQ179" t="e">
        <f>AND(Bills!D739,"AAAAAG4avng=")</f>
        <v>#VALUE!</v>
      </c>
      <c r="DR179" t="e">
        <f>AND(Bills!E739,"AAAAAG4avnk=")</f>
        <v>#VALUE!</v>
      </c>
      <c r="DS179" t="e">
        <f>AND(Bills!#REF!,"AAAAAG4avno=")</f>
        <v>#REF!</v>
      </c>
      <c r="DT179" t="e">
        <f>AND(Bills!#REF!,"AAAAAG4avns=")</f>
        <v>#REF!</v>
      </c>
      <c r="DU179" t="e">
        <f>AND(Bills!#REF!,"AAAAAG4avnw=")</f>
        <v>#REF!</v>
      </c>
      <c r="DV179" t="e">
        <f>AND(Bills!F739,"AAAAAG4avn0=")</f>
        <v>#VALUE!</v>
      </c>
      <c r="DW179" t="e">
        <f>AND(Bills!#REF!,"AAAAAG4avn4=")</f>
        <v>#REF!</v>
      </c>
      <c r="DX179" t="e">
        <f>AND(Bills!G739,"AAAAAG4avn8=")</f>
        <v>#VALUE!</v>
      </c>
      <c r="DY179" t="e">
        <f>AND(Bills!H739,"AAAAAG4avoA=")</f>
        <v>#VALUE!</v>
      </c>
      <c r="DZ179" t="e">
        <f>AND(Bills!I739,"AAAAAG4avoE=")</f>
        <v>#VALUE!</v>
      </c>
      <c r="EA179" t="e">
        <f>AND(Bills!J739,"AAAAAG4avoI=")</f>
        <v>#VALUE!</v>
      </c>
      <c r="EB179" t="e">
        <f>AND(Bills!K739,"AAAAAG4avoM=")</f>
        <v>#VALUE!</v>
      </c>
      <c r="EC179" t="e">
        <f>AND(Bills!L739,"AAAAAG4avoQ=")</f>
        <v>#VALUE!</v>
      </c>
      <c r="ED179" t="e">
        <f>AND(Bills!#REF!,"AAAAAG4avoU=")</f>
        <v>#REF!</v>
      </c>
      <c r="EE179" t="e">
        <f>AND(Bills!M739,"AAAAAG4avoY=")</f>
        <v>#VALUE!</v>
      </c>
      <c r="EF179" t="e">
        <f>AND(Bills!N739,"AAAAAG4avoc=")</f>
        <v>#VALUE!</v>
      </c>
      <c r="EG179" t="e">
        <f>AND(Bills!O739,"AAAAAG4avog=")</f>
        <v>#VALUE!</v>
      </c>
      <c r="EH179" t="e">
        <f>AND(Bills!P739,"AAAAAG4avok=")</f>
        <v>#VALUE!</v>
      </c>
      <c r="EI179" t="e">
        <f>AND(Bills!Q739,"AAAAAG4avoo=")</f>
        <v>#VALUE!</v>
      </c>
      <c r="EJ179" t="e">
        <f>AND(Bills!R739,"AAAAAG4avos=")</f>
        <v>#VALUE!</v>
      </c>
      <c r="EK179" t="e">
        <f>AND(Bills!S739,"AAAAAG4avow=")</f>
        <v>#VALUE!</v>
      </c>
      <c r="EL179" t="e">
        <f>AND(Bills!T739,"AAAAAG4avo0=")</f>
        <v>#VALUE!</v>
      </c>
      <c r="EM179" t="e">
        <f>AND(Bills!#REF!,"AAAAAG4avo4=")</f>
        <v>#REF!</v>
      </c>
      <c r="EN179" t="e">
        <f>AND(Bills!U739,"AAAAAG4avo8=")</f>
        <v>#VALUE!</v>
      </c>
      <c r="EO179" t="e">
        <f>AND(Bills!V739,"AAAAAG4avpA=")</f>
        <v>#VALUE!</v>
      </c>
      <c r="EP179" t="e">
        <f>AND(Bills!W739,"AAAAAG4avpE=")</f>
        <v>#VALUE!</v>
      </c>
      <c r="EQ179" t="e">
        <f>AND(Bills!#REF!,"AAAAAG4avpI=")</f>
        <v>#REF!</v>
      </c>
      <c r="ER179" t="e">
        <f>AND(Bills!#REF!,"AAAAAG4avpM=")</f>
        <v>#REF!</v>
      </c>
      <c r="ES179" t="e">
        <f>AND(Bills!Y739,"AAAAAG4avpQ=")</f>
        <v>#VALUE!</v>
      </c>
      <c r="ET179" t="e">
        <f>AND(Bills!Z739,"AAAAAG4avpU=")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AND(Bills!AA739,"AAAAAG4avp8=")</f>
        <v>#VALUE!</v>
      </c>
      <c r="FE179" t="e">
        <f>AND(Bills!AB739,"AAAAAG4avqA=")</f>
        <v>#VALUE!</v>
      </c>
      <c r="FF179" t="e">
        <f>AND(Bills!#REF!,"AAAAAG4avqE=")</f>
        <v>#REF!</v>
      </c>
      <c r="FG179" t="e">
        <f>AND(Bills!#REF!,"AAAAAG4avqI=")</f>
        <v>#REF!</v>
      </c>
      <c r="FH179" t="e">
        <f>AND(Bills!#REF!,"AAAAAG4avqM=")</f>
        <v>#REF!</v>
      </c>
      <c r="FI179" t="e">
        <f>AND(Bills!AC739,"AAAAAG4avqQ=")</f>
        <v>#VALUE!</v>
      </c>
      <c r="FJ179" t="e">
        <f>AND(Bills!AD739,"AAAAAG4avqU=")</f>
        <v>#VALUE!</v>
      </c>
      <c r="FK179" t="e">
        <f>AND(Bills!#REF!,"AAAAAG4avqY=")</f>
        <v>#REF!</v>
      </c>
      <c r="FL179">
        <f>IF(Bills!740:740,"AAAAAG4avqc=",0)</f>
        <v>0</v>
      </c>
      <c r="FM179" t="e">
        <f>AND(Bills!B740,"AAAAAG4avqg=")</f>
        <v>#VALUE!</v>
      </c>
      <c r="FN179" t="e">
        <f>AND(Bills!#REF!,"AAAAAG4avqk=")</f>
        <v>#REF!</v>
      </c>
      <c r="FO179" t="e">
        <f>AND(Bills!C740,"AAAAAG4avqo=")</f>
        <v>#VALUE!</v>
      </c>
      <c r="FP179" t="e">
        <f>AND(Bills!D740,"AAAAAG4avqs=")</f>
        <v>#VALUE!</v>
      </c>
      <c r="FQ179" t="e">
        <f>AND(Bills!E740,"AAAAAG4avqw=")</f>
        <v>#VALUE!</v>
      </c>
      <c r="FR179" t="e">
        <f>AND(Bills!#REF!,"AAAAAG4avq0=")</f>
        <v>#REF!</v>
      </c>
      <c r="FS179" t="e">
        <f>AND(Bills!#REF!,"AAAAAG4avq4=")</f>
        <v>#REF!</v>
      </c>
      <c r="FT179" t="e">
        <f>AND(Bills!#REF!,"AAAAAG4avq8=")</f>
        <v>#REF!</v>
      </c>
      <c r="FU179" t="e">
        <f>AND(Bills!F740,"AAAAAG4avrA=")</f>
        <v>#VALUE!</v>
      </c>
      <c r="FV179" t="e">
        <f>AND(Bills!#REF!,"AAAAAG4avrE=")</f>
        <v>#REF!</v>
      </c>
      <c r="FW179" t="e">
        <f>AND(Bills!G740,"AAAAAG4avrI=")</f>
        <v>#VALUE!</v>
      </c>
      <c r="FX179" t="e">
        <f>AND(Bills!H740,"AAAAAG4avrM=")</f>
        <v>#VALUE!</v>
      </c>
      <c r="FY179" t="e">
        <f>AND(Bills!I740,"AAAAAG4avrQ=")</f>
        <v>#VALUE!</v>
      </c>
      <c r="FZ179" t="e">
        <f>AND(Bills!J740,"AAAAAG4avrU=")</f>
        <v>#VALUE!</v>
      </c>
      <c r="GA179" t="e">
        <f>AND(Bills!K740,"AAAAAG4avrY=")</f>
        <v>#VALUE!</v>
      </c>
      <c r="GB179" t="e">
        <f>AND(Bills!L740,"AAAAAG4avrc=")</f>
        <v>#VALUE!</v>
      </c>
      <c r="GC179" t="e">
        <f>AND(Bills!#REF!,"AAAAAG4avrg=")</f>
        <v>#REF!</v>
      </c>
      <c r="GD179" t="e">
        <f>AND(Bills!M740,"AAAAAG4avrk=")</f>
        <v>#VALUE!</v>
      </c>
      <c r="GE179" t="e">
        <f>AND(Bills!N740,"AAAAAG4avro=")</f>
        <v>#VALUE!</v>
      </c>
      <c r="GF179" t="e">
        <f>AND(Bills!O740,"AAAAAG4avrs=")</f>
        <v>#VALUE!</v>
      </c>
      <c r="GG179" t="e">
        <f>AND(Bills!P740,"AAAAAG4avrw=")</f>
        <v>#VALUE!</v>
      </c>
      <c r="GH179" t="e">
        <f>AND(Bills!Q740,"AAAAAG4avr0=")</f>
        <v>#VALUE!</v>
      </c>
      <c r="GI179" t="e">
        <f>AND(Bills!R740,"AAAAAG4avr4=")</f>
        <v>#VALUE!</v>
      </c>
      <c r="GJ179" t="e">
        <f>AND(Bills!S740,"AAAAAG4avr8=")</f>
        <v>#VALUE!</v>
      </c>
      <c r="GK179" t="e">
        <f>AND(Bills!T740,"AAAAAG4avsA=")</f>
        <v>#VALUE!</v>
      </c>
      <c r="GL179" t="e">
        <f>AND(Bills!#REF!,"AAAAAG4avsE=")</f>
        <v>#REF!</v>
      </c>
      <c r="GM179" t="e">
        <f>AND(Bills!U740,"AAAAAG4avsI=")</f>
        <v>#VALUE!</v>
      </c>
      <c r="GN179" t="e">
        <f>AND(Bills!V740,"AAAAAG4avsM=")</f>
        <v>#VALUE!</v>
      </c>
      <c r="GO179" t="e">
        <f>AND(Bills!W740,"AAAAAG4avsQ=")</f>
        <v>#VALUE!</v>
      </c>
      <c r="GP179" t="e">
        <f>AND(Bills!#REF!,"AAAAAG4avsU=")</f>
        <v>#REF!</v>
      </c>
      <c r="GQ179" t="e">
        <f>AND(Bills!#REF!,"AAAAAG4avsY=")</f>
        <v>#REF!</v>
      </c>
      <c r="GR179" t="e">
        <f>AND(Bills!Y740,"AAAAAG4avsc=")</f>
        <v>#VALUE!</v>
      </c>
      <c r="GS179" t="e">
        <f>AND(Bills!Z740,"AAAAAG4avsg=")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AND(Bills!AA740,"AAAAAG4avtI=")</f>
        <v>#VALUE!</v>
      </c>
      <c r="HD179" t="e">
        <f>AND(Bills!AB740,"AAAAAG4avtM=")</f>
        <v>#VALUE!</v>
      </c>
      <c r="HE179" t="e">
        <f>AND(Bills!#REF!,"AAAAAG4avtQ=")</f>
        <v>#REF!</v>
      </c>
      <c r="HF179" t="e">
        <f>AND(Bills!#REF!,"AAAAAG4avtU=")</f>
        <v>#REF!</v>
      </c>
      <c r="HG179" t="e">
        <f>AND(Bills!#REF!,"AAAAAG4avtY=")</f>
        <v>#REF!</v>
      </c>
      <c r="HH179" t="e">
        <f>AND(Bills!AC740,"AAAAAG4avtc=")</f>
        <v>#VALUE!</v>
      </c>
      <c r="HI179" t="e">
        <f>AND(Bills!AD740,"AAAAAG4avtg=")</f>
        <v>#VALUE!</v>
      </c>
      <c r="HJ179" t="e">
        <f>AND(Bills!#REF!,"AAAAAG4avtk=")</f>
        <v>#REF!</v>
      </c>
      <c r="HK179">
        <f>IF(Bills!741:741,"AAAAAG4avto=",0)</f>
        <v>0</v>
      </c>
      <c r="HL179" t="e">
        <f>AND(Bills!B741,"AAAAAG4avts=")</f>
        <v>#VALUE!</v>
      </c>
      <c r="HM179" t="e">
        <f>AND(Bills!#REF!,"AAAAAG4avtw=")</f>
        <v>#REF!</v>
      </c>
      <c r="HN179" t="e">
        <f>AND(Bills!C741,"AAAAAG4avt0=")</f>
        <v>#VALUE!</v>
      </c>
      <c r="HO179" t="e">
        <f>AND(Bills!D741,"AAAAAG4avt4=")</f>
        <v>#VALUE!</v>
      </c>
      <c r="HP179" t="e">
        <f>AND(Bills!E741,"AAAAAG4avt8=")</f>
        <v>#VALUE!</v>
      </c>
      <c r="HQ179" t="e">
        <f>AND(Bills!#REF!,"AAAAAG4avuA=")</f>
        <v>#REF!</v>
      </c>
      <c r="HR179" t="e">
        <f>AND(Bills!#REF!,"AAAAAG4avuE=")</f>
        <v>#REF!</v>
      </c>
      <c r="HS179" t="e">
        <f>AND(Bills!#REF!,"AAAAAG4avuI=")</f>
        <v>#REF!</v>
      </c>
      <c r="HT179" t="e">
        <f>AND(Bills!F741,"AAAAAG4avuM=")</f>
        <v>#VALUE!</v>
      </c>
      <c r="HU179" t="e">
        <f>AND(Bills!#REF!,"AAAAAG4avuQ=")</f>
        <v>#REF!</v>
      </c>
      <c r="HV179" t="e">
        <f>AND(Bills!G741,"AAAAAG4avuU=")</f>
        <v>#VALUE!</v>
      </c>
      <c r="HW179" t="e">
        <f>AND(Bills!H741,"AAAAAG4avuY=")</f>
        <v>#VALUE!</v>
      </c>
      <c r="HX179" t="e">
        <f>AND(Bills!I741,"AAAAAG4avuc=")</f>
        <v>#VALUE!</v>
      </c>
      <c r="HY179" t="e">
        <f>AND(Bills!J741,"AAAAAG4avug=")</f>
        <v>#VALUE!</v>
      </c>
      <c r="HZ179" t="e">
        <f>AND(Bills!K741,"AAAAAG4avuk=")</f>
        <v>#VALUE!</v>
      </c>
      <c r="IA179" t="e">
        <f>AND(Bills!L741,"AAAAAG4avuo=")</f>
        <v>#VALUE!</v>
      </c>
      <c r="IB179" t="e">
        <f>AND(Bills!#REF!,"AAAAAG4avus=")</f>
        <v>#REF!</v>
      </c>
      <c r="IC179" t="e">
        <f>AND(Bills!M741,"AAAAAG4avuw=")</f>
        <v>#VALUE!</v>
      </c>
      <c r="ID179" t="e">
        <f>AND(Bills!N741,"AAAAAG4avu0=")</f>
        <v>#VALUE!</v>
      </c>
      <c r="IE179" t="e">
        <f>AND(Bills!O741,"AAAAAG4avu4=")</f>
        <v>#VALUE!</v>
      </c>
      <c r="IF179" t="e">
        <f>AND(Bills!P741,"AAAAAG4avu8=")</f>
        <v>#VALUE!</v>
      </c>
      <c r="IG179" t="e">
        <f>AND(Bills!Q741,"AAAAAG4avvA=")</f>
        <v>#VALUE!</v>
      </c>
      <c r="IH179" t="e">
        <f>AND(Bills!R741,"AAAAAG4avvE=")</f>
        <v>#VALUE!</v>
      </c>
      <c r="II179" t="e">
        <f>AND(Bills!S741,"AAAAAG4avvI=")</f>
        <v>#VALUE!</v>
      </c>
      <c r="IJ179" t="e">
        <f>AND(Bills!T741,"AAAAAG4avvM=")</f>
        <v>#VALUE!</v>
      </c>
      <c r="IK179" t="e">
        <f>AND(Bills!#REF!,"AAAAAG4avvQ=")</f>
        <v>#REF!</v>
      </c>
      <c r="IL179" t="e">
        <f>AND(Bills!U741,"AAAAAG4avvU=")</f>
        <v>#VALUE!</v>
      </c>
      <c r="IM179" t="e">
        <f>AND(Bills!V741,"AAAAAG4avvY=")</f>
        <v>#VALUE!</v>
      </c>
      <c r="IN179" t="e">
        <f>AND(Bills!W741,"AAAAAG4avvc=")</f>
        <v>#VALUE!</v>
      </c>
      <c r="IO179" t="e">
        <f>AND(Bills!#REF!,"AAAAAG4avvg=")</f>
        <v>#REF!</v>
      </c>
      <c r="IP179" t="e">
        <f>AND(Bills!#REF!,"AAAAAG4avvk=")</f>
        <v>#REF!</v>
      </c>
      <c r="IQ179" t="e">
        <f>AND(Bills!Y741,"AAAAAG4avvo=")</f>
        <v>#VALUE!</v>
      </c>
      <c r="IR179" t="e">
        <f>AND(Bills!Z741,"AAAAAG4avvs=")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AND(Bills!AA741,"AAAAAH/ZvwU=")</f>
        <v>#VALUE!</v>
      </c>
      <c r="G180" t="e">
        <f>AND(Bills!AB741,"AAAAAH/ZvwY=")</f>
        <v>#VALUE!</v>
      </c>
      <c r="H180" t="e">
        <f>AND(Bills!#REF!,"AAAAAH/Zvwc=")</f>
        <v>#REF!</v>
      </c>
      <c r="I180" t="e">
        <f>AND(Bills!#REF!,"AAAAAH/Zvwg=")</f>
        <v>#REF!</v>
      </c>
      <c r="J180" t="e">
        <f>AND(Bills!#REF!,"AAAAAH/Zvwk=")</f>
        <v>#REF!</v>
      </c>
      <c r="K180" t="e">
        <f>AND(Bills!AC741,"AAAAAH/Zvwo=")</f>
        <v>#VALUE!</v>
      </c>
      <c r="L180" t="e">
        <f>AND(Bills!AD741,"AAAAAH/Zvws=")</f>
        <v>#VALUE!</v>
      </c>
      <c r="M180" t="e">
        <f>AND(Bills!#REF!,"AAAAAH/Zvww=")</f>
        <v>#REF!</v>
      </c>
      <c r="N180">
        <f>IF(Bills!742:742,"AAAAAH/Zvw0=",0)</f>
        <v>0</v>
      </c>
      <c r="O180" t="e">
        <f>AND(Bills!B742,"AAAAAH/Zvw4=")</f>
        <v>#VALUE!</v>
      </c>
      <c r="P180" t="e">
        <f>AND(Bills!#REF!,"AAAAAH/Zvw8=")</f>
        <v>#REF!</v>
      </c>
      <c r="Q180" t="e">
        <f>AND(Bills!C742,"AAAAAH/ZvxA=")</f>
        <v>#VALUE!</v>
      </c>
      <c r="R180" t="e">
        <f>AND(Bills!D742,"AAAAAH/ZvxE=")</f>
        <v>#VALUE!</v>
      </c>
      <c r="S180" t="e">
        <f>AND(Bills!E742,"AAAAAH/ZvxI=")</f>
        <v>#VALUE!</v>
      </c>
      <c r="T180" t="e">
        <f>AND(Bills!#REF!,"AAAAAH/ZvxM=")</f>
        <v>#REF!</v>
      </c>
      <c r="U180" t="e">
        <f>AND(Bills!#REF!,"AAAAAH/ZvxQ=")</f>
        <v>#REF!</v>
      </c>
      <c r="V180" t="e">
        <f>AND(Bills!#REF!,"AAAAAH/ZvxU=")</f>
        <v>#REF!</v>
      </c>
      <c r="W180" t="e">
        <f>AND(Bills!F742,"AAAAAH/ZvxY=")</f>
        <v>#VALUE!</v>
      </c>
      <c r="X180" t="e">
        <f>AND(Bills!#REF!,"AAAAAH/Zvxc=")</f>
        <v>#REF!</v>
      </c>
      <c r="Y180" t="e">
        <f>AND(Bills!G742,"AAAAAH/Zvxg=")</f>
        <v>#VALUE!</v>
      </c>
      <c r="Z180" t="e">
        <f>AND(Bills!H742,"AAAAAH/Zvxk=")</f>
        <v>#VALUE!</v>
      </c>
      <c r="AA180" t="e">
        <f>AND(Bills!I742,"AAAAAH/Zvxo=")</f>
        <v>#VALUE!</v>
      </c>
      <c r="AB180" t="e">
        <f>AND(Bills!J742,"AAAAAH/Zvxs=")</f>
        <v>#VALUE!</v>
      </c>
      <c r="AC180" t="e">
        <f>AND(Bills!K742,"AAAAAH/Zvxw=")</f>
        <v>#VALUE!</v>
      </c>
      <c r="AD180" t="e">
        <f>AND(Bills!L742,"AAAAAH/Zvx0=")</f>
        <v>#VALUE!</v>
      </c>
      <c r="AE180" t="e">
        <f>AND(Bills!#REF!,"AAAAAH/Zvx4=")</f>
        <v>#REF!</v>
      </c>
      <c r="AF180" t="e">
        <f>AND(Bills!M742,"AAAAAH/Zvx8=")</f>
        <v>#VALUE!</v>
      </c>
      <c r="AG180" t="e">
        <f>AND(Bills!N742,"AAAAAH/ZvyA=")</f>
        <v>#VALUE!</v>
      </c>
      <c r="AH180" t="e">
        <f>AND(Bills!O742,"AAAAAH/ZvyE=")</f>
        <v>#VALUE!</v>
      </c>
      <c r="AI180" t="e">
        <f>AND(Bills!P742,"AAAAAH/ZvyI=")</f>
        <v>#VALUE!</v>
      </c>
      <c r="AJ180" t="e">
        <f>AND(Bills!Q742,"AAAAAH/ZvyM=")</f>
        <v>#VALUE!</v>
      </c>
      <c r="AK180" t="e">
        <f>AND(Bills!R742,"AAAAAH/ZvyQ=")</f>
        <v>#VALUE!</v>
      </c>
      <c r="AL180" t="e">
        <f>AND(Bills!S742,"AAAAAH/ZvyU=")</f>
        <v>#VALUE!</v>
      </c>
      <c r="AM180" t="e">
        <f>AND(Bills!T742,"AAAAAH/ZvyY=")</f>
        <v>#VALUE!</v>
      </c>
      <c r="AN180" t="e">
        <f>AND(Bills!#REF!,"AAAAAH/Zvyc=")</f>
        <v>#REF!</v>
      </c>
      <c r="AO180" t="e">
        <f>AND(Bills!U742,"AAAAAH/Zvyg=")</f>
        <v>#VALUE!</v>
      </c>
      <c r="AP180" t="e">
        <f>AND(Bills!V742,"AAAAAH/Zvyk=")</f>
        <v>#VALUE!</v>
      </c>
      <c r="AQ180" t="e">
        <f>AND(Bills!W742,"AAAAAH/Zvyo=")</f>
        <v>#VALUE!</v>
      </c>
      <c r="AR180" t="e">
        <f>AND(Bills!#REF!,"AAAAAH/Zvys=")</f>
        <v>#REF!</v>
      </c>
      <c r="AS180" t="e">
        <f>AND(Bills!#REF!,"AAAAAH/Zvyw=")</f>
        <v>#REF!</v>
      </c>
      <c r="AT180" t="e">
        <f>AND(Bills!Y742,"AAAAAH/Zvy0=")</f>
        <v>#VALUE!</v>
      </c>
      <c r="AU180" t="e">
        <f>AND(Bills!Z742,"AAAAAH/Zvy4=")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AND(Bills!AA742,"AAAAAH/Zvzg=")</f>
        <v>#VALUE!</v>
      </c>
      <c r="BF180" t="e">
        <f>AND(Bills!AB742,"AAAAAH/Zvzk=")</f>
        <v>#VALUE!</v>
      </c>
      <c r="BG180" t="e">
        <f>AND(Bills!#REF!,"AAAAAH/Zvzo=")</f>
        <v>#REF!</v>
      </c>
      <c r="BH180" t="e">
        <f>AND(Bills!#REF!,"AAAAAH/Zvzs=")</f>
        <v>#REF!</v>
      </c>
      <c r="BI180" t="e">
        <f>AND(Bills!#REF!,"AAAAAH/Zvzw=")</f>
        <v>#REF!</v>
      </c>
      <c r="BJ180" t="e">
        <f>AND(Bills!AC742,"AAAAAH/Zvz0=")</f>
        <v>#VALUE!</v>
      </c>
      <c r="BK180" t="e">
        <f>AND(Bills!AD742,"AAAAAH/Zvz4=")</f>
        <v>#VALUE!</v>
      </c>
      <c r="BL180" t="e">
        <f>AND(Bills!#REF!,"AAAAAH/Zvz8=")</f>
        <v>#REF!</v>
      </c>
      <c r="BM180">
        <f>IF(Bills!743:743,"AAAAAH/Zv0A=",0)</f>
        <v>0</v>
      </c>
      <c r="BN180" t="e">
        <f>AND(Bills!B743,"AAAAAH/Zv0E=")</f>
        <v>#VALUE!</v>
      </c>
      <c r="BO180" t="e">
        <f>AND(Bills!#REF!,"AAAAAH/Zv0I=")</f>
        <v>#REF!</v>
      </c>
      <c r="BP180" t="e">
        <f>AND(Bills!C743,"AAAAAH/Zv0M=")</f>
        <v>#VALUE!</v>
      </c>
      <c r="BQ180" t="e">
        <f>AND(Bills!D743,"AAAAAH/Zv0Q=")</f>
        <v>#VALUE!</v>
      </c>
      <c r="BR180" t="e">
        <f>AND(Bills!E743,"AAAAAH/Zv0U=")</f>
        <v>#VALUE!</v>
      </c>
      <c r="BS180" t="e">
        <f>AND(Bills!#REF!,"AAAAAH/Zv0Y=")</f>
        <v>#REF!</v>
      </c>
      <c r="BT180" t="e">
        <f>AND(Bills!#REF!,"AAAAAH/Zv0c=")</f>
        <v>#REF!</v>
      </c>
      <c r="BU180" t="e">
        <f>AND(Bills!#REF!,"AAAAAH/Zv0g=")</f>
        <v>#REF!</v>
      </c>
      <c r="BV180" t="e">
        <f>AND(Bills!F743,"AAAAAH/Zv0k=")</f>
        <v>#VALUE!</v>
      </c>
      <c r="BW180" t="e">
        <f>AND(Bills!#REF!,"AAAAAH/Zv0o=")</f>
        <v>#REF!</v>
      </c>
      <c r="BX180" t="e">
        <f>AND(Bills!G743,"AAAAAH/Zv0s=")</f>
        <v>#VALUE!</v>
      </c>
      <c r="BY180" t="e">
        <f>AND(Bills!H743,"AAAAAH/Zv0w=")</f>
        <v>#VALUE!</v>
      </c>
      <c r="BZ180" t="e">
        <f>AND(Bills!I743,"AAAAAH/Zv00=")</f>
        <v>#VALUE!</v>
      </c>
      <c r="CA180" t="e">
        <f>AND(Bills!J743,"AAAAAH/Zv04=")</f>
        <v>#VALUE!</v>
      </c>
      <c r="CB180" t="e">
        <f>AND(Bills!K743,"AAAAAH/Zv08=")</f>
        <v>#VALUE!</v>
      </c>
      <c r="CC180" t="e">
        <f>AND(Bills!L743,"AAAAAH/Zv1A=")</f>
        <v>#VALUE!</v>
      </c>
      <c r="CD180" t="e">
        <f>AND(Bills!#REF!,"AAAAAH/Zv1E=")</f>
        <v>#REF!</v>
      </c>
      <c r="CE180" t="e">
        <f>AND(Bills!M743,"AAAAAH/Zv1I=")</f>
        <v>#VALUE!</v>
      </c>
      <c r="CF180" t="e">
        <f>AND(Bills!N743,"AAAAAH/Zv1M=")</f>
        <v>#VALUE!</v>
      </c>
      <c r="CG180" t="e">
        <f>AND(Bills!O743,"AAAAAH/Zv1Q=")</f>
        <v>#VALUE!</v>
      </c>
      <c r="CH180" t="e">
        <f>AND(Bills!P743,"AAAAAH/Zv1U=")</f>
        <v>#VALUE!</v>
      </c>
      <c r="CI180" t="e">
        <f>AND(Bills!Q743,"AAAAAH/Zv1Y=")</f>
        <v>#VALUE!</v>
      </c>
      <c r="CJ180" t="e">
        <f>AND(Bills!R743,"AAAAAH/Zv1c=")</f>
        <v>#VALUE!</v>
      </c>
      <c r="CK180" t="e">
        <f>AND(Bills!S743,"AAAAAH/Zv1g=")</f>
        <v>#VALUE!</v>
      </c>
      <c r="CL180" t="e">
        <f>AND(Bills!T743,"AAAAAH/Zv1k=")</f>
        <v>#VALUE!</v>
      </c>
      <c r="CM180" t="e">
        <f>AND(Bills!#REF!,"AAAAAH/Zv1o=")</f>
        <v>#REF!</v>
      </c>
      <c r="CN180" t="e">
        <f>AND(Bills!U743,"AAAAAH/Zv1s=")</f>
        <v>#VALUE!</v>
      </c>
      <c r="CO180" t="e">
        <f>AND(Bills!V743,"AAAAAH/Zv1w=")</f>
        <v>#VALUE!</v>
      </c>
      <c r="CP180" t="e">
        <f>AND(Bills!W743,"AAAAAH/Zv10=")</f>
        <v>#VALUE!</v>
      </c>
      <c r="CQ180" t="e">
        <f>AND(Bills!#REF!,"AAAAAH/Zv14=")</f>
        <v>#REF!</v>
      </c>
      <c r="CR180" t="e">
        <f>AND(Bills!#REF!,"AAAAAH/Zv18=")</f>
        <v>#REF!</v>
      </c>
      <c r="CS180" t="e">
        <f>AND(Bills!Y743,"AAAAAH/Zv2A=")</f>
        <v>#VALUE!</v>
      </c>
      <c r="CT180" t="e">
        <f>AND(Bills!Z743,"AAAAAH/Zv2E=")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AND(Bills!AA743,"AAAAAH/Zv2s=")</f>
        <v>#VALUE!</v>
      </c>
      <c r="DE180" t="e">
        <f>AND(Bills!AB743,"AAAAAH/Zv2w=")</f>
        <v>#VALUE!</v>
      </c>
      <c r="DF180" t="e">
        <f>AND(Bills!#REF!,"AAAAAH/Zv20=")</f>
        <v>#REF!</v>
      </c>
      <c r="DG180" t="e">
        <f>AND(Bills!#REF!,"AAAAAH/Zv24=")</f>
        <v>#REF!</v>
      </c>
      <c r="DH180" t="e">
        <f>AND(Bills!#REF!,"AAAAAH/Zv28=")</f>
        <v>#REF!</v>
      </c>
      <c r="DI180" t="e">
        <f>AND(Bills!AC743,"AAAAAH/Zv3A=")</f>
        <v>#VALUE!</v>
      </c>
      <c r="DJ180" t="e">
        <f>AND(Bills!AD743,"AAAAAH/Zv3E=")</f>
        <v>#VALUE!</v>
      </c>
      <c r="DK180" t="e">
        <f>AND(Bills!#REF!,"AAAAAH/Zv3I=")</f>
        <v>#REF!</v>
      </c>
      <c r="DL180">
        <f>IF(Bills!744:744,"AAAAAH/Zv3M=",0)</f>
        <v>0</v>
      </c>
      <c r="DM180" t="e">
        <f>AND(Bills!B744,"AAAAAH/Zv3Q=")</f>
        <v>#VALUE!</v>
      </c>
      <c r="DN180" t="e">
        <f>AND(Bills!#REF!,"AAAAAH/Zv3U=")</f>
        <v>#REF!</v>
      </c>
      <c r="DO180" t="e">
        <f>AND(Bills!C744,"AAAAAH/Zv3Y=")</f>
        <v>#VALUE!</v>
      </c>
      <c r="DP180" t="e">
        <f>AND(Bills!D744,"AAAAAH/Zv3c=")</f>
        <v>#VALUE!</v>
      </c>
      <c r="DQ180" t="e">
        <f>AND(Bills!E744,"AAAAAH/Zv3g=")</f>
        <v>#VALUE!</v>
      </c>
      <c r="DR180" t="e">
        <f>AND(Bills!#REF!,"AAAAAH/Zv3k=")</f>
        <v>#REF!</v>
      </c>
      <c r="DS180" t="e">
        <f>AND(Bills!#REF!,"AAAAAH/Zv3o=")</f>
        <v>#REF!</v>
      </c>
      <c r="DT180" t="e">
        <f>AND(Bills!#REF!,"AAAAAH/Zv3s=")</f>
        <v>#REF!</v>
      </c>
      <c r="DU180" t="e">
        <f>AND(Bills!F744,"AAAAAH/Zv3w=")</f>
        <v>#VALUE!</v>
      </c>
      <c r="DV180" t="e">
        <f>AND(Bills!#REF!,"AAAAAH/Zv30=")</f>
        <v>#REF!</v>
      </c>
      <c r="DW180" t="e">
        <f>AND(Bills!G744,"AAAAAH/Zv34=")</f>
        <v>#VALUE!</v>
      </c>
      <c r="DX180" t="e">
        <f>AND(Bills!H744,"AAAAAH/Zv38=")</f>
        <v>#VALUE!</v>
      </c>
      <c r="DY180" t="e">
        <f>AND(Bills!I744,"AAAAAH/Zv4A=")</f>
        <v>#VALUE!</v>
      </c>
      <c r="DZ180" t="e">
        <f>AND(Bills!J744,"AAAAAH/Zv4E=")</f>
        <v>#VALUE!</v>
      </c>
      <c r="EA180" t="e">
        <f>AND(Bills!K744,"AAAAAH/Zv4I=")</f>
        <v>#VALUE!</v>
      </c>
      <c r="EB180" t="e">
        <f>AND(Bills!L744,"AAAAAH/Zv4M=")</f>
        <v>#VALUE!</v>
      </c>
      <c r="EC180" t="e">
        <f>AND(Bills!#REF!,"AAAAAH/Zv4Q=")</f>
        <v>#REF!</v>
      </c>
      <c r="ED180" t="e">
        <f>AND(Bills!M744,"AAAAAH/Zv4U=")</f>
        <v>#VALUE!</v>
      </c>
      <c r="EE180" t="e">
        <f>AND(Bills!N744,"AAAAAH/Zv4Y=")</f>
        <v>#VALUE!</v>
      </c>
      <c r="EF180" t="e">
        <f>AND(Bills!O744,"AAAAAH/Zv4c=")</f>
        <v>#VALUE!</v>
      </c>
      <c r="EG180" t="e">
        <f>AND(Bills!P744,"AAAAAH/Zv4g=")</f>
        <v>#VALUE!</v>
      </c>
      <c r="EH180" t="e">
        <f>AND(Bills!Q744,"AAAAAH/Zv4k=")</f>
        <v>#VALUE!</v>
      </c>
      <c r="EI180" t="e">
        <f>AND(Bills!R744,"AAAAAH/Zv4o=")</f>
        <v>#VALUE!</v>
      </c>
      <c r="EJ180" t="e">
        <f>AND(Bills!S744,"AAAAAH/Zv4s=")</f>
        <v>#VALUE!</v>
      </c>
      <c r="EK180" t="e">
        <f>AND(Bills!T744,"AAAAAH/Zv4w=")</f>
        <v>#VALUE!</v>
      </c>
      <c r="EL180" t="e">
        <f>AND(Bills!#REF!,"AAAAAH/Zv40=")</f>
        <v>#REF!</v>
      </c>
      <c r="EM180" t="e">
        <f>AND(Bills!U744,"AAAAAH/Zv44=")</f>
        <v>#VALUE!</v>
      </c>
      <c r="EN180" t="e">
        <f>AND(Bills!V744,"AAAAAH/Zv48=")</f>
        <v>#VALUE!</v>
      </c>
      <c r="EO180" t="e">
        <f>AND(Bills!W744,"AAAAAH/Zv5A=")</f>
        <v>#VALUE!</v>
      </c>
      <c r="EP180" t="e">
        <f>AND(Bills!#REF!,"AAAAAH/Zv5E=")</f>
        <v>#REF!</v>
      </c>
      <c r="EQ180" t="e">
        <f>AND(Bills!#REF!,"AAAAAH/Zv5I=")</f>
        <v>#REF!</v>
      </c>
      <c r="ER180" t="e">
        <f>AND(Bills!Y744,"AAAAAH/Zv5M=")</f>
        <v>#VALUE!</v>
      </c>
      <c r="ES180" t="e">
        <f>AND(Bills!Z744,"AAAAAH/Zv5Q=")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AND(Bills!AA744,"AAAAAH/Zv54=")</f>
        <v>#VALUE!</v>
      </c>
      <c r="FD180" t="e">
        <f>AND(Bills!AB744,"AAAAAH/Zv58=")</f>
        <v>#VALUE!</v>
      </c>
      <c r="FE180" t="e">
        <f>AND(Bills!#REF!,"AAAAAH/Zv6A=")</f>
        <v>#REF!</v>
      </c>
      <c r="FF180" t="e">
        <f>AND(Bills!#REF!,"AAAAAH/Zv6E=")</f>
        <v>#REF!</v>
      </c>
      <c r="FG180" t="e">
        <f>AND(Bills!#REF!,"AAAAAH/Zv6I=")</f>
        <v>#REF!</v>
      </c>
      <c r="FH180" t="e">
        <f>AND(Bills!AC744,"AAAAAH/Zv6M=")</f>
        <v>#VALUE!</v>
      </c>
      <c r="FI180" t="e">
        <f>AND(Bills!AD744,"AAAAAH/Zv6Q=")</f>
        <v>#VALUE!</v>
      </c>
      <c r="FJ180" t="e">
        <f>AND(Bills!#REF!,"AAAAAH/Zv6U=")</f>
        <v>#REF!</v>
      </c>
      <c r="FK180">
        <f>IF(Bills!745:745,"AAAAAH/Zv6Y=",0)</f>
        <v>0</v>
      </c>
      <c r="FL180" t="e">
        <f>AND(Bills!B745,"AAAAAH/Zv6c=")</f>
        <v>#VALUE!</v>
      </c>
      <c r="FM180" t="e">
        <f>AND(Bills!#REF!,"AAAAAH/Zv6g=")</f>
        <v>#REF!</v>
      </c>
      <c r="FN180" t="e">
        <f>AND(Bills!C745,"AAAAAH/Zv6k=")</f>
        <v>#VALUE!</v>
      </c>
      <c r="FO180" t="e">
        <f>AND(Bills!D745,"AAAAAH/Zv6o=")</f>
        <v>#VALUE!</v>
      </c>
      <c r="FP180" t="e">
        <f>AND(Bills!E745,"AAAAAH/Zv6s=")</f>
        <v>#VALUE!</v>
      </c>
      <c r="FQ180" t="e">
        <f>AND(Bills!#REF!,"AAAAAH/Zv6w=")</f>
        <v>#REF!</v>
      </c>
      <c r="FR180" t="e">
        <f>AND(Bills!#REF!,"AAAAAH/Zv60=")</f>
        <v>#REF!</v>
      </c>
      <c r="FS180" t="e">
        <f>AND(Bills!#REF!,"AAAAAH/Zv64=")</f>
        <v>#REF!</v>
      </c>
      <c r="FT180" t="e">
        <f>AND(Bills!F745,"AAAAAH/Zv68=")</f>
        <v>#VALUE!</v>
      </c>
      <c r="FU180" t="e">
        <f>AND(Bills!#REF!,"AAAAAH/Zv7A=")</f>
        <v>#REF!</v>
      </c>
      <c r="FV180" t="e">
        <f>AND(Bills!G745,"AAAAAH/Zv7E=")</f>
        <v>#VALUE!</v>
      </c>
      <c r="FW180" t="e">
        <f>AND(Bills!H745,"AAAAAH/Zv7I=")</f>
        <v>#VALUE!</v>
      </c>
      <c r="FX180" t="e">
        <f>AND(Bills!I745,"AAAAAH/Zv7M=")</f>
        <v>#VALUE!</v>
      </c>
      <c r="FY180" t="e">
        <f>AND(Bills!J745,"AAAAAH/Zv7Q=")</f>
        <v>#VALUE!</v>
      </c>
      <c r="FZ180" t="e">
        <f>AND(Bills!K745,"AAAAAH/Zv7U=")</f>
        <v>#VALUE!</v>
      </c>
      <c r="GA180" t="e">
        <f>AND(Bills!L745,"AAAAAH/Zv7Y=")</f>
        <v>#VALUE!</v>
      </c>
      <c r="GB180" t="e">
        <f>AND(Bills!#REF!,"AAAAAH/Zv7c=")</f>
        <v>#REF!</v>
      </c>
      <c r="GC180" t="e">
        <f>AND(Bills!M745,"AAAAAH/Zv7g=")</f>
        <v>#VALUE!</v>
      </c>
      <c r="GD180" t="e">
        <f>AND(Bills!N745,"AAAAAH/Zv7k=")</f>
        <v>#VALUE!</v>
      </c>
      <c r="GE180" t="e">
        <f>AND(Bills!O745,"AAAAAH/Zv7o=")</f>
        <v>#VALUE!</v>
      </c>
      <c r="GF180" t="e">
        <f>AND(Bills!P745,"AAAAAH/Zv7s=")</f>
        <v>#VALUE!</v>
      </c>
      <c r="GG180" t="e">
        <f>AND(Bills!Q745,"AAAAAH/Zv7w=")</f>
        <v>#VALUE!</v>
      </c>
      <c r="GH180" t="e">
        <f>AND(Bills!R745,"AAAAAH/Zv70=")</f>
        <v>#VALUE!</v>
      </c>
      <c r="GI180" t="e">
        <f>AND(Bills!S745,"AAAAAH/Zv74=")</f>
        <v>#VALUE!</v>
      </c>
      <c r="GJ180" t="e">
        <f>AND(Bills!T745,"AAAAAH/Zv78=")</f>
        <v>#VALUE!</v>
      </c>
      <c r="GK180" t="e">
        <f>AND(Bills!#REF!,"AAAAAH/Zv8A=")</f>
        <v>#REF!</v>
      </c>
      <c r="GL180" t="e">
        <f>AND(Bills!U745,"AAAAAH/Zv8E=")</f>
        <v>#VALUE!</v>
      </c>
      <c r="GM180" t="e">
        <f>AND(Bills!V745,"AAAAAH/Zv8I=")</f>
        <v>#VALUE!</v>
      </c>
      <c r="GN180" t="e">
        <f>AND(Bills!W745,"AAAAAH/Zv8M=")</f>
        <v>#VALUE!</v>
      </c>
      <c r="GO180" t="e">
        <f>AND(Bills!#REF!,"AAAAAH/Zv8Q=")</f>
        <v>#REF!</v>
      </c>
      <c r="GP180" t="e">
        <f>AND(Bills!#REF!,"AAAAAH/Zv8U=")</f>
        <v>#REF!</v>
      </c>
      <c r="GQ180" t="e">
        <f>AND(Bills!Y745,"AAAAAH/Zv8Y=")</f>
        <v>#VALUE!</v>
      </c>
      <c r="GR180" t="e">
        <f>AND(Bills!Z745,"AAAAAH/Zv8c=")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AND(Bills!AA745,"AAAAAH/Zv9E=")</f>
        <v>#VALUE!</v>
      </c>
      <c r="HC180" t="e">
        <f>AND(Bills!AB745,"AAAAAH/Zv9I=")</f>
        <v>#VALUE!</v>
      </c>
      <c r="HD180" t="e">
        <f>AND(Bills!#REF!,"AAAAAH/Zv9M=")</f>
        <v>#REF!</v>
      </c>
      <c r="HE180" t="e">
        <f>AND(Bills!#REF!,"AAAAAH/Zv9Q=")</f>
        <v>#REF!</v>
      </c>
      <c r="HF180" t="e">
        <f>AND(Bills!#REF!,"AAAAAH/Zv9U=")</f>
        <v>#REF!</v>
      </c>
      <c r="HG180" t="e">
        <f>AND(Bills!AC745,"AAAAAH/Zv9Y=")</f>
        <v>#VALUE!</v>
      </c>
      <c r="HH180" t="e">
        <f>AND(Bills!AD745,"AAAAAH/Zv9c=")</f>
        <v>#VALUE!</v>
      </c>
      <c r="HI180" t="e">
        <f>AND(Bills!#REF!,"AAAAAH/Zv9g=")</f>
        <v>#REF!</v>
      </c>
      <c r="HJ180">
        <f>IF(Bills!746:746,"AAAAAH/Zv9k=",0)</f>
        <v>0</v>
      </c>
      <c r="HK180" t="e">
        <f>AND(Bills!B746,"AAAAAH/Zv9o=")</f>
        <v>#VALUE!</v>
      </c>
      <c r="HL180" t="e">
        <f>AND(Bills!#REF!,"AAAAAH/Zv9s=")</f>
        <v>#REF!</v>
      </c>
      <c r="HM180" t="e">
        <f>AND(Bills!C746,"AAAAAH/Zv9w=")</f>
        <v>#VALUE!</v>
      </c>
      <c r="HN180" t="e">
        <f>AND(Bills!D746,"AAAAAH/Zv90=")</f>
        <v>#VALUE!</v>
      </c>
      <c r="HO180" t="e">
        <f>AND(Bills!E746,"AAAAAH/Zv94=")</f>
        <v>#VALUE!</v>
      </c>
      <c r="HP180" t="e">
        <f>AND(Bills!#REF!,"AAAAAH/Zv98=")</f>
        <v>#REF!</v>
      </c>
      <c r="HQ180" t="e">
        <f>AND(Bills!#REF!,"AAAAAH/Zv+A=")</f>
        <v>#REF!</v>
      </c>
      <c r="HR180" t="e">
        <f>AND(Bills!#REF!,"AAAAAH/Zv+E=")</f>
        <v>#REF!</v>
      </c>
      <c r="HS180" t="e">
        <f>AND(Bills!F746,"AAAAAH/Zv+I=")</f>
        <v>#VALUE!</v>
      </c>
      <c r="HT180" t="e">
        <f>AND(Bills!#REF!,"AAAAAH/Zv+M=")</f>
        <v>#REF!</v>
      </c>
      <c r="HU180" t="e">
        <f>AND(Bills!G746,"AAAAAH/Zv+Q=")</f>
        <v>#VALUE!</v>
      </c>
      <c r="HV180" t="e">
        <f>AND(Bills!H746,"AAAAAH/Zv+U=")</f>
        <v>#VALUE!</v>
      </c>
      <c r="HW180" t="e">
        <f>AND(Bills!I746,"AAAAAH/Zv+Y=")</f>
        <v>#VALUE!</v>
      </c>
      <c r="HX180" t="e">
        <f>AND(Bills!J746,"AAAAAH/Zv+c=")</f>
        <v>#VALUE!</v>
      </c>
      <c r="HY180" t="e">
        <f>AND(Bills!K746,"AAAAAH/Zv+g=")</f>
        <v>#VALUE!</v>
      </c>
      <c r="HZ180" t="e">
        <f>AND(Bills!L746,"AAAAAH/Zv+k=")</f>
        <v>#VALUE!</v>
      </c>
      <c r="IA180" t="e">
        <f>AND(Bills!#REF!,"AAAAAH/Zv+o=")</f>
        <v>#REF!</v>
      </c>
      <c r="IB180" t="e">
        <f>AND(Bills!M746,"AAAAAH/Zv+s=")</f>
        <v>#VALUE!</v>
      </c>
      <c r="IC180" t="e">
        <f>AND(Bills!N746,"AAAAAH/Zv+w=")</f>
        <v>#VALUE!</v>
      </c>
      <c r="ID180" t="e">
        <f>AND(Bills!O746,"AAAAAH/Zv+0=")</f>
        <v>#VALUE!</v>
      </c>
      <c r="IE180" t="e">
        <f>AND(Bills!P746,"AAAAAH/Zv+4=")</f>
        <v>#VALUE!</v>
      </c>
      <c r="IF180" t="e">
        <f>AND(Bills!Q746,"AAAAAH/Zv+8=")</f>
        <v>#VALUE!</v>
      </c>
      <c r="IG180" t="e">
        <f>AND(Bills!R746,"AAAAAH/Zv/A=")</f>
        <v>#VALUE!</v>
      </c>
      <c r="IH180" t="e">
        <f>AND(Bills!S746,"AAAAAH/Zv/E=")</f>
        <v>#VALUE!</v>
      </c>
      <c r="II180" t="e">
        <f>AND(Bills!T746,"AAAAAH/Zv/I=")</f>
        <v>#VALUE!</v>
      </c>
      <c r="IJ180" t="e">
        <f>AND(Bills!#REF!,"AAAAAH/Zv/M=")</f>
        <v>#REF!</v>
      </c>
      <c r="IK180" t="e">
        <f>AND(Bills!U746,"AAAAAH/Zv/Q=")</f>
        <v>#VALUE!</v>
      </c>
      <c r="IL180" t="e">
        <f>AND(Bills!V746,"AAAAAH/Zv/U=")</f>
        <v>#VALUE!</v>
      </c>
      <c r="IM180" t="e">
        <f>AND(Bills!W746,"AAAAAH/Zv/Y=")</f>
        <v>#VALUE!</v>
      </c>
      <c r="IN180" t="e">
        <f>AND(Bills!#REF!,"AAAAAH/Zv/c=")</f>
        <v>#REF!</v>
      </c>
      <c r="IO180" t="e">
        <f>AND(Bills!#REF!,"AAAAAH/Zv/g=")</f>
        <v>#REF!</v>
      </c>
      <c r="IP180" t="e">
        <f>AND(Bills!Y746,"AAAAAH/Zv/k=")</f>
        <v>#VALUE!</v>
      </c>
      <c r="IQ180" t="e">
        <f>AND(Bills!Z746,"AAAAAH/Zv/o=")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AND(Bills!AA746,"AAAAAH79yQQ=")</f>
        <v>#VALUE!</v>
      </c>
      <c r="F181" t="e">
        <f>AND(Bills!AB746,"AAAAAH79yQU=")</f>
        <v>#VALUE!</v>
      </c>
      <c r="G181" t="e">
        <f>AND(Bills!#REF!,"AAAAAH79yQY=")</f>
        <v>#REF!</v>
      </c>
      <c r="H181" t="e">
        <f>AND(Bills!#REF!,"AAAAAH79yQc=")</f>
        <v>#REF!</v>
      </c>
      <c r="I181" t="e">
        <f>AND(Bills!#REF!,"AAAAAH79yQg=")</f>
        <v>#REF!</v>
      </c>
      <c r="J181" t="e">
        <f>AND(Bills!AC746,"AAAAAH79yQk=")</f>
        <v>#VALUE!</v>
      </c>
      <c r="K181" t="e">
        <f>AND(Bills!AD746,"AAAAAH79yQo=")</f>
        <v>#VALUE!</v>
      </c>
      <c r="L181" t="e">
        <f>AND(Bills!#REF!,"AAAAAH79yQs=")</f>
        <v>#REF!</v>
      </c>
      <c r="M181">
        <f>IF(Bills!747:747,"AAAAAH79yQw=",0)</f>
        <v>0</v>
      </c>
      <c r="N181" t="e">
        <f>AND(Bills!B747,"AAAAAH79yQ0=")</f>
        <v>#VALUE!</v>
      </c>
      <c r="O181" t="e">
        <f>AND(Bills!#REF!,"AAAAAH79yQ4=")</f>
        <v>#REF!</v>
      </c>
      <c r="P181" t="e">
        <f>AND(Bills!C747,"AAAAAH79yQ8=")</f>
        <v>#VALUE!</v>
      </c>
      <c r="Q181" t="e">
        <f>AND(Bills!D747,"AAAAAH79yRA=")</f>
        <v>#VALUE!</v>
      </c>
      <c r="R181" t="e">
        <f>AND(Bills!E747,"AAAAAH79yRE=")</f>
        <v>#VALUE!</v>
      </c>
      <c r="S181" t="e">
        <f>AND(Bills!#REF!,"AAAAAH79yRI=")</f>
        <v>#REF!</v>
      </c>
      <c r="T181" t="e">
        <f>AND(Bills!#REF!,"AAAAAH79yRM=")</f>
        <v>#REF!</v>
      </c>
      <c r="U181" t="e">
        <f>AND(Bills!#REF!,"AAAAAH79yRQ=")</f>
        <v>#REF!</v>
      </c>
      <c r="V181" t="e">
        <f>AND(Bills!F747,"AAAAAH79yRU=")</f>
        <v>#VALUE!</v>
      </c>
      <c r="W181" t="e">
        <f>AND(Bills!#REF!,"AAAAAH79yRY=")</f>
        <v>#REF!</v>
      </c>
      <c r="X181" t="e">
        <f>AND(Bills!G747,"AAAAAH79yRc=")</f>
        <v>#VALUE!</v>
      </c>
      <c r="Y181" t="e">
        <f>AND(Bills!H747,"AAAAAH79yRg=")</f>
        <v>#VALUE!</v>
      </c>
      <c r="Z181" t="e">
        <f>AND(Bills!I747,"AAAAAH79yRk=")</f>
        <v>#VALUE!</v>
      </c>
      <c r="AA181" t="e">
        <f>AND(Bills!J747,"AAAAAH79yRo=")</f>
        <v>#VALUE!</v>
      </c>
      <c r="AB181" t="e">
        <f>AND(Bills!K747,"AAAAAH79yRs=")</f>
        <v>#VALUE!</v>
      </c>
      <c r="AC181" t="e">
        <f>AND(Bills!L747,"AAAAAH79yRw=")</f>
        <v>#VALUE!</v>
      </c>
      <c r="AD181" t="e">
        <f>AND(Bills!#REF!,"AAAAAH79yR0=")</f>
        <v>#REF!</v>
      </c>
      <c r="AE181" t="e">
        <f>AND(Bills!M747,"AAAAAH79yR4=")</f>
        <v>#VALUE!</v>
      </c>
      <c r="AF181" t="e">
        <f>AND(Bills!N747,"AAAAAH79yR8=")</f>
        <v>#VALUE!</v>
      </c>
      <c r="AG181" t="e">
        <f>AND(Bills!O747,"AAAAAH79ySA=")</f>
        <v>#VALUE!</v>
      </c>
      <c r="AH181" t="e">
        <f>AND(Bills!P747,"AAAAAH79ySE=")</f>
        <v>#VALUE!</v>
      </c>
      <c r="AI181" t="e">
        <f>AND(Bills!Q747,"AAAAAH79ySI=")</f>
        <v>#VALUE!</v>
      </c>
      <c r="AJ181" t="e">
        <f>AND(Bills!R747,"AAAAAH79ySM=")</f>
        <v>#VALUE!</v>
      </c>
      <c r="AK181" t="e">
        <f>AND(Bills!S747,"AAAAAH79ySQ=")</f>
        <v>#VALUE!</v>
      </c>
      <c r="AL181" t="e">
        <f>AND(Bills!T747,"AAAAAH79ySU=")</f>
        <v>#VALUE!</v>
      </c>
      <c r="AM181" t="e">
        <f>AND(Bills!#REF!,"AAAAAH79ySY=")</f>
        <v>#REF!</v>
      </c>
      <c r="AN181" t="e">
        <f>AND(Bills!U747,"AAAAAH79ySc=")</f>
        <v>#VALUE!</v>
      </c>
      <c r="AO181" t="e">
        <f>AND(Bills!V747,"AAAAAH79ySg=")</f>
        <v>#VALUE!</v>
      </c>
      <c r="AP181" t="e">
        <f>AND(Bills!W747,"AAAAAH79ySk=")</f>
        <v>#VALUE!</v>
      </c>
      <c r="AQ181" t="e">
        <f>AND(Bills!#REF!,"AAAAAH79ySo=")</f>
        <v>#REF!</v>
      </c>
      <c r="AR181" t="e">
        <f>AND(Bills!#REF!,"AAAAAH79ySs=")</f>
        <v>#REF!</v>
      </c>
      <c r="AS181" t="e">
        <f>AND(Bills!Y747,"AAAAAH79ySw=")</f>
        <v>#VALUE!</v>
      </c>
      <c r="AT181" t="e">
        <f>AND(Bills!Z747,"AAAAAH79yS0=")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AND(Bills!AA747,"AAAAAH79yTc=")</f>
        <v>#VALUE!</v>
      </c>
      <c r="BE181" t="e">
        <f>AND(Bills!AB747,"AAAAAH79yTg=")</f>
        <v>#VALUE!</v>
      </c>
      <c r="BF181" t="e">
        <f>AND(Bills!#REF!,"AAAAAH79yTk=")</f>
        <v>#REF!</v>
      </c>
      <c r="BG181" t="e">
        <f>AND(Bills!#REF!,"AAAAAH79yTo=")</f>
        <v>#REF!</v>
      </c>
      <c r="BH181" t="e">
        <f>AND(Bills!#REF!,"AAAAAH79yTs=")</f>
        <v>#REF!</v>
      </c>
      <c r="BI181" t="e">
        <f>AND(Bills!AC747,"AAAAAH79yTw=")</f>
        <v>#VALUE!</v>
      </c>
      <c r="BJ181" t="e">
        <f>AND(Bills!AD747,"AAAAAH79yT0=")</f>
        <v>#VALUE!</v>
      </c>
      <c r="BK181" t="e">
        <f>AND(Bills!#REF!,"AAAAAH79yT4=")</f>
        <v>#REF!</v>
      </c>
      <c r="BL181">
        <f>IF(Bills!748:748,"AAAAAH79yT8=",0)</f>
        <v>0</v>
      </c>
      <c r="BM181" t="e">
        <f>AND(Bills!B748,"AAAAAH79yUA=")</f>
        <v>#VALUE!</v>
      </c>
      <c r="BN181" t="e">
        <f>AND(Bills!#REF!,"AAAAAH79yUE=")</f>
        <v>#REF!</v>
      </c>
      <c r="BO181" t="e">
        <f>AND(Bills!C748,"AAAAAH79yUI=")</f>
        <v>#VALUE!</v>
      </c>
      <c r="BP181" t="e">
        <f>AND(Bills!D748,"AAAAAH79yUM=")</f>
        <v>#VALUE!</v>
      </c>
      <c r="BQ181" t="e">
        <f>AND(Bills!E748,"AAAAAH79yUQ=")</f>
        <v>#VALUE!</v>
      </c>
      <c r="BR181" t="e">
        <f>AND(Bills!#REF!,"AAAAAH79yUU=")</f>
        <v>#REF!</v>
      </c>
      <c r="BS181" t="e">
        <f>AND(Bills!#REF!,"AAAAAH79yUY=")</f>
        <v>#REF!</v>
      </c>
      <c r="BT181" t="e">
        <f>AND(Bills!#REF!,"AAAAAH79yUc=")</f>
        <v>#REF!</v>
      </c>
      <c r="BU181" t="e">
        <f>AND(Bills!F748,"AAAAAH79yUg=")</f>
        <v>#VALUE!</v>
      </c>
      <c r="BV181" t="e">
        <f>AND(Bills!#REF!,"AAAAAH79yUk=")</f>
        <v>#REF!</v>
      </c>
      <c r="BW181" t="e">
        <f>AND(Bills!G748,"AAAAAH79yUo=")</f>
        <v>#VALUE!</v>
      </c>
      <c r="BX181" t="e">
        <f>AND(Bills!H748,"AAAAAH79yUs=")</f>
        <v>#VALUE!</v>
      </c>
      <c r="BY181" t="e">
        <f>AND(Bills!I748,"AAAAAH79yUw=")</f>
        <v>#VALUE!</v>
      </c>
      <c r="BZ181" t="e">
        <f>AND(Bills!J748,"AAAAAH79yU0=")</f>
        <v>#VALUE!</v>
      </c>
      <c r="CA181" t="e">
        <f>AND(Bills!K748,"AAAAAH79yU4=")</f>
        <v>#VALUE!</v>
      </c>
      <c r="CB181" t="e">
        <f>AND(Bills!L748,"AAAAAH79yU8=")</f>
        <v>#VALUE!</v>
      </c>
      <c r="CC181" t="e">
        <f>AND(Bills!#REF!,"AAAAAH79yVA=")</f>
        <v>#REF!</v>
      </c>
      <c r="CD181" t="e">
        <f>AND(Bills!M748,"AAAAAH79yVE=")</f>
        <v>#VALUE!</v>
      </c>
      <c r="CE181" t="e">
        <f>AND(Bills!N748,"AAAAAH79yVI=")</f>
        <v>#VALUE!</v>
      </c>
      <c r="CF181" t="e">
        <f>AND(Bills!O748,"AAAAAH79yVM=")</f>
        <v>#VALUE!</v>
      </c>
      <c r="CG181" t="e">
        <f>AND(Bills!P748,"AAAAAH79yVQ=")</f>
        <v>#VALUE!</v>
      </c>
      <c r="CH181" t="e">
        <f>AND(Bills!Q748,"AAAAAH79yVU=")</f>
        <v>#VALUE!</v>
      </c>
      <c r="CI181" t="e">
        <f>AND(Bills!R748,"AAAAAH79yVY=")</f>
        <v>#VALUE!</v>
      </c>
      <c r="CJ181" t="e">
        <f>AND(Bills!S748,"AAAAAH79yVc=")</f>
        <v>#VALUE!</v>
      </c>
      <c r="CK181" t="e">
        <f>AND(Bills!T748,"AAAAAH79yVg=")</f>
        <v>#VALUE!</v>
      </c>
      <c r="CL181" t="e">
        <f>AND(Bills!#REF!,"AAAAAH79yVk=")</f>
        <v>#REF!</v>
      </c>
      <c r="CM181" t="e">
        <f>AND(Bills!U748,"AAAAAH79yVo=")</f>
        <v>#VALUE!</v>
      </c>
      <c r="CN181" t="e">
        <f>AND(Bills!V748,"AAAAAH79yVs=")</f>
        <v>#VALUE!</v>
      </c>
      <c r="CO181" t="e">
        <f>AND(Bills!W748,"AAAAAH79yVw=")</f>
        <v>#VALUE!</v>
      </c>
      <c r="CP181" t="e">
        <f>AND(Bills!#REF!,"AAAAAH79yV0=")</f>
        <v>#REF!</v>
      </c>
      <c r="CQ181" t="e">
        <f>AND(Bills!#REF!,"AAAAAH79yV4=")</f>
        <v>#REF!</v>
      </c>
      <c r="CR181" t="e">
        <f>AND(Bills!Y748,"AAAAAH79yV8=")</f>
        <v>#VALUE!</v>
      </c>
      <c r="CS181" t="e">
        <f>AND(Bills!Z748,"AAAAAH79yWA=")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AND(Bills!AA748,"AAAAAH79yWo=")</f>
        <v>#VALUE!</v>
      </c>
      <c r="DD181" t="e">
        <f>AND(Bills!AB748,"AAAAAH79yWs=")</f>
        <v>#VALUE!</v>
      </c>
      <c r="DE181" t="e">
        <f>AND(Bills!#REF!,"AAAAAH79yWw=")</f>
        <v>#REF!</v>
      </c>
      <c r="DF181" t="e">
        <f>AND(Bills!#REF!,"AAAAAH79yW0=")</f>
        <v>#REF!</v>
      </c>
      <c r="DG181" t="e">
        <f>AND(Bills!#REF!,"AAAAAH79yW4=")</f>
        <v>#REF!</v>
      </c>
      <c r="DH181" t="e">
        <f>AND(Bills!AC748,"AAAAAH79yW8=")</f>
        <v>#VALUE!</v>
      </c>
      <c r="DI181" t="e">
        <f>AND(Bills!AD748,"AAAAAH79yXA=")</f>
        <v>#VALUE!</v>
      </c>
      <c r="DJ181" t="e">
        <f>AND(Bills!#REF!,"AAAAAH79yXE=")</f>
        <v>#REF!</v>
      </c>
      <c r="DK181">
        <f>IF(Bills!749:749,"AAAAAH79yXI=",0)</f>
        <v>0</v>
      </c>
      <c r="DL181" t="e">
        <f>AND(Bills!B749,"AAAAAH79yXM=")</f>
        <v>#VALUE!</v>
      </c>
      <c r="DM181" t="e">
        <f>AND(Bills!#REF!,"AAAAAH79yXQ=")</f>
        <v>#REF!</v>
      </c>
      <c r="DN181" t="e">
        <f>AND(Bills!C749,"AAAAAH79yXU=")</f>
        <v>#VALUE!</v>
      </c>
      <c r="DO181" t="e">
        <f>AND(Bills!D749,"AAAAAH79yXY=")</f>
        <v>#VALUE!</v>
      </c>
      <c r="DP181" t="e">
        <f>AND(Bills!E749,"AAAAAH79yXc=")</f>
        <v>#VALUE!</v>
      </c>
      <c r="DQ181" t="e">
        <f>AND(Bills!#REF!,"AAAAAH79yXg=")</f>
        <v>#REF!</v>
      </c>
      <c r="DR181" t="e">
        <f>AND(Bills!#REF!,"AAAAAH79yXk=")</f>
        <v>#REF!</v>
      </c>
      <c r="DS181" t="e">
        <f>AND(Bills!#REF!,"AAAAAH79yXo=")</f>
        <v>#REF!</v>
      </c>
      <c r="DT181" t="e">
        <f>AND(Bills!F749,"AAAAAH79yXs=")</f>
        <v>#VALUE!</v>
      </c>
      <c r="DU181" t="e">
        <f>AND(Bills!#REF!,"AAAAAH79yXw=")</f>
        <v>#REF!</v>
      </c>
      <c r="DV181" t="e">
        <f>AND(Bills!G749,"AAAAAH79yX0=")</f>
        <v>#VALUE!</v>
      </c>
      <c r="DW181" t="e">
        <f>AND(Bills!H749,"AAAAAH79yX4=")</f>
        <v>#VALUE!</v>
      </c>
      <c r="DX181" t="e">
        <f>AND(Bills!I749,"AAAAAH79yX8=")</f>
        <v>#VALUE!</v>
      </c>
      <c r="DY181" t="e">
        <f>AND(Bills!J749,"AAAAAH79yYA=")</f>
        <v>#VALUE!</v>
      </c>
      <c r="DZ181" t="e">
        <f>AND(Bills!K749,"AAAAAH79yYE=")</f>
        <v>#VALUE!</v>
      </c>
      <c r="EA181" t="e">
        <f>AND(Bills!L749,"AAAAAH79yYI=")</f>
        <v>#VALUE!</v>
      </c>
      <c r="EB181" t="e">
        <f>AND(Bills!#REF!,"AAAAAH79yYM=")</f>
        <v>#REF!</v>
      </c>
      <c r="EC181" t="e">
        <f>AND(Bills!M749,"AAAAAH79yYQ=")</f>
        <v>#VALUE!</v>
      </c>
      <c r="ED181" t="e">
        <f>AND(Bills!N749,"AAAAAH79yYU=")</f>
        <v>#VALUE!</v>
      </c>
      <c r="EE181" t="e">
        <f>AND(Bills!O749,"AAAAAH79yYY=")</f>
        <v>#VALUE!</v>
      </c>
      <c r="EF181" t="e">
        <f>AND(Bills!P749,"AAAAAH79yYc=")</f>
        <v>#VALUE!</v>
      </c>
      <c r="EG181" t="e">
        <f>AND(Bills!Q749,"AAAAAH79yYg=")</f>
        <v>#VALUE!</v>
      </c>
      <c r="EH181" t="e">
        <f>AND(Bills!R749,"AAAAAH79yYk=")</f>
        <v>#VALUE!</v>
      </c>
      <c r="EI181" t="e">
        <f>AND(Bills!S749,"AAAAAH79yYo=")</f>
        <v>#VALUE!</v>
      </c>
      <c r="EJ181" t="e">
        <f>AND(Bills!T749,"AAAAAH79yYs=")</f>
        <v>#VALUE!</v>
      </c>
      <c r="EK181" t="e">
        <f>AND(Bills!#REF!,"AAAAAH79yYw=")</f>
        <v>#REF!</v>
      </c>
      <c r="EL181" t="e">
        <f>AND(Bills!U749,"AAAAAH79yY0=")</f>
        <v>#VALUE!</v>
      </c>
      <c r="EM181" t="e">
        <f>AND(Bills!V749,"AAAAAH79yY4=")</f>
        <v>#VALUE!</v>
      </c>
      <c r="EN181" t="e">
        <f>AND(Bills!W749,"AAAAAH79yY8=")</f>
        <v>#VALUE!</v>
      </c>
      <c r="EO181" t="e">
        <f>AND(Bills!#REF!,"AAAAAH79yZA=")</f>
        <v>#REF!</v>
      </c>
      <c r="EP181" t="e">
        <f>AND(Bills!#REF!,"AAAAAH79yZE=")</f>
        <v>#REF!</v>
      </c>
      <c r="EQ181" t="e">
        <f>AND(Bills!Y749,"AAAAAH79yZI=")</f>
        <v>#VALUE!</v>
      </c>
      <c r="ER181" t="e">
        <f>AND(Bills!Z749,"AAAAAH79yZM=")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AND(Bills!AA749,"AAAAAH79yZ0=")</f>
        <v>#VALUE!</v>
      </c>
      <c r="FC181" t="e">
        <f>AND(Bills!AB749,"AAAAAH79yZ4=")</f>
        <v>#VALUE!</v>
      </c>
      <c r="FD181" t="e">
        <f>AND(Bills!#REF!,"AAAAAH79yZ8=")</f>
        <v>#REF!</v>
      </c>
      <c r="FE181" t="e">
        <f>AND(Bills!#REF!,"AAAAAH79yaA=")</f>
        <v>#REF!</v>
      </c>
      <c r="FF181" t="e">
        <f>AND(Bills!#REF!,"AAAAAH79yaE=")</f>
        <v>#REF!</v>
      </c>
      <c r="FG181" t="e">
        <f>AND(Bills!AC749,"AAAAAH79yaI=")</f>
        <v>#VALUE!</v>
      </c>
      <c r="FH181" t="e">
        <f>AND(Bills!AD749,"AAAAAH79yaM=")</f>
        <v>#VALUE!</v>
      </c>
      <c r="FI181" t="e">
        <f>AND(Bills!#REF!,"AAAAAH79yaQ=")</f>
        <v>#REF!</v>
      </c>
      <c r="FJ181">
        <f>IF(Bills!750:750,"AAAAAH79yaU=",0)</f>
        <v>0</v>
      </c>
      <c r="FK181" t="e">
        <f>AND(Bills!B750,"AAAAAH79yaY=")</f>
        <v>#VALUE!</v>
      </c>
      <c r="FL181" t="e">
        <f>AND(Bills!#REF!,"AAAAAH79yac=")</f>
        <v>#REF!</v>
      </c>
      <c r="FM181" t="e">
        <f>AND(Bills!C750,"AAAAAH79yag=")</f>
        <v>#VALUE!</v>
      </c>
      <c r="FN181" t="e">
        <f>AND(Bills!D750,"AAAAAH79yak=")</f>
        <v>#VALUE!</v>
      </c>
      <c r="FO181" t="e">
        <f>AND(Bills!E750,"AAAAAH79yao=")</f>
        <v>#VALUE!</v>
      </c>
      <c r="FP181" t="e">
        <f>AND(Bills!#REF!,"AAAAAH79yas=")</f>
        <v>#REF!</v>
      </c>
      <c r="FQ181" t="e">
        <f>AND(Bills!#REF!,"AAAAAH79yaw=")</f>
        <v>#REF!</v>
      </c>
      <c r="FR181" t="e">
        <f>AND(Bills!#REF!,"AAAAAH79ya0=")</f>
        <v>#REF!</v>
      </c>
      <c r="FS181" t="e">
        <f>AND(Bills!F750,"AAAAAH79ya4=")</f>
        <v>#VALUE!</v>
      </c>
      <c r="FT181" t="e">
        <f>AND(Bills!#REF!,"AAAAAH79ya8=")</f>
        <v>#REF!</v>
      </c>
      <c r="FU181" t="e">
        <f>AND(Bills!G750,"AAAAAH79ybA=")</f>
        <v>#VALUE!</v>
      </c>
      <c r="FV181" t="e">
        <f>AND(Bills!H750,"AAAAAH79ybE=")</f>
        <v>#VALUE!</v>
      </c>
      <c r="FW181" t="e">
        <f>AND(Bills!I750,"AAAAAH79ybI=")</f>
        <v>#VALUE!</v>
      </c>
      <c r="FX181" t="e">
        <f>AND(Bills!J750,"AAAAAH79ybM=")</f>
        <v>#VALUE!</v>
      </c>
      <c r="FY181" t="e">
        <f>AND(Bills!K750,"AAAAAH79ybQ=")</f>
        <v>#VALUE!</v>
      </c>
      <c r="FZ181" t="e">
        <f>AND(Bills!L750,"AAAAAH79ybU=")</f>
        <v>#VALUE!</v>
      </c>
      <c r="GA181" t="e">
        <f>AND(Bills!#REF!,"AAAAAH79ybY=")</f>
        <v>#REF!</v>
      </c>
      <c r="GB181" t="e">
        <f>AND(Bills!M750,"AAAAAH79ybc=")</f>
        <v>#VALUE!</v>
      </c>
      <c r="GC181" t="e">
        <f>AND(Bills!N750,"AAAAAH79ybg=")</f>
        <v>#VALUE!</v>
      </c>
      <c r="GD181" t="e">
        <f>AND(Bills!O750,"AAAAAH79ybk=")</f>
        <v>#VALUE!</v>
      </c>
      <c r="GE181" t="e">
        <f>AND(Bills!P750,"AAAAAH79ybo=")</f>
        <v>#VALUE!</v>
      </c>
      <c r="GF181" t="e">
        <f>AND(Bills!Q750,"AAAAAH79ybs=")</f>
        <v>#VALUE!</v>
      </c>
      <c r="GG181" t="e">
        <f>AND(Bills!R750,"AAAAAH79ybw=")</f>
        <v>#VALUE!</v>
      </c>
      <c r="GH181" t="e">
        <f>AND(Bills!S750,"AAAAAH79yb0=")</f>
        <v>#VALUE!</v>
      </c>
      <c r="GI181" t="e">
        <f>AND(Bills!T750,"AAAAAH79yb4=")</f>
        <v>#VALUE!</v>
      </c>
      <c r="GJ181" t="e">
        <f>AND(Bills!#REF!,"AAAAAH79yb8=")</f>
        <v>#REF!</v>
      </c>
      <c r="GK181" t="e">
        <f>AND(Bills!U750,"AAAAAH79ycA=")</f>
        <v>#VALUE!</v>
      </c>
      <c r="GL181" t="e">
        <f>AND(Bills!V750,"AAAAAH79ycE=")</f>
        <v>#VALUE!</v>
      </c>
      <c r="GM181" t="e">
        <f>AND(Bills!W750,"AAAAAH79ycI=")</f>
        <v>#VALUE!</v>
      </c>
      <c r="GN181" t="e">
        <f>AND(Bills!#REF!,"AAAAAH79ycM=")</f>
        <v>#REF!</v>
      </c>
      <c r="GO181" t="e">
        <f>AND(Bills!#REF!,"AAAAAH79ycQ=")</f>
        <v>#REF!</v>
      </c>
      <c r="GP181" t="e">
        <f>AND(Bills!Y750,"AAAAAH79ycU=")</f>
        <v>#VALUE!</v>
      </c>
      <c r="GQ181" t="e">
        <f>AND(Bills!Z750,"AAAAAH79ycY=")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AND(Bills!AA750,"AAAAAH79ydA=")</f>
        <v>#VALUE!</v>
      </c>
      <c r="HB181" t="e">
        <f>AND(Bills!AB750,"AAAAAH79ydE=")</f>
        <v>#VALUE!</v>
      </c>
      <c r="HC181" t="e">
        <f>AND(Bills!#REF!,"AAAAAH79ydI=")</f>
        <v>#REF!</v>
      </c>
      <c r="HD181" t="e">
        <f>AND(Bills!#REF!,"AAAAAH79ydM=")</f>
        <v>#REF!</v>
      </c>
      <c r="HE181" t="e">
        <f>AND(Bills!#REF!,"AAAAAH79ydQ=")</f>
        <v>#REF!</v>
      </c>
      <c r="HF181" t="e">
        <f>AND(Bills!AC750,"AAAAAH79ydU=")</f>
        <v>#VALUE!</v>
      </c>
      <c r="HG181" t="e">
        <f>AND(Bills!AD750,"AAAAAH79ydY=")</f>
        <v>#VALUE!</v>
      </c>
      <c r="HH181" t="e">
        <f>AND(Bills!#REF!,"AAAAAH79ydc=")</f>
        <v>#REF!</v>
      </c>
      <c r="HI181">
        <f>IF(Bills!751:751,"AAAAAH79ydg=",0)</f>
        <v>0</v>
      </c>
      <c r="HJ181" t="e">
        <f>AND(Bills!B751,"AAAAAH79ydk=")</f>
        <v>#VALUE!</v>
      </c>
      <c r="HK181" t="e">
        <f>AND(Bills!#REF!,"AAAAAH79ydo=")</f>
        <v>#REF!</v>
      </c>
      <c r="HL181" t="e">
        <f>AND(Bills!C751,"AAAAAH79yds=")</f>
        <v>#VALUE!</v>
      </c>
      <c r="HM181" t="e">
        <f>AND(Bills!D751,"AAAAAH79ydw=")</f>
        <v>#VALUE!</v>
      </c>
      <c r="HN181" t="e">
        <f>AND(Bills!E751,"AAAAAH79yd0=")</f>
        <v>#VALUE!</v>
      </c>
      <c r="HO181" t="e">
        <f>AND(Bills!#REF!,"AAAAAH79yd4=")</f>
        <v>#REF!</v>
      </c>
      <c r="HP181" t="e">
        <f>AND(Bills!#REF!,"AAAAAH79yd8=")</f>
        <v>#REF!</v>
      </c>
      <c r="HQ181" t="e">
        <f>AND(Bills!#REF!,"AAAAAH79yeA=")</f>
        <v>#REF!</v>
      </c>
      <c r="HR181" t="e">
        <f>AND(Bills!F751,"AAAAAH79yeE=")</f>
        <v>#VALUE!</v>
      </c>
      <c r="HS181" t="e">
        <f>AND(Bills!#REF!,"AAAAAH79yeI=")</f>
        <v>#REF!</v>
      </c>
      <c r="HT181" t="e">
        <f>AND(Bills!G751,"AAAAAH79yeM=")</f>
        <v>#VALUE!</v>
      </c>
      <c r="HU181" t="e">
        <f>AND(Bills!H751,"AAAAAH79yeQ=")</f>
        <v>#VALUE!</v>
      </c>
      <c r="HV181" t="e">
        <f>AND(Bills!I751,"AAAAAH79yeU=")</f>
        <v>#VALUE!</v>
      </c>
      <c r="HW181" t="e">
        <f>AND(Bills!J751,"AAAAAH79yeY=")</f>
        <v>#VALUE!</v>
      </c>
      <c r="HX181" t="e">
        <f>AND(Bills!K751,"AAAAAH79yec=")</f>
        <v>#VALUE!</v>
      </c>
      <c r="HY181" t="e">
        <f>AND(Bills!L751,"AAAAAH79yeg=")</f>
        <v>#VALUE!</v>
      </c>
      <c r="HZ181" t="e">
        <f>AND(Bills!#REF!,"AAAAAH79yek=")</f>
        <v>#REF!</v>
      </c>
      <c r="IA181" t="e">
        <f>AND(Bills!M751,"AAAAAH79yeo=")</f>
        <v>#VALUE!</v>
      </c>
      <c r="IB181" t="e">
        <f>AND(Bills!N751,"AAAAAH79yes=")</f>
        <v>#VALUE!</v>
      </c>
      <c r="IC181" t="e">
        <f>AND(Bills!O751,"AAAAAH79yew=")</f>
        <v>#VALUE!</v>
      </c>
      <c r="ID181" t="e">
        <f>AND(Bills!P751,"AAAAAH79ye0=")</f>
        <v>#VALUE!</v>
      </c>
      <c r="IE181" t="e">
        <f>AND(Bills!Q751,"AAAAAH79ye4=")</f>
        <v>#VALUE!</v>
      </c>
      <c r="IF181" t="e">
        <f>AND(Bills!R751,"AAAAAH79ye8=")</f>
        <v>#VALUE!</v>
      </c>
      <c r="IG181" t="e">
        <f>AND(Bills!S751,"AAAAAH79yfA=")</f>
        <v>#VALUE!</v>
      </c>
      <c r="IH181" t="e">
        <f>AND(Bills!T751,"AAAAAH79yfE=")</f>
        <v>#VALUE!</v>
      </c>
      <c r="II181" t="e">
        <f>AND(Bills!#REF!,"AAAAAH79yfI=")</f>
        <v>#REF!</v>
      </c>
      <c r="IJ181" t="e">
        <f>AND(Bills!U751,"AAAAAH79yfM=")</f>
        <v>#VALUE!</v>
      </c>
      <c r="IK181" t="e">
        <f>AND(Bills!V751,"AAAAAH79yfQ=")</f>
        <v>#VALUE!</v>
      </c>
      <c r="IL181" t="e">
        <f>AND(Bills!W751,"AAAAAH79yfU=")</f>
        <v>#VALUE!</v>
      </c>
      <c r="IM181" t="e">
        <f>AND(Bills!#REF!,"AAAAAH79yfY=")</f>
        <v>#REF!</v>
      </c>
      <c r="IN181" t="e">
        <f>AND(Bills!#REF!,"AAAAAH79yfc=")</f>
        <v>#REF!</v>
      </c>
      <c r="IO181" t="e">
        <f>AND(Bills!Y751,"AAAAAH79yfg=")</f>
        <v>#VALUE!</v>
      </c>
      <c r="IP181" t="e">
        <f>AND(Bills!Z751,"AAAAAH79yfk=")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AND(Bills!AA751,"AAAAAGfX3gM=")</f>
        <v>#VALUE!</v>
      </c>
      <c r="E182" t="e">
        <f>AND(Bills!AB751,"AAAAAGfX3gQ=")</f>
        <v>#VALUE!</v>
      </c>
      <c r="F182" t="e">
        <f>AND(Bills!#REF!,"AAAAAGfX3gU=")</f>
        <v>#REF!</v>
      </c>
      <c r="G182" t="e">
        <f>AND(Bills!#REF!,"AAAAAGfX3gY=")</f>
        <v>#REF!</v>
      </c>
      <c r="H182" t="e">
        <f>AND(Bills!#REF!,"AAAAAGfX3gc=")</f>
        <v>#REF!</v>
      </c>
      <c r="I182" t="e">
        <f>AND(Bills!AC751,"AAAAAGfX3gg=")</f>
        <v>#VALUE!</v>
      </c>
      <c r="J182" t="e">
        <f>AND(Bills!AD751,"AAAAAGfX3gk=")</f>
        <v>#VALUE!</v>
      </c>
      <c r="K182" t="e">
        <f>AND(Bills!#REF!,"AAAAAGfX3go=")</f>
        <v>#REF!</v>
      </c>
      <c r="L182">
        <f>IF(Bills!752:752,"AAAAAGfX3gs=",0)</f>
        <v>0</v>
      </c>
      <c r="M182" t="e">
        <f>AND(Bills!B752,"AAAAAGfX3gw=")</f>
        <v>#VALUE!</v>
      </c>
      <c r="N182" t="e">
        <f>AND(Bills!#REF!,"AAAAAGfX3g0=")</f>
        <v>#REF!</v>
      </c>
      <c r="O182" t="e">
        <f>AND(Bills!C752,"AAAAAGfX3g4=")</f>
        <v>#VALUE!</v>
      </c>
      <c r="P182" t="e">
        <f>AND(Bills!D752,"AAAAAGfX3g8=")</f>
        <v>#VALUE!</v>
      </c>
      <c r="Q182" t="e">
        <f>AND(Bills!E752,"AAAAAGfX3hA=")</f>
        <v>#VALUE!</v>
      </c>
      <c r="R182" t="e">
        <f>AND(Bills!#REF!,"AAAAAGfX3hE=")</f>
        <v>#REF!</v>
      </c>
      <c r="S182" t="e">
        <f>AND(Bills!#REF!,"AAAAAGfX3hI=")</f>
        <v>#REF!</v>
      </c>
      <c r="T182" t="e">
        <f>AND(Bills!#REF!,"AAAAAGfX3hM=")</f>
        <v>#REF!</v>
      </c>
      <c r="U182" t="e">
        <f>AND(Bills!F752,"AAAAAGfX3hQ=")</f>
        <v>#VALUE!</v>
      </c>
      <c r="V182" t="e">
        <f>AND(Bills!#REF!,"AAAAAGfX3hU=")</f>
        <v>#REF!</v>
      </c>
      <c r="W182" t="e">
        <f>AND(Bills!G752,"AAAAAGfX3hY=")</f>
        <v>#VALUE!</v>
      </c>
      <c r="X182" t="e">
        <f>AND(Bills!H752,"AAAAAGfX3hc=")</f>
        <v>#VALUE!</v>
      </c>
      <c r="Y182" t="e">
        <f>AND(Bills!I752,"AAAAAGfX3hg=")</f>
        <v>#VALUE!</v>
      </c>
      <c r="Z182" t="e">
        <f>AND(Bills!J752,"AAAAAGfX3hk=")</f>
        <v>#VALUE!</v>
      </c>
      <c r="AA182" t="e">
        <f>AND(Bills!K752,"AAAAAGfX3ho=")</f>
        <v>#VALUE!</v>
      </c>
      <c r="AB182" t="e">
        <f>AND(Bills!L752,"AAAAAGfX3hs=")</f>
        <v>#VALUE!</v>
      </c>
      <c r="AC182" t="e">
        <f>AND(Bills!#REF!,"AAAAAGfX3hw=")</f>
        <v>#REF!</v>
      </c>
      <c r="AD182" t="e">
        <f>AND(Bills!M752,"AAAAAGfX3h0=")</f>
        <v>#VALUE!</v>
      </c>
      <c r="AE182" t="e">
        <f>AND(Bills!N752,"AAAAAGfX3h4=")</f>
        <v>#VALUE!</v>
      </c>
      <c r="AF182" t="e">
        <f>AND(Bills!O752,"AAAAAGfX3h8=")</f>
        <v>#VALUE!</v>
      </c>
      <c r="AG182" t="e">
        <f>AND(Bills!P752,"AAAAAGfX3iA=")</f>
        <v>#VALUE!</v>
      </c>
      <c r="AH182" t="e">
        <f>AND(Bills!Q752,"AAAAAGfX3iE=")</f>
        <v>#VALUE!</v>
      </c>
      <c r="AI182" t="e">
        <f>AND(Bills!R752,"AAAAAGfX3iI=")</f>
        <v>#VALUE!</v>
      </c>
      <c r="AJ182" t="e">
        <f>AND(Bills!S752,"AAAAAGfX3iM=")</f>
        <v>#VALUE!</v>
      </c>
      <c r="AK182" t="e">
        <f>AND(Bills!T752,"AAAAAGfX3iQ=")</f>
        <v>#VALUE!</v>
      </c>
      <c r="AL182" t="e">
        <f>AND(Bills!#REF!,"AAAAAGfX3iU=")</f>
        <v>#REF!</v>
      </c>
      <c r="AM182" t="e">
        <f>AND(Bills!U752,"AAAAAGfX3iY=")</f>
        <v>#VALUE!</v>
      </c>
      <c r="AN182" t="e">
        <f>AND(Bills!V752,"AAAAAGfX3ic=")</f>
        <v>#VALUE!</v>
      </c>
      <c r="AO182" t="e">
        <f>AND(Bills!W752,"AAAAAGfX3ig=")</f>
        <v>#VALUE!</v>
      </c>
      <c r="AP182" t="e">
        <f>AND(Bills!#REF!,"AAAAAGfX3ik=")</f>
        <v>#REF!</v>
      </c>
      <c r="AQ182" t="e">
        <f>AND(Bills!#REF!,"AAAAAGfX3io=")</f>
        <v>#REF!</v>
      </c>
      <c r="AR182" t="e">
        <f>AND(Bills!Y752,"AAAAAGfX3is=")</f>
        <v>#VALUE!</v>
      </c>
      <c r="AS182" t="e">
        <f>AND(Bills!Z752,"AAAAAGfX3iw=")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AND(Bills!AA752,"AAAAAGfX3jY=")</f>
        <v>#VALUE!</v>
      </c>
      <c r="BD182" t="e">
        <f>AND(Bills!AB752,"AAAAAGfX3jc=")</f>
        <v>#VALUE!</v>
      </c>
      <c r="BE182" t="e">
        <f>AND(Bills!#REF!,"AAAAAGfX3jg=")</f>
        <v>#REF!</v>
      </c>
      <c r="BF182" t="e">
        <f>AND(Bills!#REF!,"AAAAAGfX3jk=")</f>
        <v>#REF!</v>
      </c>
      <c r="BG182" t="e">
        <f>AND(Bills!#REF!,"AAAAAGfX3jo=")</f>
        <v>#REF!</v>
      </c>
      <c r="BH182" t="e">
        <f>AND(Bills!AC752,"AAAAAGfX3js=")</f>
        <v>#VALUE!</v>
      </c>
      <c r="BI182" t="e">
        <f>AND(Bills!AD752,"AAAAAGfX3jw=")</f>
        <v>#VALUE!</v>
      </c>
      <c r="BJ182" t="e">
        <f>AND(Bills!#REF!,"AAAAAGfX3j0=")</f>
        <v>#REF!</v>
      </c>
      <c r="BK182">
        <f>IF(Bills!753:753,"AAAAAGfX3j4=",0)</f>
        <v>0</v>
      </c>
      <c r="BL182" t="e">
        <f>AND(Bills!B753,"AAAAAGfX3j8=")</f>
        <v>#VALUE!</v>
      </c>
      <c r="BM182" t="e">
        <f>AND(Bills!#REF!,"AAAAAGfX3kA=")</f>
        <v>#REF!</v>
      </c>
      <c r="BN182" t="e">
        <f>AND(Bills!C753,"AAAAAGfX3kE=")</f>
        <v>#VALUE!</v>
      </c>
      <c r="BO182" t="e">
        <f>AND(Bills!D753,"AAAAAGfX3kI=")</f>
        <v>#VALUE!</v>
      </c>
      <c r="BP182" t="e">
        <f>AND(Bills!E753,"AAAAAGfX3kM=")</f>
        <v>#VALUE!</v>
      </c>
      <c r="BQ182" t="e">
        <f>AND(Bills!#REF!,"AAAAAGfX3kQ=")</f>
        <v>#REF!</v>
      </c>
      <c r="BR182" t="e">
        <f>AND(Bills!#REF!,"AAAAAGfX3kU=")</f>
        <v>#REF!</v>
      </c>
      <c r="BS182" t="e">
        <f>AND(Bills!#REF!,"AAAAAGfX3kY=")</f>
        <v>#REF!</v>
      </c>
      <c r="BT182" t="e">
        <f>AND(Bills!F753,"AAAAAGfX3kc=")</f>
        <v>#VALUE!</v>
      </c>
      <c r="BU182" t="e">
        <f>AND(Bills!#REF!,"AAAAAGfX3kg=")</f>
        <v>#REF!</v>
      </c>
      <c r="BV182" t="e">
        <f>AND(Bills!G753,"AAAAAGfX3kk=")</f>
        <v>#VALUE!</v>
      </c>
      <c r="BW182" t="e">
        <f>AND(Bills!H753,"AAAAAGfX3ko=")</f>
        <v>#VALUE!</v>
      </c>
      <c r="BX182" t="e">
        <f>AND(Bills!I753,"AAAAAGfX3ks=")</f>
        <v>#VALUE!</v>
      </c>
      <c r="BY182" t="e">
        <f>AND(Bills!J753,"AAAAAGfX3kw=")</f>
        <v>#VALUE!</v>
      </c>
      <c r="BZ182" t="e">
        <f>AND(Bills!K753,"AAAAAGfX3k0=")</f>
        <v>#VALUE!</v>
      </c>
      <c r="CA182" t="e">
        <f>AND(Bills!L753,"AAAAAGfX3k4=")</f>
        <v>#VALUE!</v>
      </c>
      <c r="CB182" t="e">
        <f>AND(Bills!#REF!,"AAAAAGfX3k8=")</f>
        <v>#REF!</v>
      </c>
      <c r="CC182" t="e">
        <f>AND(Bills!M753,"AAAAAGfX3lA=")</f>
        <v>#VALUE!</v>
      </c>
      <c r="CD182" t="e">
        <f>AND(Bills!N753,"AAAAAGfX3lE=")</f>
        <v>#VALUE!</v>
      </c>
      <c r="CE182" t="e">
        <f>AND(Bills!O753,"AAAAAGfX3lI=")</f>
        <v>#VALUE!</v>
      </c>
      <c r="CF182" t="e">
        <f>AND(Bills!P753,"AAAAAGfX3lM=")</f>
        <v>#VALUE!</v>
      </c>
      <c r="CG182" t="e">
        <f>AND(Bills!Q753,"AAAAAGfX3lQ=")</f>
        <v>#VALUE!</v>
      </c>
      <c r="CH182" t="e">
        <f>AND(Bills!R753,"AAAAAGfX3lU=")</f>
        <v>#VALUE!</v>
      </c>
      <c r="CI182" t="e">
        <f>AND(Bills!S753,"AAAAAGfX3lY=")</f>
        <v>#VALUE!</v>
      </c>
      <c r="CJ182" t="e">
        <f>AND(Bills!T753,"AAAAAGfX3lc=")</f>
        <v>#VALUE!</v>
      </c>
      <c r="CK182" t="e">
        <f>AND(Bills!#REF!,"AAAAAGfX3lg=")</f>
        <v>#REF!</v>
      </c>
      <c r="CL182" t="e">
        <f>AND(Bills!U753,"AAAAAGfX3lk=")</f>
        <v>#VALUE!</v>
      </c>
      <c r="CM182" t="e">
        <f>AND(Bills!V753,"AAAAAGfX3lo=")</f>
        <v>#VALUE!</v>
      </c>
      <c r="CN182" t="e">
        <f>AND(Bills!W753,"AAAAAGfX3ls=")</f>
        <v>#VALUE!</v>
      </c>
      <c r="CO182" t="e">
        <f>AND(Bills!#REF!,"AAAAAGfX3lw=")</f>
        <v>#REF!</v>
      </c>
      <c r="CP182" t="e">
        <f>AND(Bills!#REF!,"AAAAAGfX3l0=")</f>
        <v>#REF!</v>
      </c>
      <c r="CQ182" t="e">
        <f>AND(Bills!Y753,"AAAAAGfX3l4=")</f>
        <v>#VALUE!</v>
      </c>
      <c r="CR182" t="e">
        <f>AND(Bills!Z753,"AAAAAGfX3l8=")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AND(Bills!AA753,"AAAAAGfX3mk=")</f>
        <v>#VALUE!</v>
      </c>
      <c r="DC182" t="e">
        <f>AND(Bills!AB753,"AAAAAGfX3mo=")</f>
        <v>#VALUE!</v>
      </c>
      <c r="DD182" t="e">
        <f>AND(Bills!#REF!,"AAAAAGfX3ms=")</f>
        <v>#REF!</v>
      </c>
      <c r="DE182" t="e">
        <f>AND(Bills!#REF!,"AAAAAGfX3mw=")</f>
        <v>#REF!</v>
      </c>
      <c r="DF182" t="e">
        <f>AND(Bills!#REF!,"AAAAAGfX3m0=")</f>
        <v>#REF!</v>
      </c>
      <c r="DG182" t="e">
        <f>AND(Bills!AC753,"AAAAAGfX3m4=")</f>
        <v>#VALUE!</v>
      </c>
      <c r="DH182" t="e">
        <f>AND(Bills!AD753,"AAAAAGfX3m8=")</f>
        <v>#VALUE!</v>
      </c>
      <c r="DI182" t="e">
        <f>AND(Bills!#REF!,"AAAAAGfX3nA=")</f>
        <v>#REF!</v>
      </c>
      <c r="DJ182">
        <f>IF(Bills!754:754,"AAAAAGfX3nE=",0)</f>
        <v>0</v>
      </c>
      <c r="DK182" t="e">
        <f>AND(Bills!B754,"AAAAAGfX3nI=")</f>
        <v>#VALUE!</v>
      </c>
      <c r="DL182" t="e">
        <f>AND(Bills!#REF!,"AAAAAGfX3nM=")</f>
        <v>#REF!</v>
      </c>
      <c r="DM182" t="e">
        <f>AND(Bills!C754,"AAAAAGfX3nQ=")</f>
        <v>#VALUE!</v>
      </c>
      <c r="DN182" t="e">
        <f>AND(Bills!D754,"AAAAAGfX3nU=")</f>
        <v>#VALUE!</v>
      </c>
      <c r="DO182" t="e">
        <f>AND(Bills!E754,"AAAAAGfX3nY=")</f>
        <v>#VALUE!</v>
      </c>
      <c r="DP182" t="e">
        <f>AND(Bills!#REF!,"AAAAAGfX3nc=")</f>
        <v>#REF!</v>
      </c>
      <c r="DQ182" t="e">
        <f>AND(Bills!#REF!,"AAAAAGfX3ng=")</f>
        <v>#REF!</v>
      </c>
      <c r="DR182" t="e">
        <f>AND(Bills!#REF!,"AAAAAGfX3nk=")</f>
        <v>#REF!</v>
      </c>
      <c r="DS182" t="e">
        <f>AND(Bills!F754,"AAAAAGfX3no=")</f>
        <v>#VALUE!</v>
      </c>
      <c r="DT182" t="e">
        <f>AND(Bills!#REF!,"AAAAAGfX3ns=")</f>
        <v>#REF!</v>
      </c>
      <c r="DU182" t="e">
        <f>AND(Bills!G754,"AAAAAGfX3nw=")</f>
        <v>#VALUE!</v>
      </c>
      <c r="DV182" t="e">
        <f>AND(Bills!H754,"AAAAAGfX3n0=")</f>
        <v>#VALUE!</v>
      </c>
      <c r="DW182" t="e">
        <f>AND(Bills!I754,"AAAAAGfX3n4=")</f>
        <v>#VALUE!</v>
      </c>
      <c r="DX182" t="e">
        <f>AND(Bills!J754,"AAAAAGfX3n8=")</f>
        <v>#VALUE!</v>
      </c>
      <c r="DY182" t="e">
        <f>AND(Bills!K754,"AAAAAGfX3oA=")</f>
        <v>#VALUE!</v>
      </c>
      <c r="DZ182" t="e">
        <f>AND(Bills!L754,"AAAAAGfX3oE=")</f>
        <v>#VALUE!</v>
      </c>
      <c r="EA182" t="e">
        <f>AND(Bills!#REF!,"AAAAAGfX3oI=")</f>
        <v>#REF!</v>
      </c>
      <c r="EB182" t="e">
        <f>AND(Bills!M754,"AAAAAGfX3oM=")</f>
        <v>#VALUE!</v>
      </c>
      <c r="EC182" t="e">
        <f>AND(Bills!N754,"AAAAAGfX3oQ=")</f>
        <v>#VALUE!</v>
      </c>
      <c r="ED182" t="e">
        <f>AND(Bills!O754,"AAAAAGfX3oU=")</f>
        <v>#VALUE!</v>
      </c>
      <c r="EE182" t="e">
        <f>AND(Bills!P754,"AAAAAGfX3oY=")</f>
        <v>#VALUE!</v>
      </c>
      <c r="EF182" t="e">
        <f>AND(Bills!Q754,"AAAAAGfX3oc=")</f>
        <v>#VALUE!</v>
      </c>
      <c r="EG182" t="e">
        <f>AND(Bills!R754,"AAAAAGfX3og=")</f>
        <v>#VALUE!</v>
      </c>
      <c r="EH182" t="e">
        <f>AND(Bills!S754,"AAAAAGfX3ok=")</f>
        <v>#VALUE!</v>
      </c>
      <c r="EI182" t="e">
        <f>AND(Bills!T754,"AAAAAGfX3oo=")</f>
        <v>#VALUE!</v>
      </c>
      <c r="EJ182" t="e">
        <f>AND(Bills!#REF!,"AAAAAGfX3os=")</f>
        <v>#REF!</v>
      </c>
      <c r="EK182" t="e">
        <f>AND(Bills!U754,"AAAAAGfX3ow=")</f>
        <v>#VALUE!</v>
      </c>
      <c r="EL182" t="e">
        <f>AND(Bills!V754,"AAAAAGfX3o0=")</f>
        <v>#VALUE!</v>
      </c>
      <c r="EM182" t="e">
        <f>AND(Bills!W754,"AAAAAGfX3o4=")</f>
        <v>#VALUE!</v>
      </c>
      <c r="EN182" t="e">
        <f>AND(Bills!#REF!,"AAAAAGfX3o8=")</f>
        <v>#REF!</v>
      </c>
      <c r="EO182" t="e">
        <f>AND(Bills!#REF!,"AAAAAGfX3pA=")</f>
        <v>#REF!</v>
      </c>
      <c r="EP182" t="e">
        <f>AND(Bills!Y754,"AAAAAGfX3pE=")</f>
        <v>#VALUE!</v>
      </c>
      <c r="EQ182" t="e">
        <f>AND(Bills!Z754,"AAAAAGfX3pI=")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AND(Bills!AA754,"AAAAAGfX3pw=")</f>
        <v>#VALUE!</v>
      </c>
      <c r="FB182" t="e">
        <f>AND(Bills!AB754,"AAAAAGfX3p0=")</f>
        <v>#VALUE!</v>
      </c>
      <c r="FC182" t="e">
        <f>AND(Bills!#REF!,"AAAAAGfX3p4=")</f>
        <v>#REF!</v>
      </c>
      <c r="FD182" t="e">
        <f>AND(Bills!#REF!,"AAAAAGfX3p8=")</f>
        <v>#REF!</v>
      </c>
      <c r="FE182" t="e">
        <f>AND(Bills!#REF!,"AAAAAGfX3qA=")</f>
        <v>#REF!</v>
      </c>
      <c r="FF182" t="e">
        <f>AND(Bills!AC754,"AAAAAGfX3qE=")</f>
        <v>#VALUE!</v>
      </c>
      <c r="FG182" t="e">
        <f>AND(Bills!AD754,"AAAAAGfX3qI=")</f>
        <v>#VALUE!</v>
      </c>
      <c r="FH182" t="e">
        <f>AND(Bills!#REF!,"AAAAAGfX3qM=")</f>
        <v>#REF!</v>
      </c>
      <c r="FI182">
        <f>IF(Bills!755:755,"AAAAAGfX3qQ=",0)</f>
        <v>0</v>
      </c>
      <c r="FJ182" t="e">
        <f>AND(Bills!B755,"AAAAAGfX3qU=")</f>
        <v>#VALUE!</v>
      </c>
      <c r="FK182" t="e">
        <f>AND(Bills!#REF!,"AAAAAGfX3qY=")</f>
        <v>#REF!</v>
      </c>
      <c r="FL182" t="e">
        <f>AND(Bills!C755,"AAAAAGfX3qc=")</f>
        <v>#VALUE!</v>
      </c>
      <c r="FM182" t="e">
        <f>AND(Bills!D755,"AAAAAGfX3qg=")</f>
        <v>#VALUE!</v>
      </c>
      <c r="FN182" t="e">
        <f>AND(Bills!E755,"AAAAAGfX3qk=")</f>
        <v>#VALUE!</v>
      </c>
      <c r="FO182" t="e">
        <f>AND(Bills!#REF!,"AAAAAGfX3qo=")</f>
        <v>#REF!</v>
      </c>
      <c r="FP182" t="e">
        <f>AND(Bills!#REF!,"AAAAAGfX3qs=")</f>
        <v>#REF!</v>
      </c>
      <c r="FQ182" t="e">
        <f>AND(Bills!#REF!,"AAAAAGfX3qw=")</f>
        <v>#REF!</v>
      </c>
      <c r="FR182" t="e">
        <f>AND(Bills!F755,"AAAAAGfX3q0=")</f>
        <v>#VALUE!</v>
      </c>
      <c r="FS182" t="e">
        <f>AND(Bills!#REF!,"AAAAAGfX3q4=")</f>
        <v>#REF!</v>
      </c>
      <c r="FT182" t="e">
        <f>AND(Bills!G755,"AAAAAGfX3q8=")</f>
        <v>#VALUE!</v>
      </c>
      <c r="FU182" t="e">
        <f>AND(Bills!H755,"AAAAAGfX3rA=")</f>
        <v>#VALUE!</v>
      </c>
      <c r="FV182" t="e">
        <f>AND(Bills!I755,"AAAAAGfX3rE=")</f>
        <v>#VALUE!</v>
      </c>
      <c r="FW182" t="e">
        <f>AND(Bills!J755,"AAAAAGfX3rI=")</f>
        <v>#VALUE!</v>
      </c>
      <c r="FX182" t="e">
        <f>AND(Bills!K755,"AAAAAGfX3rM=")</f>
        <v>#VALUE!</v>
      </c>
      <c r="FY182" t="e">
        <f>AND(Bills!L755,"AAAAAGfX3rQ=")</f>
        <v>#VALUE!</v>
      </c>
      <c r="FZ182" t="e">
        <f>AND(Bills!#REF!,"AAAAAGfX3rU=")</f>
        <v>#REF!</v>
      </c>
      <c r="GA182" t="e">
        <f>AND(Bills!M755,"AAAAAGfX3rY=")</f>
        <v>#VALUE!</v>
      </c>
      <c r="GB182" t="e">
        <f>AND(Bills!N755,"AAAAAGfX3rc=")</f>
        <v>#VALUE!</v>
      </c>
      <c r="GC182" t="e">
        <f>AND(Bills!O755,"AAAAAGfX3rg=")</f>
        <v>#VALUE!</v>
      </c>
      <c r="GD182" t="e">
        <f>AND(Bills!P755,"AAAAAGfX3rk=")</f>
        <v>#VALUE!</v>
      </c>
      <c r="GE182" t="e">
        <f>AND(Bills!Q755,"AAAAAGfX3ro=")</f>
        <v>#VALUE!</v>
      </c>
      <c r="GF182" t="e">
        <f>AND(Bills!R755,"AAAAAGfX3rs=")</f>
        <v>#VALUE!</v>
      </c>
      <c r="GG182" t="e">
        <f>AND(Bills!S755,"AAAAAGfX3rw=")</f>
        <v>#VALUE!</v>
      </c>
      <c r="GH182" t="e">
        <f>AND(Bills!T755,"AAAAAGfX3r0=")</f>
        <v>#VALUE!</v>
      </c>
      <c r="GI182" t="e">
        <f>AND(Bills!#REF!,"AAAAAGfX3r4=")</f>
        <v>#REF!</v>
      </c>
      <c r="GJ182" t="e">
        <f>AND(Bills!U755,"AAAAAGfX3r8=")</f>
        <v>#VALUE!</v>
      </c>
      <c r="GK182" t="e">
        <f>AND(Bills!V755,"AAAAAGfX3sA=")</f>
        <v>#VALUE!</v>
      </c>
      <c r="GL182" t="e">
        <f>AND(Bills!W755,"AAAAAGfX3sE=")</f>
        <v>#VALUE!</v>
      </c>
      <c r="GM182" t="e">
        <f>AND(Bills!#REF!,"AAAAAGfX3sI=")</f>
        <v>#REF!</v>
      </c>
      <c r="GN182" t="e">
        <f>AND(Bills!#REF!,"AAAAAGfX3sM=")</f>
        <v>#REF!</v>
      </c>
      <c r="GO182" t="e">
        <f>AND(Bills!Y755,"AAAAAGfX3sQ=")</f>
        <v>#VALUE!</v>
      </c>
      <c r="GP182" t="e">
        <f>AND(Bills!Z755,"AAAAAGfX3sU=")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AND(Bills!AA755,"AAAAAGfX3s8=")</f>
        <v>#VALUE!</v>
      </c>
      <c r="HA182" t="e">
        <f>AND(Bills!AB755,"AAAAAGfX3tA=")</f>
        <v>#VALUE!</v>
      </c>
      <c r="HB182" t="e">
        <f>AND(Bills!#REF!,"AAAAAGfX3tE=")</f>
        <v>#REF!</v>
      </c>
      <c r="HC182" t="e">
        <f>AND(Bills!#REF!,"AAAAAGfX3tI=")</f>
        <v>#REF!</v>
      </c>
      <c r="HD182" t="e">
        <f>AND(Bills!#REF!,"AAAAAGfX3tM=")</f>
        <v>#REF!</v>
      </c>
      <c r="HE182" t="e">
        <f>AND(Bills!AC755,"AAAAAGfX3tQ=")</f>
        <v>#VALUE!</v>
      </c>
      <c r="HF182" t="e">
        <f>AND(Bills!AD755,"AAAAAGfX3tU=")</f>
        <v>#VALUE!</v>
      </c>
      <c r="HG182" t="e">
        <f>AND(Bills!#REF!,"AAAAAGfX3tY=")</f>
        <v>#REF!</v>
      </c>
      <c r="HH182">
        <f>IF(Bills!756:756,"AAAAAGfX3tc=",0)</f>
        <v>0</v>
      </c>
      <c r="HI182" t="e">
        <f>AND(Bills!B756,"AAAAAGfX3tg=")</f>
        <v>#VALUE!</v>
      </c>
      <c r="HJ182" t="e">
        <f>AND(Bills!#REF!,"AAAAAGfX3tk=")</f>
        <v>#REF!</v>
      </c>
      <c r="HK182" t="e">
        <f>AND(Bills!C756,"AAAAAGfX3to=")</f>
        <v>#VALUE!</v>
      </c>
      <c r="HL182" t="e">
        <f>AND(Bills!D756,"AAAAAGfX3ts=")</f>
        <v>#VALUE!</v>
      </c>
      <c r="HM182" t="e">
        <f>AND(Bills!E756,"AAAAAGfX3tw=")</f>
        <v>#VALUE!</v>
      </c>
      <c r="HN182" t="e">
        <f>AND(Bills!#REF!,"AAAAAGfX3t0=")</f>
        <v>#REF!</v>
      </c>
      <c r="HO182" t="e">
        <f>AND(Bills!#REF!,"AAAAAGfX3t4=")</f>
        <v>#REF!</v>
      </c>
      <c r="HP182" t="e">
        <f>AND(Bills!#REF!,"AAAAAGfX3t8=")</f>
        <v>#REF!</v>
      </c>
      <c r="HQ182" t="e">
        <f>AND(Bills!F756,"AAAAAGfX3uA=")</f>
        <v>#VALUE!</v>
      </c>
      <c r="HR182" t="e">
        <f>AND(Bills!#REF!,"AAAAAGfX3uE=")</f>
        <v>#REF!</v>
      </c>
      <c r="HS182" t="e">
        <f>AND(Bills!G756,"AAAAAGfX3uI=")</f>
        <v>#VALUE!</v>
      </c>
      <c r="HT182" t="e">
        <f>AND(Bills!H756,"AAAAAGfX3uM=")</f>
        <v>#VALUE!</v>
      </c>
      <c r="HU182" t="e">
        <f>AND(Bills!I756,"AAAAAGfX3uQ=")</f>
        <v>#VALUE!</v>
      </c>
      <c r="HV182" t="e">
        <f>AND(Bills!J756,"AAAAAGfX3uU=")</f>
        <v>#VALUE!</v>
      </c>
      <c r="HW182" t="e">
        <f>AND(Bills!K756,"AAAAAGfX3uY=")</f>
        <v>#VALUE!</v>
      </c>
      <c r="HX182" t="e">
        <f>AND(Bills!L756,"AAAAAGfX3uc=")</f>
        <v>#VALUE!</v>
      </c>
      <c r="HY182" t="e">
        <f>AND(Bills!#REF!,"AAAAAGfX3ug=")</f>
        <v>#REF!</v>
      </c>
      <c r="HZ182" t="e">
        <f>AND(Bills!M756,"AAAAAGfX3uk=")</f>
        <v>#VALUE!</v>
      </c>
      <c r="IA182" t="e">
        <f>AND(Bills!N756,"AAAAAGfX3uo=")</f>
        <v>#VALUE!</v>
      </c>
      <c r="IB182" t="e">
        <f>AND(Bills!O756,"AAAAAGfX3us=")</f>
        <v>#VALUE!</v>
      </c>
      <c r="IC182" t="e">
        <f>AND(Bills!P756,"AAAAAGfX3uw=")</f>
        <v>#VALUE!</v>
      </c>
      <c r="ID182" t="e">
        <f>AND(Bills!Q756,"AAAAAGfX3u0=")</f>
        <v>#VALUE!</v>
      </c>
      <c r="IE182" t="e">
        <f>AND(Bills!R756,"AAAAAGfX3u4=")</f>
        <v>#VALUE!</v>
      </c>
      <c r="IF182" t="e">
        <f>AND(Bills!S756,"AAAAAGfX3u8=")</f>
        <v>#VALUE!</v>
      </c>
      <c r="IG182" t="e">
        <f>AND(Bills!T756,"AAAAAGfX3vA=")</f>
        <v>#VALUE!</v>
      </c>
      <c r="IH182" t="e">
        <f>AND(Bills!#REF!,"AAAAAGfX3vE=")</f>
        <v>#REF!</v>
      </c>
      <c r="II182" t="e">
        <f>AND(Bills!U756,"AAAAAGfX3vI=")</f>
        <v>#VALUE!</v>
      </c>
      <c r="IJ182" t="e">
        <f>AND(Bills!V756,"AAAAAGfX3vM=")</f>
        <v>#VALUE!</v>
      </c>
      <c r="IK182" t="e">
        <f>AND(Bills!W756,"AAAAAGfX3vQ=")</f>
        <v>#VALUE!</v>
      </c>
      <c r="IL182" t="e">
        <f>AND(Bills!#REF!,"AAAAAGfX3vU=")</f>
        <v>#REF!</v>
      </c>
      <c r="IM182" t="e">
        <f>AND(Bills!#REF!,"AAAAAGfX3vY=")</f>
        <v>#REF!</v>
      </c>
      <c r="IN182" t="e">
        <f>AND(Bills!Y756,"AAAAAGfX3vc=")</f>
        <v>#VALUE!</v>
      </c>
      <c r="IO182" t="e">
        <f>AND(Bills!Z756,"AAAAAGfX3vg=")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AND(Bills!AA756,"AAAAAE9vzgI=")</f>
        <v>#VALUE!</v>
      </c>
      <c r="D183" t="e">
        <f>AND(Bills!AB756,"AAAAAE9vzgM=")</f>
        <v>#VALUE!</v>
      </c>
      <c r="E183" t="e">
        <f>AND(Bills!#REF!,"AAAAAE9vzgQ=")</f>
        <v>#REF!</v>
      </c>
      <c r="F183" t="e">
        <f>AND(Bills!#REF!,"AAAAAE9vzgU=")</f>
        <v>#REF!</v>
      </c>
      <c r="G183" t="e">
        <f>AND(Bills!#REF!,"AAAAAE9vzgY=")</f>
        <v>#REF!</v>
      </c>
      <c r="H183" t="e">
        <f>AND(Bills!AC756,"AAAAAE9vzgc=")</f>
        <v>#VALUE!</v>
      </c>
      <c r="I183" t="e">
        <f>AND(Bills!AD756,"AAAAAE9vzgg=")</f>
        <v>#VALUE!</v>
      </c>
      <c r="J183" t="e">
        <f>AND(Bills!#REF!,"AAAAAE9vzgk=")</f>
        <v>#REF!</v>
      </c>
      <c r="K183">
        <f>IF(Bills!757:757,"AAAAAE9vzgo=",0)</f>
        <v>0</v>
      </c>
      <c r="L183" t="e">
        <f>AND(Bills!B757,"AAAAAE9vzgs=")</f>
        <v>#VALUE!</v>
      </c>
      <c r="M183" t="e">
        <f>AND(Bills!#REF!,"AAAAAE9vzgw=")</f>
        <v>#REF!</v>
      </c>
      <c r="N183" t="e">
        <f>AND(Bills!C757,"AAAAAE9vzg0=")</f>
        <v>#VALUE!</v>
      </c>
      <c r="O183" t="e">
        <f>AND(Bills!D757,"AAAAAE9vzg4=")</f>
        <v>#VALUE!</v>
      </c>
      <c r="P183" t="e">
        <f>AND(Bills!E757,"AAAAAE9vzg8=")</f>
        <v>#VALUE!</v>
      </c>
      <c r="Q183" t="e">
        <f>AND(Bills!#REF!,"AAAAAE9vzhA=")</f>
        <v>#REF!</v>
      </c>
      <c r="R183" t="e">
        <f>AND(Bills!#REF!,"AAAAAE9vzhE=")</f>
        <v>#REF!</v>
      </c>
      <c r="S183" t="e">
        <f>AND(Bills!#REF!,"AAAAAE9vzhI=")</f>
        <v>#REF!</v>
      </c>
      <c r="T183" t="e">
        <f>AND(Bills!F757,"AAAAAE9vzhM=")</f>
        <v>#VALUE!</v>
      </c>
      <c r="U183" t="e">
        <f>AND(Bills!#REF!,"AAAAAE9vzhQ=")</f>
        <v>#REF!</v>
      </c>
      <c r="V183" t="e">
        <f>AND(Bills!G757,"AAAAAE9vzhU=")</f>
        <v>#VALUE!</v>
      </c>
      <c r="W183" t="e">
        <f>AND(Bills!H757,"AAAAAE9vzhY=")</f>
        <v>#VALUE!</v>
      </c>
      <c r="X183" t="e">
        <f>AND(Bills!I757,"AAAAAE9vzhc=")</f>
        <v>#VALUE!</v>
      </c>
      <c r="Y183" t="e">
        <f>AND(Bills!J757,"AAAAAE9vzhg=")</f>
        <v>#VALUE!</v>
      </c>
      <c r="Z183" t="e">
        <f>AND(Bills!K757,"AAAAAE9vzhk=")</f>
        <v>#VALUE!</v>
      </c>
      <c r="AA183" t="e">
        <f>AND(Bills!L757,"AAAAAE9vzho=")</f>
        <v>#VALUE!</v>
      </c>
      <c r="AB183" t="e">
        <f>AND(Bills!#REF!,"AAAAAE9vzhs=")</f>
        <v>#REF!</v>
      </c>
      <c r="AC183" t="e">
        <f>AND(Bills!M757,"AAAAAE9vzhw=")</f>
        <v>#VALUE!</v>
      </c>
      <c r="AD183" t="e">
        <f>AND(Bills!N757,"AAAAAE9vzh0=")</f>
        <v>#VALUE!</v>
      </c>
      <c r="AE183" t="e">
        <f>AND(Bills!O757,"AAAAAE9vzh4=")</f>
        <v>#VALUE!</v>
      </c>
      <c r="AF183" t="e">
        <f>AND(Bills!P757,"AAAAAE9vzh8=")</f>
        <v>#VALUE!</v>
      </c>
      <c r="AG183" t="e">
        <f>AND(Bills!Q757,"AAAAAE9vziA=")</f>
        <v>#VALUE!</v>
      </c>
      <c r="AH183" t="e">
        <f>AND(Bills!R757,"AAAAAE9vziE=")</f>
        <v>#VALUE!</v>
      </c>
      <c r="AI183" t="e">
        <f>AND(Bills!S757,"AAAAAE9vziI=")</f>
        <v>#VALUE!</v>
      </c>
      <c r="AJ183" t="e">
        <f>AND(Bills!T757,"AAAAAE9vziM=")</f>
        <v>#VALUE!</v>
      </c>
      <c r="AK183" t="e">
        <f>AND(Bills!#REF!,"AAAAAE9vziQ=")</f>
        <v>#REF!</v>
      </c>
      <c r="AL183" t="e">
        <f>AND(Bills!U757,"AAAAAE9vziU=")</f>
        <v>#VALUE!</v>
      </c>
      <c r="AM183" t="e">
        <f>AND(Bills!V757,"AAAAAE9vziY=")</f>
        <v>#VALUE!</v>
      </c>
      <c r="AN183" t="e">
        <f>AND(Bills!W757,"AAAAAE9vzic=")</f>
        <v>#VALUE!</v>
      </c>
      <c r="AO183" t="e">
        <f>AND(Bills!#REF!,"AAAAAE9vzig=")</f>
        <v>#REF!</v>
      </c>
      <c r="AP183" t="e">
        <f>AND(Bills!#REF!,"AAAAAE9vzik=")</f>
        <v>#REF!</v>
      </c>
      <c r="AQ183" t="e">
        <f>AND(Bills!Y757,"AAAAAE9vzio=")</f>
        <v>#VALUE!</v>
      </c>
      <c r="AR183" t="e">
        <f>AND(Bills!Z757,"AAAAAE9vzis=")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AND(Bills!AA757,"AAAAAE9vzjU=")</f>
        <v>#VALUE!</v>
      </c>
      <c r="BC183" t="e">
        <f>AND(Bills!AB757,"AAAAAE9vzjY=")</f>
        <v>#VALUE!</v>
      </c>
      <c r="BD183" t="e">
        <f>AND(Bills!#REF!,"AAAAAE9vzjc=")</f>
        <v>#REF!</v>
      </c>
      <c r="BE183" t="e">
        <f>AND(Bills!#REF!,"AAAAAE9vzjg=")</f>
        <v>#REF!</v>
      </c>
      <c r="BF183" t="e">
        <f>AND(Bills!#REF!,"AAAAAE9vzjk=")</f>
        <v>#REF!</v>
      </c>
      <c r="BG183" t="e">
        <f>AND(Bills!AC757,"AAAAAE9vzjo=")</f>
        <v>#VALUE!</v>
      </c>
      <c r="BH183" t="e">
        <f>AND(Bills!AD757,"AAAAAE9vzjs=")</f>
        <v>#VALUE!</v>
      </c>
      <c r="BI183" t="e">
        <f>AND(Bills!#REF!,"AAAAAE9vzjw=")</f>
        <v>#REF!</v>
      </c>
      <c r="BJ183">
        <f>IF(Bills!758:758,"AAAAAE9vzj0=",0)</f>
        <v>0</v>
      </c>
      <c r="BK183" t="e">
        <f>AND(Bills!B758,"AAAAAE9vzj4=")</f>
        <v>#VALUE!</v>
      </c>
      <c r="BL183" t="e">
        <f>AND(Bills!#REF!,"AAAAAE9vzj8=")</f>
        <v>#REF!</v>
      </c>
      <c r="BM183" t="e">
        <f>AND(Bills!C758,"AAAAAE9vzkA=")</f>
        <v>#VALUE!</v>
      </c>
      <c r="BN183" t="e">
        <f>AND(Bills!D758,"AAAAAE9vzkE=")</f>
        <v>#VALUE!</v>
      </c>
      <c r="BO183" t="e">
        <f>AND(Bills!E758,"AAAAAE9vzkI=")</f>
        <v>#VALUE!</v>
      </c>
      <c r="BP183" t="e">
        <f>AND(Bills!#REF!,"AAAAAE9vzkM=")</f>
        <v>#REF!</v>
      </c>
      <c r="BQ183" t="e">
        <f>AND(Bills!#REF!,"AAAAAE9vzkQ=")</f>
        <v>#REF!</v>
      </c>
      <c r="BR183" t="e">
        <f>AND(Bills!#REF!,"AAAAAE9vzkU=")</f>
        <v>#REF!</v>
      </c>
      <c r="BS183" t="e">
        <f>AND(Bills!F758,"AAAAAE9vzkY=")</f>
        <v>#VALUE!</v>
      </c>
      <c r="BT183" t="e">
        <f>AND(Bills!#REF!,"AAAAAE9vzkc=")</f>
        <v>#REF!</v>
      </c>
      <c r="BU183" t="e">
        <f>AND(Bills!G758,"AAAAAE9vzkg=")</f>
        <v>#VALUE!</v>
      </c>
      <c r="BV183" t="e">
        <f>AND(Bills!H758,"AAAAAE9vzkk=")</f>
        <v>#VALUE!</v>
      </c>
      <c r="BW183" t="e">
        <f>AND(Bills!I758,"AAAAAE9vzko=")</f>
        <v>#VALUE!</v>
      </c>
      <c r="BX183" t="e">
        <f>AND(Bills!J758,"AAAAAE9vzks=")</f>
        <v>#VALUE!</v>
      </c>
      <c r="BY183" t="e">
        <f>AND(Bills!K758,"AAAAAE9vzkw=")</f>
        <v>#VALUE!</v>
      </c>
      <c r="BZ183" t="e">
        <f>AND(Bills!L758,"AAAAAE9vzk0=")</f>
        <v>#VALUE!</v>
      </c>
      <c r="CA183" t="e">
        <f>AND(Bills!#REF!,"AAAAAE9vzk4=")</f>
        <v>#REF!</v>
      </c>
      <c r="CB183" t="e">
        <f>AND(Bills!M758,"AAAAAE9vzk8=")</f>
        <v>#VALUE!</v>
      </c>
      <c r="CC183" t="e">
        <f>AND(Bills!N758,"AAAAAE9vzlA=")</f>
        <v>#VALUE!</v>
      </c>
      <c r="CD183" t="e">
        <f>AND(Bills!O758,"AAAAAE9vzlE=")</f>
        <v>#VALUE!</v>
      </c>
      <c r="CE183" t="e">
        <f>AND(Bills!P758,"AAAAAE9vzlI=")</f>
        <v>#VALUE!</v>
      </c>
      <c r="CF183" t="e">
        <f>AND(Bills!Q758,"AAAAAE9vzlM=")</f>
        <v>#VALUE!</v>
      </c>
      <c r="CG183" t="e">
        <f>AND(Bills!R758,"AAAAAE9vzlQ=")</f>
        <v>#VALUE!</v>
      </c>
      <c r="CH183" t="e">
        <f>AND(Bills!S758,"AAAAAE9vzlU=")</f>
        <v>#VALUE!</v>
      </c>
      <c r="CI183" t="e">
        <f>AND(Bills!T758,"AAAAAE9vzlY=")</f>
        <v>#VALUE!</v>
      </c>
      <c r="CJ183" t="e">
        <f>AND(Bills!#REF!,"AAAAAE9vzlc=")</f>
        <v>#REF!</v>
      </c>
      <c r="CK183" t="e">
        <f>AND(Bills!U758,"AAAAAE9vzlg=")</f>
        <v>#VALUE!</v>
      </c>
      <c r="CL183" t="e">
        <f>AND(Bills!V758,"AAAAAE9vzlk=")</f>
        <v>#VALUE!</v>
      </c>
      <c r="CM183" t="e">
        <f>AND(Bills!W758,"AAAAAE9vzlo=")</f>
        <v>#VALUE!</v>
      </c>
      <c r="CN183" t="e">
        <f>AND(Bills!#REF!,"AAAAAE9vzls=")</f>
        <v>#REF!</v>
      </c>
      <c r="CO183" t="e">
        <f>AND(Bills!#REF!,"AAAAAE9vzlw=")</f>
        <v>#REF!</v>
      </c>
      <c r="CP183" t="e">
        <f>AND(Bills!Y758,"AAAAAE9vzl0=")</f>
        <v>#VALUE!</v>
      </c>
      <c r="CQ183" t="e">
        <f>AND(Bills!Z758,"AAAAAE9vzl4=")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AND(Bills!AA758,"AAAAAE9vzmg=")</f>
        <v>#VALUE!</v>
      </c>
      <c r="DB183" t="e">
        <f>AND(Bills!AB758,"AAAAAE9vzmk=")</f>
        <v>#VALUE!</v>
      </c>
      <c r="DC183" t="e">
        <f>AND(Bills!#REF!,"AAAAAE9vzmo=")</f>
        <v>#REF!</v>
      </c>
      <c r="DD183" t="e">
        <f>AND(Bills!#REF!,"AAAAAE9vzms=")</f>
        <v>#REF!</v>
      </c>
      <c r="DE183" t="e">
        <f>AND(Bills!#REF!,"AAAAAE9vzmw=")</f>
        <v>#REF!</v>
      </c>
      <c r="DF183" t="e">
        <f>AND(Bills!AC758,"AAAAAE9vzm0=")</f>
        <v>#VALUE!</v>
      </c>
      <c r="DG183" t="e">
        <f>AND(Bills!AD758,"AAAAAE9vzm4=")</f>
        <v>#VALUE!</v>
      </c>
      <c r="DH183" t="e">
        <f>AND(Bills!#REF!,"AAAAAE9vzm8=")</f>
        <v>#REF!</v>
      </c>
      <c r="DI183">
        <f>IF(Bills!759:759,"AAAAAE9vznA=",0)</f>
        <v>0</v>
      </c>
      <c r="DJ183" t="e">
        <f>AND(Bills!B759,"AAAAAE9vznE=")</f>
        <v>#VALUE!</v>
      </c>
      <c r="DK183" t="e">
        <f>AND(Bills!#REF!,"AAAAAE9vznI=")</f>
        <v>#REF!</v>
      </c>
      <c r="DL183" t="e">
        <f>AND(Bills!C759,"AAAAAE9vznM=")</f>
        <v>#VALUE!</v>
      </c>
      <c r="DM183" t="e">
        <f>AND(Bills!D759,"AAAAAE9vznQ=")</f>
        <v>#VALUE!</v>
      </c>
      <c r="DN183" t="e">
        <f>AND(Bills!E759,"AAAAAE9vznU=")</f>
        <v>#VALUE!</v>
      </c>
      <c r="DO183" t="e">
        <f>AND(Bills!#REF!,"AAAAAE9vznY=")</f>
        <v>#REF!</v>
      </c>
      <c r="DP183" t="e">
        <f>AND(Bills!#REF!,"AAAAAE9vznc=")</f>
        <v>#REF!</v>
      </c>
      <c r="DQ183" t="e">
        <f>AND(Bills!#REF!,"AAAAAE9vzng=")</f>
        <v>#REF!</v>
      </c>
      <c r="DR183" t="e">
        <f>AND(Bills!F759,"AAAAAE9vznk=")</f>
        <v>#VALUE!</v>
      </c>
      <c r="DS183" t="e">
        <f>AND(Bills!#REF!,"AAAAAE9vzno=")</f>
        <v>#REF!</v>
      </c>
      <c r="DT183" t="e">
        <f>AND(Bills!G759,"AAAAAE9vzns=")</f>
        <v>#VALUE!</v>
      </c>
      <c r="DU183" t="e">
        <f>AND(Bills!H759,"AAAAAE9vznw=")</f>
        <v>#VALUE!</v>
      </c>
      <c r="DV183" t="e">
        <f>AND(Bills!I759,"AAAAAE9vzn0=")</f>
        <v>#VALUE!</v>
      </c>
      <c r="DW183" t="e">
        <f>AND(Bills!J759,"AAAAAE9vzn4=")</f>
        <v>#VALUE!</v>
      </c>
      <c r="DX183" t="e">
        <f>AND(Bills!K759,"AAAAAE9vzn8=")</f>
        <v>#VALUE!</v>
      </c>
      <c r="DY183" t="e">
        <f>AND(Bills!L759,"AAAAAE9vzoA=")</f>
        <v>#VALUE!</v>
      </c>
      <c r="DZ183" t="e">
        <f>AND(Bills!#REF!,"AAAAAE9vzoE=")</f>
        <v>#REF!</v>
      </c>
      <c r="EA183" t="e">
        <f>AND(Bills!M759,"AAAAAE9vzoI=")</f>
        <v>#VALUE!</v>
      </c>
      <c r="EB183" t="e">
        <f>AND(Bills!N759,"AAAAAE9vzoM=")</f>
        <v>#VALUE!</v>
      </c>
      <c r="EC183" t="e">
        <f>AND(Bills!O759,"AAAAAE9vzoQ=")</f>
        <v>#VALUE!</v>
      </c>
      <c r="ED183" t="e">
        <f>AND(Bills!P759,"AAAAAE9vzoU=")</f>
        <v>#VALUE!</v>
      </c>
      <c r="EE183" t="e">
        <f>AND(Bills!Q759,"AAAAAE9vzoY=")</f>
        <v>#VALUE!</v>
      </c>
      <c r="EF183" t="e">
        <f>AND(Bills!R759,"AAAAAE9vzoc=")</f>
        <v>#VALUE!</v>
      </c>
      <c r="EG183" t="e">
        <f>AND(Bills!S759,"AAAAAE9vzog=")</f>
        <v>#VALUE!</v>
      </c>
      <c r="EH183" t="e">
        <f>AND(Bills!T759,"AAAAAE9vzok=")</f>
        <v>#VALUE!</v>
      </c>
      <c r="EI183" t="e">
        <f>AND(Bills!#REF!,"AAAAAE9vzoo=")</f>
        <v>#REF!</v>
      </c>
      <c r="EJ183" t="e">
        <f>AND(Bills!U759,"AAAAAE9vzos=")</f>
        <v>#VALUE!</v>
      </c>
      <c r="EK183" t="e">
        <f>AND(Bills!V759,"AAAAAE9vzow=")</f>
        <v>#VALUE!</v>
      </c>
      <c r="EL183" t="e">
        <f>AND(Bills!W759,"AAAAAE9vzo0=")</f>
        <v>#VALUE!</v>
      </c>
      <c r="EM183" t="e">
        <f>AND(Bills!#REF!,"AAAAAE9vzo4=")</f>
        <v>#REF!</v>
      </c>
      <c r="EN183" t="e">
        <f>AND(Bills!#REF!,"AAAAAE9vzo8=")</f>
        <v>#REF!</v>
      </c>
      <c r="EO183" t="e">
        <f>AND(Bills!Y759,"AAAAAE9vzpA=")</f>
        <v>#VALUE!</v>
      </c>
      <c r="EP183" t="e">
        <f>AND(Bills!Z759,"AAAAAE9vzpE=")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AND(Bills!AA759,"AAAAAE9vzps=")</f>
        <v>#VALUE!</v>
      </c>
      <c r="FA183" t="e">
        <f>AND(Bills!AB759,"AAAAAE9vzpw=")</f>
        <v>#VALUE!</v>
      </c>
      <c r="FB183" t="e">
        <f>AND(Bills!#REF!,"AAAAAE9vzp0=")</f>
        <v>#REF!</v>
      </c>
      <c r="FC183" t="e">
        <f>AND(Bills!#REF!,"AAAAAE9vzp4=")</f>
        <v>#REF!</v>
      </c>
      <c r="FD183" t="e">
        <f>AND(Bills!#REF!,"AAAAAE9vzp8=")</f>
        <v>#REF!</v>
      </c>
      <c r="FE183" t="e">
        <f>AND(Bills!AC759,"AAAAAE9vzqA=")</f>
        <v>#VALUE!</v>
      </c>
      <c r="FF183" t="e">
        <f>AND(Bills!AD759,"AAAAAE9vzqE=")</f>
        <v>#VALUE!</v>
      </c>
      <c r="FG183" t="e">
        <f>AND(Bills!#REF!,"AAAAAE9vzqI=")</f>
        <v>#REF!</v>
      </c>
      <c r="FH183">
        <f>IF(Bills!760:760,"AAAAAE9vzqM=",0)</f>
        <v>0</v>
      </c>
      <c r="FI183" t="e">
        <f>AND(Bills!B760,"AAAAAE9vzqQ=")</f>
        <v>#VALUE!</v>
      </c>
      <c r="FJ183" t="e">
        <f>AND(Bills!#REF!,"AAAAAE9vzqU=")</f>
        <v>#REF!</v>
      </c>
      <c r="FK183" t="e">
        <f>AND(Bills!C760,"AAAAAE9vzqY=")</f>
        <v>#VALUE!</v>
      </c>
      <c r="FL183" t="e">
        <f>AND(Bills!D760,"AAAAAE9vzqc=")</f>
        <v>#VALUE!</v>
      </c>
      <c r="FM183" t="e">
        <f>AND(Bills!E760,"AAAAAE9vzqg=")</f>
        <v>#VALUE!</v>
      </c>
      <c r="FN183" t="e">
        <f>AND(Bills!#REF!,"AAAAAE9vzqk=")</f>
        <v>#REF!</v>
      </c>
      <c r="FO183" t="e">
        <f>AND(Bills!#REF!,"AAAAAE9vzqo=")</f>
        <v>#REF!</v>
      </c>
      <c r="FP183" t="e">
        <f>AND(Bills!#REF!,"AAAAAE9vzqs=")</f>
        <v>#REF!</v>
      </c>
      <c r="FQ183" t="e">
        <f>AND(Bills!F760,"AAAAAE9vzqw=")</f>
        <v>#VALUE!</v>
      </c>
      <c r="FR183" t="e">
        <f>AND(Bills!#REF!,"AAAAAE9vzq0=")</f>
        <v>#REF!</v>
      </c>
      <c r="FS183" t="e">
        <f>AND(Bills!G760,"AAAAAE9vzq4=")</f>
        <v>#VALUE!</v>
      </c>
      <c r="FT183" t="e">
        <f>AND(Bills!H760,"AAAAAE9vzq8=")</f>
        <v>#VALUE!</v>
      </c>
      <c r="FU183" t="e">
        <f>AND(Bills!I760,"AAAAAE9vzrA=")</f>
        <v>#VALUE!</v>
      </c>
      <c r="FV183" t="e">
        <f>AND(Bills!J760,"AAAAAE9vzrE=")</f>
        <v>#VALUE!</v>
      </c>
      <c r="FW183" t="e">
        <f>AND(Bills!K760,"AAAAAE9vzrI=")</f>
        <v>#VALUE!</v>
      </c>
      <c r="FX183" t="e">
        <f>AND(Bills!L760,"AAAAAE9vzrM=")</f>
        <v>#VALUE!</v>
      </c>
      <c r="FY183" t="e">
        <f>AND(Bills!#REF!,"AAAAAE9vzrQ=")</f>
        <v>#REF!</v>
      </c>
      <c r="FZ183" t="e">
        <f>AND(Bills!M760,"AAAAAE9vzrU=")</f>
        <v>#VALUE!</v>
      </c>
      <c r="GA183" t="e">
        <f>AND(Bills!N760,"AAAAAE9vzrY=")</f>
        <v>#VALUE!</v>
      </c>
      <c r="GB183" t="e">
        <f>AND(Bills!O760,"AAAAAE9vzrc=")</f>
        <v>#VALUE!</v>
      </c>
      <c r="GC183" t="e">
        <f>AND(Bills!P760,"AAAAAE9vzrg=")</f>
        <v>#VALUE!</v>
      </c>
      <c r="GD183" t="e">
        <f>AND(Bills!Q760,"AAAAAE9vzrk=")</f>
        <v>#VALUE!</v>
      </c>
      <c r="GE183" t="e">
        <f>AND(Bills!R760,"AAAAAE9vzro=")</f>
        <v>#VALUE!</v>
      </c>
      <c r="GF183" t="e">
        <f>AND(Bills!S760,"AAAAAE9vzrs=")</f>
        <v>#VALUE!</v>
      </c>
      <c r="GG183" t="e">
        <f>AND(Bills!T760,"AAAAAE9vzrw=")</f>
        <v>#VALUE!</v>
      </c>
      <c r="GH183" t="e">
        <f>AND(Bills!#REF!,"AAAAAE9vzr0=")</f>
        <v>#REF!</v>
      </c>
      <c r="GI183" t="e">
        <f>AND(Bills!U760,"AAAAAE9vzr4=")</f>
        <v>#VALUE!</v>
      </c>
      <c r="GJ183" t="e">
        <f>AND(Bills!V760,"AAAAAE9vzr8=")</f>
        <v>#VALUE!</v>
      </c>
      <c r="GK183" t="e">
        <f>AND(Bills!W760,"AAAAAE9vzsA=")</f>
        <v>#VALUE!</v>
      </c>
      <c r="GL183" t="e">
        <f>AND(Bills!#REF!,"AAAAAE9vzsE=")</f>
        <v>#REF!</v>
      </c>
      <c r="GM183" t="e">
        <f>AND(Bills!#REF!,"AAAAAE9vzsI=")</f>
        <v>#REF!</v>
      </c>
      <c r="GN183" t="e">
        <f>AND(Bills!Y760,"AAAAAE9vzsM=")</f>
        <v>#VALUE!</v>
      </c>
      <c r="GO183" t="e">
        <f>AND(Bills!Z760,"AAAAAE9vzsQ=")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AND(Bills!AA760,"AAAAAE9vzs4=")</f>
        <v>#VALUE!</v>
      </c>
      <c r="GZ183" t="e">
        <f>AND(Bills!AB760,"AAAAAE9vzs8=")</f>
        <v>#VALUE!</v>
      </c>
      <c r="HA183" t="e">
        <f>AND(Bills!#REF!,"AAAAAE9vztA=")</f>
        <v>#REF!</v>
      </c>
      <c r="HB183" t="e">
        <f>AND(Bills!#REF!,"AAAAAE9vztE=")</f>
        <v>#REF!</v>
      </c>
      <c r="HC183" t="e">
        <f>AND(Bills!#REF!,"AAAAAE9vztI=")</f>
        <v>#REF!</v>
      </c>
      <c r="HD183" t="e">
        <f>AND(Bills!AC760,"AAAAAE9vztM=")</f>
        <v>#VALUE!</v>
      </c>
      <c r="HE183" t="e">
        <f>AND(Bills!AD760,"AAAAAE9vztQ=")</f>
        <v>#VALUE!</v>
      </c>
      <c r="HF183" t="e">
        <f>AND(Bills!#REF!,"AAAAAE9vztU=")</f>
        <v>#REF!</v>
      </c>
      <c r="HG183">
        <f>IF(Bills!761:761,"AAAAAE9vztY=",0)</f>
        <v>0</v>
      </c>
      <c r="HH183" t="e">
        <f>AND(Bills!B761,"AAAAAE9vztc=")</f>
        <v>#VALUE!</v>
      </c>
      <c r="HI183" t="e">
        <f>AND(Bills!#REF!,"AAAAAE9vztg=")</f>
        <v>#REF!</v>
      </c>
      <c r="HJ183" t="e">
        <f>AND(Bills!C761,"AAAAAE9vztk=")</f>
        <v>#VALUE!</v>
      </c>
      <c r="HK183" t="e">
        <f>AND(Bills!D761,"AAAAAE9vzto=")</f>
        <v>#VALUE!</v>
      </c>
      <c r="HL183" t="e">
        <f>AND(Bills!E761,"AAAAAE9vzts=")</f>
        <v>#VALUE!</v>
      </c>
      <c r="HM183" t="e">
        <f>AND(Bills!#REF!,"AAAAAE9vztw=")</f>
        <v>#REF!</v>
      </c>
      <c r="HN183" t="e">
        <f>AND(Bills!#REF!,"AAAAAE9vzt0=")</f>
        <v>#REF!</v>
      </c>
      <c r="HO183" t="e">
        <f>AND(Bills!#REF!,"AAAAAE9vzt4=")</f>
        <v>#REF!</v>
      </c>
      <c r="HP183" t="e">
        <f>AND(Bills!F761,"AAAAAE9vzt8=")</f>
        <v>#VALUE!</v>
      </c>
      <c r="HQ183" t="e">
        <f>AND(Bills!#REF!,"AAAAAE9vzuA=")</f>
        <v>#REF!</v>
      </c>
      <c r="HR183" t="e">
        <f>AND(Bills!G761,"AAAAAE9vzuE=")</f>
        <v>#VALUE!</v>
      </c>
      <c r="HS183" t="e">
        <f>AND(Bills!H761,"AAAAAE9vzuI=")</f>
        <v>#VALUE!</v>
      </c>
      <c r="HT183" t="e">
        <f>AND(Bills!I761,"AAAAAE9vzuM=")</f>
        <v>#VALUE!</v>
      </c>
      <c r="HU183" t="e">
        <f>AND(Bills!J761,"AAAAAE9vzuQ=")</f>
        <v>#VALUE!</v>
      </c>
      <c r="HV183" t="e">
        <f>AND(Bills!K761,"AAAAAE9vzuU=")</f>
        <v>#VALUE!</v>
      </c>
      <c r="HW183" t="e">
        <f>AND(Bills!L761,"AAAAAE9vzuY=")</f>
        <v>#VALUE!</v>
      </c>
      <c r="HX183" t="e">
        <f>AND(Bills!#REF!,"AAAAAE9vzuc=")</f>
        <v>#REF!</v>
      </c>
      <c r="HY183" t="e">
        <f>AND(Bills!M761,"AAAAAE9vzug=")</f>
        <v>#VALUE!</v>
      </c>
      <c r="HZ183" t="e">
        <f>AND(Bills!N761,"AAAAAE9vzuk=")</f>
        <v>#VALUE!</v>
      </c>
      <c r="IA183" t="e">
        <f>AND(Bills!O761,"AAAAAE9vzuo=")</f>
        <v>#VALUE!</v>
      </c>
      <c r="IB183" t="e">
        <f>AND(Bills!P761,"AAAAAE9vzus=")</f>
        <v>#VALUE!</v>
      </c>
      <c r="IC183" t="e">
        <f>AND(Bills!Q761,"AAAAAE9vzuw=")</f>
        <v>#VALUE!</v>
      </c>
      <c r="ID183" t="e">
        <f>AND(Bills!R761,"AAAAAE9vzu0=")</f>
        <v>#VALUE!</v>
      </c>
      <c r="IE183" t="e">
        <f>AND(Bills!S761,"AAAAAE9vzu4=")</f>
        <v>#VALUE!</v>
      </c>
      <c r="IF183" t="e">
        <f>AND(Bills!T761,"AAAAAE9vzu8=")</f>
        <v>#VALUE!</v>
      </c>
      <c r="IG183" t="e">
        <f>AND(Bills!#REF!,"AAAAAE9vzvA=")</f>
        <v>#REF!</v>
      </c>
      <c r="IH183" t="e">
        <f>AND(Bills!U761,"AAAAAE9vzvE=")</f>
        <v>#VALUE!</v>
      </c>
      <c r="II183" t="e">
        <f>AND(Bills!V761,"AAAAAE9vzvI=")</f>
        <v>#VALUE!</v>
      </c>
      <c r="IJ183" t="e">
        <f>AND(Bills!W761,"AAAAAE9vzvM=")</f>
        <v>#VALUE!</v>
      </c>
      <c r="IK183" t="e">
        <f>AND(Bills!#REF!,"AAAAAE9vzvQ=")</f>
        <v>#REF!</v>
      </c>
      <c r="IL183" t="e">
        <f>AND(Bills!#REF!,"AAAAAE9vzvU=")</f>
        <v>#REF!</v>
      </c>
      <c r="IM183" t="e">
        <f>AND(Bills!Y761,"AAAAAE9vzvY=")</f>
        <v>#VALUE!</v>
      </c>
      <c r="IN183" t="e">
        <f>AND(Bills!Z761,"AAAAAE9vzvc=")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AND(Bills!AA761,"AAAAAH3vDwE=")</f>
        <v>#VALUE!</v>
      </c>
      <c r="C184" t="e">
        <f>AND(Bills!AB761,"AAAAAH3vDwI=")</f>
        <v>#VALUE!</v>
      </c>
      <c r="D184" t="e">
        <f>AND(Bills!#REF!,"AAAAAH3vDwM=")</f>
        <v>#REF!</v>
      </c>
      <c r="E184" t="e">
        <f>AND(Bills!#REF!,"AAAAAH3vDwQ=")</f>
        <v>#REF!</v>
      </c>
      <c r="F184" t="e">
        <f>AND(Bills!#REF!,"AAAAAH3vDwU=")</f>
        <v>#REF!</v>
      </c>
      <c r="G184" t="e">
        <f>AND(Bills!AC761,"AAAAAH3vDwY=")</f>
        <v>#VALUE!</v>
      </c>
      <c r="H184" t="e">
        <f>AND(Bills!AD761,"AAAAAH3vDwc=")</f>
        <v>#VALUE!</v>
      </c>
      <c r="I184" t="e">
        <f>AND(Bills!#REF!,"AAAAAH3vDwg=")</f>
        <v>#REF!</v>
      </c>
      <c r="J184">
        <f>IF(Bills!762:762,"AAAAAH3vDwk=",0)</f>
        <v>0</v>
      </c>
      <c r="K184" t="e">
        <f>AND(Bills!B762,"AAAAAH3vDwo=")</f>
        <v>#VALUE!</v>
      </c>
      <c r="L184" t="e">
        <f>AND(Bills!#REF!,"AAAAAH3vDws=")</f>
        <v>#REF!</v>
      </c>
      <c r="M184" t="e">
        <f>AND(Bills!C762,"AAAAAH3vDww=")</f>
        <v>#VALUE!</v>
      </c>
      <c r="N184" t="e">
        <f>AND(Bills!D762,"AAAAAH3vDw0=")</f>
        <v>#VALUE!</v>
      </c>
      <c r="O184" t="e">
        <f>AND(Bills!E762,"AAAAAH3vDw4=")</f>
        <v>#VALUE!</v>
      </c>
      <c r="P184" t="e">
        <f>AND(Bills!#REF!,"AAAAAH3vDw8=")</f>
        <v>#REF!</v>
      </c>
      <c r="Q184" t="e">
        <f>AND(Bills!#REF!,"AAAAAH3vDxA=")</f>
        <v>#REF!</v>
      </c>
      <c r="R184" t="e">
        <f>AND(Bills!#REF!,"AAAAAH3vDxE=")</f>
        <v>#REF!</v>
      </c>
      <c r="S184" t="e">
        <f>AND(Bills!F762,"AAAAAH3vDxI=")</f>
        <v>#VALUE!</v>
      </c>
      <c r="T184" t="e">
        <f>AND(Bills!#REF!,"AAAAAH3vDxM=")</f>
        <v>#REF!</v>
      </c>
      <c r="U184" t="e">
        <f>AND(Bills!G762,"AAAAAH3vDxQ=")</f>
        <v>#VALUE!</v>
      </c>
      <c r="V184" t="e">
        <f>AND(Bills!H762,"AAAAAH3vDxU=")</f>
        <v>#VALUE!</v>
      </c>
      <c r="W184" t="e">
        <f>AND(Bills!I762,"AAAAAH3vDxY=")</f>
        <v>#VALUE!</v>
      </c>
      <c r="X184" t="e">
        <f>AND(Bills!J762,"AAAAAH3vDxc=")</f>
        <v>#VALUE!</v>
      </c>
      <c r="Y184" t="e">
        <f>AND(Bills!K762,"AAAAAH3vDxg=")</f>
        <v>#VALUE!</v>
      </c>
      <c r="Z184" t="e">
        <f>AND(Bills!L762,"AAAAAH3vDxk=")</f>
        <v>#VALUE!</v>
      </c>
      <c r="AA184" t="e">
        <f>AND(Bills!#REF!,"AAAAAH3vDxo=")</f>
        <v>#REF!</v>
      </c>
      <c r="AB184" t="e">
        <f>AND(Bills!M762,"AAAAAH3vDxs=")</f>
        <v>#VALUE!</v>
      </c>
      <c r="AC184" t="e">
        <f>AND(Bills!N762,"AAAAAH3vDxw=")</f>
        <v>#VALUE!</v>
      </c>
      <c r="AD184" t="e">
        <f>AND(Bills!O762,"AAAAAH3vDx0=")</f>
        <v>#VALUE!</v>
      </c>
      <c r="AE184" t="e">
        <f>AND(Bills!P762,"AAAAAH3vDx4=")</f>
        <v>#VALUE!</v>
      </c>
      <c r="AF184" t="e">
        <f>AND(Bills!Q762,"AAAAAH3vDx8=")</f>
        <v>#VALUE!</v>
      </c>
      <c r="AG184" t="e">
        <f>AND(Bills!R762,"AAAAAH3vDyA=")</f>
        <v>#VALUE!</v>
      </c>
      <c r="AH184" t="e">
        <f>AND(Bills!S762,"AAAAAH3vDyE=")</f>
        <v>#VALUE!</v>
      </c>
      <c r="AI184" t="e">
        <f>AND(Bills!T762,"AAAAAH3vDyI=")</f>
        <v>#VALUE!</v>
      </c>
      <c r="AJ184" t="e">
        <f>AND(Bills!#REF!,"AAAAAH3vDyM=")</f>
        <v>#REF!</v>
      </c>
      <c r="AK184" t="e">
        <f>AND(Bills!U762,"AAAAAH3vDyQ=")</f>
        <v>#VALUE!</v>
      </c>
      <c r="AL184" t="e">
        <f>AND(Bills!V762,"AAAAAH3vDyU=")</f>
        <v>#VALUE!</v>
      </c>
      <c r="AM184" t="e">
        <f>AND(Bills!W762,"AAAAAH3vDyY=")</f>
        <v>#VALUE!</v>
      </c>
      <c r="AN184" t="e">
        <f>AND(Bills!#REF!,"AAAAAH3vDyc=")</f>
        <v>#REF!</v>
      </c>
      <c r="AO184" t="e">
        <f>AND(Bills!#REF!,"AAAAAH3vDyg=")</f>
        <v>#REF!</v>
      </c>
      <c r="AP184" t="e">
        <f>AND(Bills!Y762,"AAAAAH3vDyk=")</f>
        <v>#VALUE!</v>
      </c>
      <c r="AQ184" t="e">
        <f>AND(Bills!Z762,"AAAAAH3vDyo=")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AND(Bills!AA762,"AAAAAH3vDzQ=")</f>
        <v>#VALUE!</v>
      </c>
      <c r="BB184" t="e">
        <f>AND(Bills!AB762,"AAAAAH3vDzU=")</f>
        <v>#VALUE!</v>
      </c>
      <c r="BC184" t="e">
        <f>AND(Bills!#REF!,"AAAAAH3vDzY=")</f>
        <v>#REF!</v>
      </c>
      <c r="BD184" t="e">
        <f>AND(Bills!#REF!,"AAAAAH3vDzc=")</f>
        <v>#REF!</v>
      </c>
      <c r="BE184" t="e">
        <f>AND(Bills!#REF!,"AAAAAH3vDzg=")</f>
        <v>#REF!</v>
      </c>
      <c r="BF184" t="e">
        <f>AND(Bills!AC762,"AAAAAH3vDzk=")</f>
        <v>#VALUE!</v>
      </c>
      <c r="BG184" t="e">
        <f>AND(Bills!AD762,"AAAAAH3vDzo=")</f>
        <v>#VALUE!</v>
      </c>
      <c r="BH184" t="e">
        <f>AND(Bills!#REF!,"AAAAAH3vDzs=")</f>
        <v>#REF!</v>
      </c>
      <c r="BI184">
        <f>IF(Bills!763:763,"AAAAAH3vDzw=",0)</f>
        <v>0</v>
      </c>
      <c r="BJ184" t="e">
        <f>AND(Bills!B763,"AAAAAH3vDz0=")</f>
        <v>#VALUE!</v>
      </c>
      <c r="BK184" t="e">
        <f>AND(Bills!#REF!,"AAAAAH3vDz4=")</f>
        <v>#REF!</v>
      </c>
      <c r="BL184" t="e">
        <f>AND(Bills!C763,"AAAAAH3vDz8=")</f>
        <v>#VALUE!</v>
      </c>
      <c r="BM184" t="e">
        <f>AND(Bills!D763,"AAAAAH3vD0A=")</f>
        <v>#VALUE!</v>
      </c>
      <c r="BN184" t="e">
        <f>AND(Bills!E763,"AAAAAH3vD0E=")</f>
        <v>#VALUE!</v>
      </c>
      <c r="BO184" t="e">
        <f>AND(Bills!#REF!,"AAAAAH3vD0I=")</f>
        <v>#REF!</v>
      </c>
      <c r="BP184" t="e">
        <f>AND(Bills!#REF!,"AAAAAH3vD0M=")</f>
        <v>#REF!</v>
      </c>
      <c r="BQ184" t="e">
        <f>AND(Bills!#REF!,"AAAAAH3vD0Q=")</f>
        <v>#REF!</v>
      </c>
      <c r="BR184" t="e">
        <f>AND(Bills!F763,"AAAAAH3vD0U=")</f>
        <v>#VALUE!</v>
      </c>
      <c r="BS184" t="e">
        <f>AND(Bills!#REF!,"AAAAAH3vD0Y=")</f>
        <v>#REF!</v>
      </c>
      <c r="BT184" t="e">
        <f>AND(Bills!G763,"AAAAAH3vD0c=")</f>
        <v>#VALUE!</v>
      </c>
      <c r="BU184" t="e">
        <f>AND(Bills!H763,"AAAAAH3vD0g=")</f>
        <v>#VALUE!</v>
      </c>
      <c r="BV184" t="e">
        <f>AND(Bills!I763,"AAAAAH3vD0k=")</f>
        <v>#VALUE!</v>
      </c>
      <c r="BW184" t="e">
        <f>AND(Bills!J763,"AAAAAH3vD0o=")</f>
        <v>#VALUE!</v>
      </c>
      <c r="BX184" t="e">
        <f>AND(Bills!K763,"AAAAAH3vD0s=")</f>
        <v>#VALUE!</v>
      </c>
      <c r="BY184" t="e">
        <f>AND(Bills!L763,"AAAAAH3vD0w=")</f>
        <v>#VALUE!</v>
      </c>
      <c r="BZ184" t="e">
        <f>AND(Bills!#REF!,"AAAAAH3vD00=")</f>
        <v>#REF!</v>
      </c>
      <c r="CA184" t="e">
        <f>AND(Bills!M763,"AAAAAH3vD04=")</f>
        <v>#VALUE!</v>
      </c>
      <c r="CB184" t="e">
        <f>AND(Bills!N763,"AAAAAH3vD08=")</f>
        <v>#VALUE!</v>
      </c>
      <c r="CC184" t="e">
        <f>AND(Bills!O763,"AAAAAH3vD1A=")</f>
        <v>#VALUE!</v>
      </c>
      <c r="CD184" t="e">
        <f>AND(Bills!P763,"AAAAAH3vD1E=")</f>
        <v>#VALUE!</v>
      </c>
      <c r="CE184" t="e">
        <f>AND(Bills!Q763,"AAAAAH3vD1I=")</f>
        <v>#VALUE!</v>
      </c>
      <c r="CF184" t="e">
        <f>AND(Bills!R763,"AAAAAH3vD1M=")</f>
        <v>#VALUE!</v>
      </c>
      <c r="CG184" t="e">
        <f>AND(Bills!S763,"AAAAAH3vD1Q=")</f>
        <v>#VALUE!</v>
      </c>
      <c r="CH184" t="e">
        <f>AND(Bills!T763,"AAAAAH3vD1U=")</f>
        <v>#VALUE!</v>
      </c>
      <c r="CI184" t="e">
        <f>AND(Bills!#REF!,"AAAAAH3vD1Y=")</f>
        <v>#REF!</v>
      </c>
      <c r="CJ184" t="e">
        <f>AND(Bills!U763,"AAAAAH3vD1c=")</f>
        <v>#VALUE!</v>
      </c>
      <c r="CK184" t="e">
        <f>AND(Bills!V763,"AAAAAH3vD1g=")</f>
        <v>#VALUE!</v>
      </c>
      <c r="CL184" t="e">
        <f>AND(Bills!W763,"AAAAAH3vD1k=")</f>
        <v>#VALUE!</v>
      </c>
      <c r="CM184" t="e">
        <f>AND(Bills!#REF!,"AAAAAH3vD1o=")</f>
        <v>#REF!</v>
      </c>
      <c r="CN184" t="e">
        <f>AND(Bills!#REF!,"AAAAAH3vD1s=")</f>
        <v>#REF!</v>
      </c>
      <c r="CO184" t="e">
        <f>AND(Bills!Y763,"AAAAAH3vD1w=")</f>
        <v>#VALUE!</v>
      </c>
      <c r="CP184" t="e">
        <f>AND(Bills!Z763,"AAAAAH3vD10=")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AND(Bills!AA763,"AAAAAH3vD2c=")</f>
        <v>#VALUE!</v>
      </c>
      <c r="DA184" t="e">
        <f>AND(Bills!AB763,"AAAAAH3vD2g=")</f>
        <v>#VALUE!</v>
      </c>
      <c r="DB184" t="e">
        <f>AND(Bills!#REF!,"AAAAAH3vD2k=")</f>
        <v>#REF!</v>
      </c>
      <c r="DC184" t="e">
        <f>AND(Bills!#REF!,"AAAAAH3vD2o=")</f>
        <v>#REF!</v>
      </c>
      <c r="DD184" t="e">
        <f>AND(Bills!#REF!,"AAAAAH3vD2s=")</f>
        <v>#REF!</v>
      </c>
      <c r="DE184" t="e">
        <f>AND(Bills!AC763,"AAAAAH3vD2w=")</f>
        <v>#VALUE!</v>
      </c>
      <c r="DF184" t="e">
        <f>AND(Bills!AD763,"AAAAAH3vD20=")</f>
        <v>#VALUE!</v>
      </c>
      <c r="DG184" t="e">
        <f>AND(Bills!#REF!,"AAAAAH3vD24=")</f>
        <v>#REF!</v>
      </c>
      <c r="DH184">
        <f>IF(Bills!764:764,"AAAAAH3vD28=",0)</f>
        <v>0</v>
      </c>
      <c r="DI184" t="e">
        <f>AND(Bills!B764,"AAAAAH3vD3A=")</f>
        <v>#VALUE!</v>
      </c>
      <c r="DJ184" t="e">
        <f>AND(Bills!#REF!,"AAAAAH3vD3E=")</f>
        <v>#REF!</v>
      </c>
      <c r="DK184" t="e">
        <f>AND(Bills!C764,"AAAAAH3vD3I=")</f>
        <v>#VALUE!</v>
      </c>
      <c r="DL184" t="e">
        <f>AND(Bills!D764,"AAAAAH3vD3M=")</f>
        <v>#VALUE!</v>
      </c>
      <c r="DM184" t="e">
        <f>AND(Bills!E764,"AAAAAH3vD3Q=")</f>
        <v>#VALUE!</v>
      </c>
      <c r="DN184" t="e">
        <f>AND(Bills!#REF!,"AAAAAH3vD3U=")</f>
        <v>#REF!</v>
      </c>
      <c r="DO184" t="e">
        <f>AND(Bills!#REF!,"AAAAAH3vD3Y=")</f>
        <v>#REF!</v>
      </c>
      <c r="DP184" t="e">
        <f>AND(Bills!#REF!,"AAAAAH3vD3c=")</f>
        <v>#REF!</v>
      </c>
      <c r="DQ184" t="e">
        <f>AND(Bills!F764,"AAAAAH3vD3g=")</f>
        <v>#VALUE!</v>
      </c>
      <c r="DR184" t="e">
        <f>AND(Bills!#REF!,"AAAAAH3vD3k=")</f>
        <v>#REF!</v>
      </c>
      <c r="DS184" t="e">
        <f>AND(Bills!G764,"AAAAAH3vD3o=")</f>
        <v>#VALUE!</v>
      </c>
      <c r="DT184" t="e">
        <f>AND(Bills!H764,"AAAAAH3vD3s=")</f>
        <v>#VALUE!</v>
      </c>
      <c r="DU184" t="e">
        <f>AND(Bills!I764,"AAAAAH3vD3w=")</f>
        <v>#VALUE!</v>
      </c>
      <c r="DV184" t="e">
        <f>AND(Bills!J764,"AAAAAH3vD30=")</f>
        <v>#VALUE!</v>
      </c>
      <c r="DW184" t="e">
        <f>AND(Bills!K764,"AAAAAH3vD34=")</f>
        <v>#VALUE!</v>
      </c>
      <c r="DX184" t="e">
        <f>AND(Bills!L764,"AAAAAH3vD38=")</f>
        <v>#VALUE!</v>
      </c>
      <c r="DY184" t="e">
        <f>AND(Bills!#REF!,"AAAAAH3vD4A=")</f>
        <v>#REF!</v>
      </c>
      <c r="DZ184" t="e">
        <f>AND(Bills!M764,"AAAAAH3vD4E=")</f>
        <v>#VALUE!</v>
      </c>
      <c r="EA184" t="e">
        <f>AND(Bills!N764,"AAAAAH3vD4I=")</f>
        <v>#VALUE!</v>
      </c>
      <c r="EB184" t="e">
        <f>AND(Bills!O764,"AAAAAH3vD4M=")</f>
        <v>#VALUE!</v>
      </c>
      <c r="EC184" t="e">
        <f>AND(Bills!P764,"AAAAAH3vD4Q=")</f>
        <v>#VALUE!</v>
      </c>
      <c r="ED184" t="e">
        <f>AND(Bills!Q764,"AAAAAH3vD4U=")</f>
        <v>#VALUE!</v>
      </c>
      <c r="EE184" t="e">
        <f>AND(Bills!R764,"AAAAAH3vD4Y=")</f>
        <v>#VALUE!</v>
      </c>
      <c r="EF184" t="e">
        <f>AND(Bills!S764,"AAAAAH3vD4c=")</f>
        <v>#VALUE!</v>
      </c>
      <c r="EG184" t="e">
        <f>AND(Bills!T764,"AAAAAH3vD4g=")</f>
        <v>#VALUE!</v>
      </c>
      <c r="EH184" t="e">
        <f>AND(Bills!#REF!,"AAAAAH3vD4k=")</f>
        <v>#REF!</v>
      </c>
      <c r="EI184" t="e">
        <f>AND(Bills!U764,"AAAAAH3vD4o=")</f>
        <v>#VALUE!</v>
      </c>
      <c r="EJ184" t="e">
        <f>AND(Bills!V764,"AAAAAH3vD4s=")</f>
        <v>#VALUE!</v>
      </c>
      <c r="EK184" t="e">
        <f>AND(Bills!W764,"AAAAAH3vD4w=")</f>
        <v>#VALUE!</v>
      </c>
      <c r="EL184" t="e">
        <f>AND(Bills!#REF!,"AAAAAH3vD40=")</f>
        <v>#REF!</v>
      </c>
      <c r="EM184" t="e">
        <f>AND(Bills!#REF!,"AAAAAH3vD44=")</f>
        <v>#REF!</v>
      </c>
      <c r="EN184" t="e">
        <f>AND(Bills!Y764,"AAAAAH3vD48=")</f>
        <v>#VALUE!</v>
      </c>
      <c r="EO184" t="e">
        <f>AND(Bills!Z764,"AAAAAH3vD5A=")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AND(Bills!AA764,"AAAAAH3vD5o=")</f>
        <v>#VALUE!</v>
      </c>
      <c r="EZ184" t="e">
        <f>AND(Bills!AB764,"AAAAAH3vD5s=")</f>
        <v>#VALUE!</v>
      </c>
      <c r="FA184" t="e">
        <f>AND(Bills!#REF!,"AAAAAH3vD5w=")</f>
        <v>#REF!</v>
      </c>
      <c r="FB184" t="e">
        <f>AND(Bills!#REF!,"AAAAAH3vD50=")</f>
        <v>#REF!</v>
      </c>
      <c r="FC184" t="e">
        <f>AND(Bills!#REF!,"AAAAAH3vD54=")</f>
        <v>#REF!</v>
      </c>
      <c r="FD184" t="e">
        <f>AND(Bills!AC764,"AAAAAH3vD58=")</f>
        <v>#VALUE!</v>
      </c>
      <c r="FE184" t="e">
        <f>AND(Bills!AD764,"AAAAAH3vD6A=")</f>
        <v>#VALUE!</v>
      </c>
      <c r="FF184" t="e">
        <f>AND(Bills!#REF!,"AAAAAH3vD6E=")</f>
        <v>#REF!</v>
      </c>
      <c r="FG184">
        <f>IF(Bills!765:765,"AAAAAH3vD6I=",0)</f>
        <v>0</v>
      </c>
      <c r="FH184" t="e">
        <f>AND(Bills!B765,"AAAAAH3vD6M=")</f>
        <v>#VALUE!</v>
      </c>
      <c r="FI184" t="e">
        <f>AND(Bills!#REF!,"AAAAAH3vD6Q=")</f>
        <v>#REF!</v>
      </c>
      <c r="FJ184" t="e">
        <f>AND(Bills!C765,"AAAAAH3vD6U=")</f>
        <v>#VALUE!</v>
      </c>
      <c r="FK184" t="e">
        <f>AND(Bills!D765,"AAAAAH3vD6Y=")</f>
        <v>#VALUE!</v>
      </c>
      <c r="FL184" t="e">
        <f>AND(Bills!E765,"AAAAAH3vD6c=")</f>
        <v>#VALUE!</v>
      </c>
      <c r="FM184" t="e">
        <f>AND(Bills!#REF!,"AAAAAH3vD6g=")</f>
        <v>#REF!</v>
      </c>
      <c r="FN184" t="e">
        <f>AND(Bills!#REF!,"AAAAAH3vD6k=")</f>
        <v>#REF!</v>
      </c>
      <c r="FO184" t="e">
        <f>AND(Bills!#REF!,"AAAAAH3vD6o=")</f>
        <v>#REF!</v>
      </c>
      <c r="FP184" t="e">
        <f>AND(Bills!F765,"AAAAAH3vD6s=")</f>
        <v>#VALUE!</v>
      </c>
      <c r="FQ184" t="e">
        <f>AND(Bills!#REF!,"AAAAAH3vD6w=")</f>
        <v>#REF!</v>
      </c>
      <c r="FR184" t="e">
        <f>AND(Bills!G765,"AAAAAH3vD60=")</f>
        <v>#VALUE!</v>
      </c>
      <c r="FS184" t="e">
        <f>AND(Bills!H765,"AAAAAH3vD64=")</f>
        <v>#VALUE!</v>
      </c>
      <c r="FT184" t="e">
        <f>AND(Bills!I765,"AAAAAH3vD68=")</f>
        <v>#VALUE!</v>
      </c>
      <c r="FU184" t="e">
        <f>AND(Bills!J765,"AAAAAH3vD7A=")</f>
        <v>#VALUE!</v>
      </c>
      <c r="FV184" t="e">
        <f>AND(Bills!K765,"AAAAAH3vD7E=")</f>
        <v>#VALUE!</v>
      </c>
      <c r="FW184" t="e">
        <f>AND(Bills!L765,"AAAAAH3vD7I=")</f>
        <v>#VALUE!</v>
      </c>
      <c r="FX184" t="e">
        <f>AND(Bills!#REF!,"AAAAAH3vD7M=")</f>
        <v>#REF!</v>
      </c>
      <c r="FY184" t="e">
        <f>AND(Bills!M765,"AAAAAH3vD7Q=")</f>
        <v>#VALUE!</v>
      </c>
      <c r="FZ184" t="e">
        <f>AND(Bills!N765,"AAAAAH3vD7U=")</f>
        <v>#VALUE!</v>
      </c>
      <c r="GA184" t="e">
        <f>AND(Bills!O765,"AAAAAH3vD7Y=")</f>
        <v>#VALUE!</v>
      </c>
      <c r="GB184" t="e">
        <f>AND(Bills!P765,"AAAAAH3vD7c=")</f>
        <v>#VALUE!</v>
      </c>
      <c r="GC184" t="e">
        <f>AND(Bills!Q765,"AAAAAH3vD7g=")</f>
        <v>#VALUE!</v>
      </c>
      <c r="GD184" t="e">
        <f>AND(Bills!R765,"AAAAAH3vD7k=")</f>
        <v>#VALUE!</v>
      </c>
      <c r="GE184" t="e">
        <f>AND(Bills!S765,"AAAAAH3vD7o=")</f>
        <v>#VALUE!</v>
      </c>
      <c r="GF184" t="e">
        <f>AND(Bills!T765,"AAAAAH3vD7s=")</f>
        <v>#VALUE!</v>
      </c>
      <c r="GG184" t="e">
        <f>AND(Bills!#REF!,"AAAAAH3vD7w=")</f>
        <v>#REF!</v>
      </c>
      <c r="GH184" t="e">
        <f>AND(Bills!U765,"AAAAAH3vD70=")</f>
        <v>#VALUE!</v>
      </c>
      <c r="GI184" t="e">
        <f>AND(Bills!V765,"AAAAAH3vD74=")</f>
        <v>#VALUE!</v>
      </c>
      <c r="GJ184" t="e">
        <f>AND(Bills!W765,"AAAAAH3vD78=")</f>
        <v>#VALUE!</v>
      </c>
      <c r="GK184" t="e">
        <f>AND(Bills!#REF!,"AAAAAH3vD8A=")</f>
        <v>#REF!</v>
      </c>
      <c r="GL184" t="e">
        <f>AND(Bills!#REF!,"AAAAAH3vD8E=")</f>
        <v>#REF!</v>
      </c>
      <c r="GM184" t="e">
        <f>AND(Bills!Y765,"AAAAAH3vD8I=")</f>
        <v>#VALUE!</v>
      </c>
      <c r="GN184" t="e">
        <f>AND(Bills!Z765,"AAAAAH3vD8M=")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AND(Bills!AA765,"AAAAAH3vD80=")</f>
        <v>#VALUE!</v>
      </c>
      <c r="GY184" t="e">
        <f>AND(Bills!AB765,"AAAAAH3vD84=")</f>
        <v>#VALUE!</v>
      </c>
      <c r="GZ184" t="e">
        <f>AND(Bills!#REF!,"AAAAAH3vD88=")</f>
        <v>#REF!</v>
      </c>
      <c r="HA184" t="e">
        <f>AND(Bills!#REF!,"AAAAAH3vD9A=")</f>
        <v>#REF!</v>
      </c>
      <c r="HB184" t="e">
        <f>AND(Bills!#REF!,"AAAAAH3vD9E=")</f>
        <v>#REF!</v>
      </c>
      <c r="HC184" t="e">
        <f>AND(Bills!AC765,"AAAAAH3vD9I=")</f>
        <v>#VALUE!</v>
      </c>
      <c r="HD184" t="e">
        <f>AND(Bills!AD765,"AAAAAH3vD9M=")</f>
        <v>#VALUE!</v>
      </c>
      <c r="HE184" t="e">
        <f>AND(Bills!#REF!,"AAAAAH3vD9Q=")</f>
        <v>#REF!</v>
      </c>
      <c r="HF184">
        <f>IF(Bills!766:766,"AAAAAH3vD9U=",0)</f>
        <v>0</v>
      </c>
      <c r="HG184" t="e">
        <f>AND(Bills!B766,"AAAAAH3vD9Y=")</f>
        <v>#VALUE!</v>
      </c>
      <c r="HH184" t="e">
        <f>AND(Bills!#REF!,"AAAAAH3vD9c=")</f>
        <v>#REF!</v>
      </c>
      <c r="HI184" t="e">
        <f>AND(Bills!C766,"AAAAAH3vD9g=")</f>
        <v>#VALUE!</v>
      </c>
      <c r="HJ184" t="e">
        <f>AND(Bills!D766,"AAAAAH3vD9k=")</f>
        <v>#VALUE!</v>
      </c>
      <c r="HK184" t="e">
        <f>AND(Bills!E766,"AAAAAH3vD9o=")</f>
        <v>#VALUE!</v>
      </c>
      <c r="HL184" t="e">
        <f>AND(Bills!#REF!,"AAAAAH3vD9s=")</f>
        <v>#REF!</v>
      </c>
      <c r="HM184" t="e">
        <f>AND(Bills!#REF!,"AAAAAH3vD9w=")</f>
        <v>#REF!</v>
      </c>
      <c r="HN184" t="e">
        <f>AND(Bills!#REF!,"AAAAAH3vD90=")</f>
        <v>#REF!</v>
      </c>
      <c r="HO184" t="e">
        <f>AND(Bills!F766,"AAAAAH3vD94=")</f>
        <v>#VALUE!</v>
      </c>
      <c r="HP184" t="e">
        <f>AND(Bills!#REF!,"AAAAAH3vD98=")</f>
        <v>#REF!</v>
      </c>
      <c r="HQ184" t="e">
        <f>AND(Bills!G766,"AAAAAH3vD+A=")</f>
        <v>#VALUE!</v>
      </c>
      <c r="HR184" t="e">
        <f>AND(Bills!H766,"AAAAAH3vD+E=")</f>
        <v>#VALUE!</v>
      </c>
      <c r="HS184" t="e">
        <f>AND(Bills!I766,"AAAAAH3vD+I=")</f>
        <v>#VALUE!</v>
      </c>
      <c r="HT184" t="e">
        <f>AND(Bills!J766,"AAAAAH3vD+M=")</f>
        <v>#VALUE!</v>
      </c>
      <c r="HU184" t="e">
        <f>AND(Bills!K766,"AAAAAH3vD+Q=")</f>
        <v>#VALUE!</v>
      </c>
      <c r="HV184" t="e">
        <f>AND(Bills!L766,"AAAAAH3vD+U=")</f>
        <v>#VALUE!</v>
      </c>
      <c r="HW184" t="e">
        <f>AND(Bills!#REF!,"AAAAAH3vD+Y=")</f>
        <v>#REF!</v>
      </c>
      <c r="HX184" t="e">
        <f>AND(Bills!M766,"AAAAAH3vD+c=")</f>
        <v>#VALUE!</v>
      </c>
      <c r="HY184" t="e">
        <f>AND(Bills!N766,"AAAAAH3vD+g=")</f>
        <v>#VALUE!</v>
      </c>
      <c r="HZ184" t="e">
        <f>AND(Bills!O766,"AAAAAH3vD+k=")</f>
        <v>#VALUE!</v>
      </c>
      <c r="IA184" t="e">
        <f>AND(Bills!P766,"AAAAAH3vD+o=")</f>
        <v>#VALUE!</v>
      </c>
      <c r="IB184" t="e">
        <f>AND(Bills!Q766,"AAAAAH3vD+s=")</f>
        <v>#VALUE!</v>
      </c>
      <c r="IC184" t="e">
        <f>AND(Bills!R766,"AAAAAH3vD+w=")</f>
        <v>#VALUE!</v>
      </c>
      <c r="ID184" t="e">
        <f>AND(Bills!S766,"AAAAAH3vD+0=")</f>
        <v>#VALUE!</v>
      </c>
      <c r="IE184" t="e">
        <f>AND(Bills!T766,"AAAAAH3vD+4=")</f>
        <v>#VALUE!</v>
      </c>
      <c r="IF184" t="e">
        <f>AND(Bills!#REF!,"AAAAAH3vD+8=")</f>
        <v>#REF!</v>
      </c>
      <c r="IG184" t="e">
        <f>AND(Bills!U766,"AAAAAH3vD/A=")</f>
        <v>#VALUE!</v>
      </c>
      <c r="IH184" t="e">
        <f>AND(Bills!V766,"AAAAAH3vD/E=")</f>
        <v>#VALUE!</v>
      </c>
      <c r="II184" t="e">
        <f>AND(Bills!W766,"AAAAAH3vD/I=")</f>
        <v>#VALUE!</v>
      </c>
      <c r="IJ184" t="e">
        <f>AND(Bills!#REF!,"AAAAAH3vD/M=")</f>
        <v>#REF!</v>
      </c>
      <c r="IK184" t="e">
        <f>AND(Bills!#REF!,"AAAAAH3vD/Q=")</f>
        <v>#REF!</v>
      </c>
      <c r="IL184" t="e">
        <f>AND(Bills!Y766,"AAAAAH3vD/U=")</f>
        <v>#VALUE!</v>
      </c>
      <c r="IM184" t="e">
        <f>AND(Bills!Z766,"AAAAAH3vD/Y=")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AND(Bills!AA766,"AAAAAFm+PwA=")</f>
        <v>#VALUE!</v>
      </c>
      <c r="B185" t="e">
        <f>AND(Bills!AB766,"AAAAAFm+PwE=")</f>
        <v>#VALUE!</v>
      </c>
      <c r="C185" t="e">
        <f>AND(Bills!#REF!,"AAAAAFm+PwI=")</f>
        <v>#REF!</v>
      </c>
      <c r="D185" t="e">
        <f>AND(Bills!#REF!,"AAAAAFm+PwM=")</f>
        <v>#REF!</v>
      </c>
      <c r="E185" t="e">
        <f>AND(Bills!#REF!,"AAAAAFm+PwQ=")</f>
        <v>#REF!</v>
      </c>
      <c r="F185" t="e">
        <f>AND(Bills!AC766,"AAAAAFm+PwU=")</f>
        <v>#VALUE!</v>
      </c>
      <c r="G185" t="e">
        <f>AND(Bills!AD766,"AAAAAFm+PwY=")</f>
        <v>#VALUE!</v>
      </c>
      <c r="H185" t="e">
        <f>AND(Bills!#REF!,"AAAAAFm+Pwc=")</f>
        <v>#REF!</v>
      </c>
      <c r="I185">
        <f>IF(Bills!767:767,"AAAAAFm+Pwg=",0)</f>
        <v>0</v>
      </c>
      <c r="J185" t="e">
        <f>AND(Bills!B767,"AAAAAFm+Pwk=")</f>
        <v>#VALUE!</v>
      </c>
      <c r="K185" t="e">
        <f>AND(Bills!#REF!,"AAAAAFm+Pwo=")</f>
        <v>#REF!</v>
      </c>
      <c r="L185" t="e">
        <f>AND(Bills!C767,"AAAAAFm+Pws=")</f>
        <v>#VALUE!</v>
      </c>
      <c r="M185" t="e">
        <f>AND(Bills!D767,"AAAAAFm+Pww=")</f>
        <v>#VALUE!</v>
      </c>
      <c r="N185" t="e">
        <f>AND(Bills!E767,"AAAAAFm+Pw0=")</f>
        <v>#VALUE!</v>
      </c>
      <c r="O185" t="e">
        <f>AND(Bills!#REF!,"AAAAAFm+Pw4=")</f>
        <v>#REF!</v>
      </c>
      <c r="P185" t="e">
        <f>AND(Bills!#REF!,"AAAAAFm+Pw8=")</f>
        <v>#REF!</v>
      </c>
      <c r="Q185" t="e">
        <f>AND(Bills!#REF!,"AAAAAFm+PxA=")</f>
        <v>#REF!</v>
      </c>
      <c r="R185" t="e">
        <f>AND(Bills!F767,"AAAAAFm+PxE=")</f>
        <v>#VALUE!</v>
      </c>
      <c r="S185" t="e">
        <f>AND(Bills!#REF!,"AAAAAFm+PxI=")</f>
        <v>#REF!</v>
      </c>
      <c r="T185" t="e">
        <f>AND(Bills!G767,"AAAAAFm+PxM=")</f>
        <v>#VALUE!</v>
      </c>
      <c r="U185" t="e">
        <f>AND(Bills!H767,"AAAAAFm+PxQ=")</f>
        <v>#VALUE!</v>
      </c>
      <c r="V185" t="e">
        <f>AND(Bills!I767,"AAAAAFm+PxU=")</f>
        <v>#VALUE!</v>
      </c>
      <c r="W185" t="e">
        <f>AND(Bills!J767,"AAAAAFm+PxY=")</f>
        <v>#VALUE!</v>
      </c>
      <c r="X185" t="e">
        <f>AND(Bills!K767,"AAAAAFm+Pxc=")</f>
        <v>#VALUE!</v>
      </c>
      <c r="Y185" t="e">
        <f>AND(Bills!L767,"AAAAAFm+Pxg=")</f>
        <v>#VALUE!</v>
      </c>
      <c r="Z185" t="e">
        <f>AND(Bills!#REF!,"AAAAAFm+Pxk=")</f>
        <v>#REF!</v>
      </c>
      <c r="AA185" t="e">
        <f>AND(Bills!M767,"AAAAAFm+Pxo=")</f>
        <v>#VALUE!</v>
      </c>
      <c r="AB185" t="e">
        <f>AND(Bills!N767,"AAAAAFm+Pxs=")</f>
        <v>#VALUE!</v>
      </c>
      <c r="AC185" t="e">
        <f>AND(Bills!O767,"AAAAAFm+Pxw=")</f>
        <v>#VALUE!</v>
      </c>
      <c r="AD185" t="e">
        <f>AND(Bills!P767,"AAAAAFm+Px0=")</f>
        <v>#VALUE!</v>
      </c>
      <c r="AE185" t="e">
        <f>AND(Bills!Q767,"AAAAAFm+Px4=")</f>
        <v>#VALUE!</v>
      </c>
      <c r="AF185" t="e">
        <f>AND(Bills!R767,"AAAAAFm+Px8=")</f>
        <v>#VALUE!</v>
      </c>
      <c r="AG185" t="e">
        <f>AND(Bills!S767,"AAAAAFm+PyA=")</f>
        <v>#VALUE!</v>
      </c>
      <c r="AH185" t="e">
        <f>AND(Bills!T767,"AAAAAFm+PyE=")</f>
        <v>#VALUE!</v>
      </c>
      <c r="AI185" t="e">
        <f>AND(Bills!#REF!,"AAAAAFm+PyI=")</f>
        <v>#REF!</v>
      </c>
      <c r="AJ185" t="e">
        <f>AND(Bills!U767,"AAAAAFm+PyM=")</f>
        <v>#VALUE!</v>
      </c>
      <c r="AK185" t="e">
        <f>AND(Bills!V767,"AAAAAFm+PyQ=")</f>
        <v>#VALUE!</v>
      </c>
      <c r="AL185" t="e">
        <f>AND(Bills!W767,"AAAAAFm+PyU=")</f>
        <v>#VALUE!</v>
      </c>
      <c r="AM185" t="e">
        <f>AND(Bills!#REF!,"AAAAAFm+PyY=")</f>
        <v>#REF!</v>
      </c>
      <c r="AN185" t="e">
        <f>AND(Bills!#REF!,"AAAAAFm+Pyc=")</f>
        <v>#REF!</v>
      </c>
      <c r="AO185" t="e">
        <f>AND(Bills!Y767,"AAAAAFm+Pyg=")</f>
        <v>#VALUE!</v>
      </c>
      <c r="AP185" t="e">
        <f>AND(Bills!Z767,"AAAAAFm+Pyk=")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AND(Bills!AA767,"AAAAAFm+PzM=")</f>
        <v>#VALUE!</v>
      </c>
      <c r="BA185" t="e">
        <f>AND(Bills!AB767,"AAAAAFm+PzQ=")</f>
        <v>#VALUE!</v>
      </c>
      <c r="BB185" t="e">
        <f>AND(Bills!#REF!,"AAAAAFm+PzU=")</f>
        <v>#REF!</v>
      </c>
      <c r="BC185" t="e">
        <f>AND(Bills!#REF!,"AAAAAFm+PzY=")</f>
        <v>#REF!</v>
      </c>
      <c r="BD185" t="e">
        <f>AND(Bills!#REF!,"AAAAAFm+Pzc=")</f>
        <v>#REF!</v>
      </c>
      <c r="BE185" t="e">
        <f>AND(Bills!AC767,"AAAAAFm+Pzg=")</f>
        <v>#VALUE!</v>
      </c>
      <c r="BF185" t="e">
        <f>AND(Bills!AD767,"AAAAAFm+Pzk=")</f>
        <v>#VALUE!</v>
      </c>
      <c r="BG185" t="e">
        <f>AND(Bills!#REF!,"AAAAAFm+Pzo=")</f>
        <v>#REF!</v>
      </c>
      <c r="BH185">
        <f>IF(Bills!768:768,"AAAAAFm+Pzs=",0)</f>
        <v>0</v>
      </c>
      <c r="BI185" t="e">
        <f>AND(Bills!B768,"AAAAAFm+Pzw=")</f>
        <v>#VALUE!</v>
      </c>
      <c r="BJ185" t="e">
        <f>AND(Bills!#REF!,"AAAAAFm+Pz0=")</f>
        <v>#REF!</v>
      </c>
      <c r="BK185" t="e">
        <f>AND(Bills!C768,"AAAAAFm+Pz4=")</f>
        <v>#VALUE!</v>
      </c>
      <c r="BL185" t="e">
        <f>AND(Bills!D768,"AAAAAFm+Pz8=")</f>
        <v>#VALUE!</v>
      </c>
      <c r="BM185" t="e">
        <f>AND(Bills!E768,"AAAAAFm+P0A=")</f>
        <v>#VALUE!</v>
      </c>
      <c r="BN185" t="e">
        <f>AND(Bills!#REF!,"AAAAAFm+P0E=")</f>
        <v>#REF!</v>
      </c>
      <c r="BO185" t="e">
        <f>AND(Bills!#REF!,"AAAAAFm+P0I=")</f>
        <v>#REF!</v>
      </c>
      <c r="BP185" t="e">
        <f>AND(Bills!#REF!,"AAAAAFm+P0M=")</f>
        <v>#REF!</v>
      </c>
      <c r="BQ185" t="e">
        <f>AND(Bills!F768,"AAAAAFm+P0Q=")</f>
        <v>#VALUE!</v>
      </c>
      <c r="BR185" t="e">
        <f>AND(Bills!#REF!,"AAAAAFm+P0U=")</f>
        <v>#REF!</v>
      </c>
      <c r="BS185" t="e">
        <f>AND(Bills!G768,"AAAAAFm+P0Y=")</f>
        <v>#VALUE!</v>
      </c>
      <c r="BT185" t="e">
        <f>AND(Bills!H768,"AAAAAFm+P0c=")</f>
        <v>#VALUE!</v>
      </c>
      <c r="BU185" t="e">
        <f>AND(Bills!I768,"AAAAAFm+P0g=")</f>
        <v>#VALUE!</v>
      </c>
      <c r="BV185" t="e">
        <f>AND(Bills!J768,"AAAAAFm+P0k=")</f>
        <v>#VALUE!</v>
      </c>
      <c r="BW185" t="e">
        <f>AND(Bills!K768,"AAAAAFm+P0o=")</f>
        <v>#VALUE!</v>
      </c>
      <c r="BX185" t="e">
        <f>AND(Bills!L768,"AAAAAFm+P0s=")</f>
        <v>#VALUE!</v>
      </c>
      <c r="BY185" t="e">
        <f>AND(Bills!#REF!,"AAAAAFm+P0w=")</f>
        <v>#REF!</v>
      </c>
      <c r="BZ185" t="e">
        <f>AND(Bills!M768,"AAAAAFm+P00=")</f>
        <v>#VALUE!</v>
      </c>
      <c r="CA185" t="e">
        <f>AND(Bills!N768,"AAAAAFm+P04=")</f>
        <v>#VALUE!</v>
      </c>
      <c r="CB185" t="e">
        <f>AND(Bills!O768,"AAAAAFm+P08=")</f>
        <v>#VALUE!</v>
      </c>
      <c r="CC185" t="e">
        <f>AND(Bills!P768,"AAAAAFm+P1A=")</f>
        <v>#VALUE!</v>
      </c>
      <c r="CD185" t="e">
        <f>AND(Bills!Q768,"AAAAAFm+P1E=")</f>
        <v>#VALUE!</v>
      </c>
      <c r="CE185" t="e">
        <f>AND(Bills!R768,"AAAAAFm+P1I=")</f>
        <v>#VALUE!</v>
      </c>
      <c r="CF185" t="e">
        <f>AND(Bills!S768,"AAAAAFm+P1M=")</f>
        <v>#VALUE!</v>
      </c>
      <c r="CG185" t="e">
        <f>AND(Bills!T768,"AAAAAFm+P1Q=")</f>
        <v>#VALUE!</v>
      </c>
      <c r="CH185" t="e">
        <f>AND(Bills!#REF!,"AAAAAFm+P1U=")</f>
        <v>#REF!</v>
      </c>
      <c r="CI185" t="e">
        <f>AND(Bills!U768,"AAAAAFm+P1Y=")</f>
        <v>#VALUE!</v>
      </c>
      <c r="CJ185" t="e">
        <f>AND(Bills!V768,"AAAAAFm+P1c=")</f>
        <v>#VALUE!</v>
      </c>
      <c r="CK185" t="e">
        <f>AND(Bills!W768,"AAAAAFm+P1g=")</f>
        <v>#VALUE!</v>
      </c>
      <c r="CL185" t="e">
        <f>AND(Bills!#REF!,"AAAAAFm+P1k=")</f>
        <v>#REF!</v>
      </c>
      <c r="CM185" t="e">
        <f>AND(Bills!#REF!,"AAAAAFm+P1o=")</f>
        <v>#REF!</v>
      </c>
      <c r="CN185" t="e">
        <f>AND(Bills!Y768,"AAAAAFm+P1s=")</f>
        <v>#VALUE!</v>
      </c>
      <c r="CO185" t="e">
        <f>AND(Bills!Z768,"AAAAAFm+P1w=")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AND(Bills!AA768,"AAAAAFm+P2Y=")</f>
        <v>#VALUE!</v>
      </c>
      <c r="CZ185" t="e">
        <f>AND(Bills!AB768,"AAAAAFm+P2c=")</f>
        <v>#VALUE!</v>
      </c>
      <c r="DA185" t="e">
        <f>AND(Bills!#REF!,"AAAAAFm+P2g=")</f>
        <v>#REF!</v>
      </c>
      <c r="DB185" t="e">
        <f>AND(Bills!#REF!,"AAAAAFm+P2k=")</f>
        <v>#REF!</v>
      </c>
      <c r="DC185" t="e">
        <f>AND(Bills!#REF!,"AAAAAFm+P2o=")</f>
        <v>#REF!</v>
      </c>
      <c r="DD185" t="e">
        <f>AND(Bills!AC768,"AAAAAFm+P2s=")</f>
        <v>#VALUE!</v>
      </c>
      <c r="DE185" t="e">
        <f>AND(Bills!AD768,"AAAAAFm+P2w=")</f>
        <v>#VALUE!</v>
      </c>
      <c r="DF185" t="e">
        <f>AND(Bills!#REF!,"AAAAAFm+P20=")</f>
        <v>#REF!</v>
      </c>
      <c r="DG185">
        <f>IF(Bills!769:769,"AAAAAFm+P24=",0)</f>
        <v>0</v>
      </c>
      <c r="DH185" t="e">
        <f>AND(Bills!B769,"AAAAAFm+P28=")</f>
        <v>#VALUE!</v>
      </c>
      <c r="DI185" t="e">
        <f>AND(Bills!#REF!,"AAAAAFm+P3A=")</f>
        <v>#REF!</v>
      </c>
      <c r="DJ185" t="e">
        <f>AND(Bills!C769,"AAAAAFm+P3E=")</f>
        <v>#VALUE!</v>
      </c>
      <c r="DK185" t="e">
        <f>AND(Bills!D769,"AAAAAFm+P3I=")</f>
        <v>#VALUE!</v>
      </c>
      <c r="DL185" t="e">
        <f>AND(Bills!E769,"AAAAAFm+P3M=")</f>
        <v>#VALUE!</v>
      </c>
      <c r="DM185" t="e">
        <f>AND(Bills!#REF!,"AAAAAFm+P3Q=")</f>
        <v>#REF!</v>
      </c>
      <c r="DN185" t="e">
        <f>AND(Bills!#REF!,"AAAAAFm+P3U=")</f>
        <v>#REF!</v>
      </c>
      <c r="DO185" t="e">
        <f>AND(Bills!#REF!,"AAAAAFm+P3Y=")</f>
        <v>#REF!</v>
      </c>
      <c r="DP185" t="e">
        <f>AND(Bills!F769,"AAAAAFm+P3c=")</f>
        <v>#VALUE!</v>
      </c>
      <c r="DQ185" t="e">
        <f>AND(Bills!#REF!,"AAAAAFm+P3g=")</f>
        <v>#REF!</v>
      </c>
      <c r="DR185" t="e">
        <f>AND(Bills!G769,"AAAAAFm+P3k=")</f>
        <v>#VALUE!</v>
      </c>
      <c r="DS185" t="e">
        <f>AND(Bills!H769,"AAAAAFm+P3o=")</f>
        <v>#VALUE!</v>
      </c>
      <c r="DT185" t="e">
        <f>AND(Bills!I769,"AAAAAFm+P3s=")</f>
        <v>#VALUE!</v>
      </c>
      <c r="DU185" t="e">
        <f>AND(Bills!J769,"AAAAAFm+P3w=")</f>
        <v>#VALUE!</v>
      </c>
      <c r="DV185" t="e">
        <f>AND(Bills!K769,"AAAAAFm+P30=")</f>
        <v>#VALUE!</v>
      </c>
      <c r="DW185" t="e">
        <f>AND(Bills!L769,"AAAAAFm+P34=")</f>
        <v>#VALUE!</v>
      </c>
      <c r="DX185" t="e">
        <f>AND(Bills!#REF!,"AAAAAFm+P38=")</f>
        <v>#REF!</v>
      </c>
      <c r="DY185" t="e">
        <f>AND(Bills!M769,"AAAAAFm+P4A=")</f>
        <v>#VALUE!</v>
      </c>
      <c r="DZ185" t="e">
        <f>AND(Bills!N769,"AAAAAFm+P4E=")</f>
        <v>#VALUE!</v>
      </c>
      <c r="EA185" t="e">
        <f>AND(Bills!O769,"AAAAAFm+P4I=")</f>
        <v>#VALUE!</v>
      </c>
      <c r="EB185" t="e">
        <f>AND(Bills!P769,"AAAAAFm+P4M=")</f>
        <v>#VALUE!</v>
      </c>
      <c r="EC185" t="e">
        <f>AND(Bills!Q769,"AAAAAFm+P4Q=")</f>
        <v>#VALUE!</v>
      </c>
      <c r="ED185" t="e">
        <f>AND(Bills!R769,"AAAAAFm+P4U=")</f>
        <v>#VALUE!</v>
      </c>
      <c r="EE185" t="e">
        <f>AND(Bills!S769,"AAAAAFm+P4Y=")</f>
        <v>#VALUE!</v>
      </c>
      <c r="EF185" t="e">
        <f>AND(Bills!T769,"AAAAAFm+P4c=")</f>
        <v>#VALUE!</v>
      </c>
      <c r="EG185" t="e">
        <f>AND(Bills!#REF!,"AAAAAFm+P4g=")</f>
        <v>#REF!</v>
      </c>
      <c r="EH185" t="e">
        <f>AND(Bills!U769,"AAAAAFm+P4k=")</f>
        <v>#VALUE!</v>
      </c>
      <c r="EI185" t="e">
        <f>AND(Bills!V769,"AAAAAFm+P4o=")</f>
        <v>#VALUE!</v>
      </c>
      <c r="EJ185" t="e">
        <f>AND(Bills!W769,"AAAAAFm+P4s=")</f>
        <v>#VALUE!</v>
      </c>
      <c r="EK185" t="e">
        <f>AND(Bills!#REF!,"AAAAAFm+P4w=")</f>
        <v>#REF!</v>
      </c>
      <c r="EL185" t="e">
        <f>AND(Bills!#REF!,"AAAAAFm+P40=")</f>
        <v>#REF!</v>
      </c>
      <c r="EM185" t="e">
        <f>AND(Bills!Y769,"AAAAAFm+P44=")</f>
        <v>#VALUE!</v>
      </c>
      <c r="EN185" t="e">
        <f>AND(Bills!Z769,"AAAAAFm+P48=")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AND(Bills!AA769,"AAAAAFm+P5k=")</f>
        <v>#VALUE!</v>
      </c>
      <c r="EY185" t="e">
        <f>AND(Bills!AB769,"AAAAAFm+P5o=")</f>
        <v>#VALUE!</v>
      </c>
      <c r="EZ185" t="e">
        <f>AND(Bills!#REF!,"AAAAAFm+P5s=")</f>
        <v>#REF!</v>
      </c>
      <c r="FA185" t="e">
        <f>AND(Bills!#REF!,"AAAAAFm+P5w=")</f>
        <v>#REF!</v>
      </c>
      <c r="FB185" t="e">
        <f>AND(Bills!#REF!,"AAAAAFm+P50=")</f>
        <v>#REF!</v>
      </c>
      <c r="FC185" t="e">
        <f>AND(Bills!AC769,"AAAAAFm+P54=")</f>
        <v>#VALUE!</v>
      </c>
      <c r="FD185" t="e">
        <f>AND(Bills!AD769,"AAAAAFm+P58=")</f>
        <v>#VALUE!</v>
      </c>
      <c r="FE185" t="e">
        <f>AND(Bills!#REF!,"AAAAAFm+P6A=")</f>
        <v>#REF!</v>
      </c>
      <c r="FF185">
        <f>IF(Bills!770:770,"AAAAAFm+P6E=",0)</f>
        <v>0</v>
      </c>
      <c r="FG185" t="e">
        <f>AND(Bills!B770,"AAAAAFm+P6I=")</f>
        <v>#VALUE!</v>
      </c>
      <c r="FH185" t="e">
        <f>AND(Bills!#REF!,"AAAAAFm+P6M=")</f>
        <v>#REF!</v>
      </c>
      <c r="FI185" t="e">
        <f>AND(Bills!C770,"AAAAAFm+P6Q=")</f>
        <v>#VALUE!</v>
      </c>
      <c r="FJ185" t="e">
        <f>AND(Bills!D770,"AAAAAFm+P6U=")</f>
        <v>#VALUE!</v>
      </c>
      <c r="FK185" t="e">
        <f>AND(Bills!E770,"AAAAAFm+P6Y=")</f>
        <v>#VALUE!</v>
      </c>
      <c r="FL185" t="e">
        <f>AND(Bills!#REF!,"AAAAAFm+P6c=")</f>
        <v>#REF!</v>
      </c>
      <c r="FM185" t="e">
        <f>AND(Bills!#REF!,"AAAAAFm+P6g=")</f>
        <v>#REF!</v>
      </c>
      <c r="FN185" t="e">
        <f>AND(Bills!#REF!,"AAAAAFm+P6k=")</f>
        <v>#REF!</v>
      </c>
      <c r="FO185" t="e">
        <f>AND(Bills!F770,"AAAAAFm+P6o=")</f>
        <v>#VALUE!</v>
      </c>
      <c r="FP185" t="e">
        <f>AND(Bills!#REF!,"AAAAAFm+P6s=")</f>
        <v>#REF!</v>
      </c>
      <c r="FQ185" t="e">
        <f>AND(Bills!G770,"AAAAAFm+P6w=")</f>
        <v>#VALUE!</v>
      </c>
      <c r="FR185" t="e">
        <f>AND(Bills!H770,"AAAAAFm+P60=")</f>
        <v>#VALUE!</v>
      </c>
      <c r="FS185" t="e">
        <f>AND(Bills!I770,"AAAAAFm+P64=")</f>
        <v>#VALUE!</v>
      </c>
      <c r="FT185" t="e">
        <f>AND(Bills!J770,"AAAAAFm+P68=")</f>
        <v>#VALUE!</v>
      </c>
      <c r="FU185" t="e">
        <f>AND(Bills!K770,"AAAAAFm+P7A=")</f>
        <v>#VALUE!</v>
      </c>
      <c r="FV185" t="e">
        <f>AND(Bills!L770,"AAAAAFm+P7E=")</f>
        <v>#VALUE!</v>
      </c>
      <c r="FW185" t="e">
        <f>AND(Bills!#REF!,"AAAAAFm+P7I=")</f>
        <v>#REF!</v>
      </c>
      <c r="FX185" t="e">
        <f>AND(Bills!M770,"AAAAAFm+P7M=")</f>
        <v>#VALUE!</v>
      </c>
      <c r="FY185" t="e">
        <f>AND(Bills!N770,"AAAAAFm+P7Q=")</f>
        <v>#VALUE!</v>
      </c>
      <c r="FZ185" t="e">
        <f>AND(Bills!O770,"AAAAAFm+P7U=")</f>
        <v>#VALUE!</v>
      </c>
      <c r="GA185" t="e">
        <f>AND(Bills!P770,"AAAAAFm+P7Y=")</f>
        <v>#VALUE!</v>
      </c>
      <c r="GB185" t="e">
        <f>AND(Bills!Q770,"AAAAAFm+P7c=")</f>
        <v>#VALUE!</v>
      </c>
      <c r="GC185" t="e">
        <f>AND(Bills!R770,"AAAAAFm+P7g=")</f>
        <v>#VALUE!</v>
      </c>
      <c r="GD185" t="e">
        <f>AND(Bills!S770,"AAAAAFm+P7k=")</f>
        <v>#VALUE!</v>
      </c>
      <c r="GE185" t="e">
        <f>AND(Bills!T770,"AAAAAFm+P7o=")</f>
        <v>#VALUE!</v>
      </c>
      <c r="GF185" t="e">
        <f>AND(Bills!#REF!,"AAAAAFm+P7s=")</f>
        <v>#REF!</v>
      </c>
      <c r="GG185" t="e">
        <f>AND(Bills!U770,"AAAAAFm+P7w=")</f>
        <v>#VALUE!</v>
      </c>
      <c r="GH185" t="e">
        <f>AND(Bills!V770,"AAAAAFm+P70=")</f>
        <v>#VALUE!</v>
      </c>
      <c r="GI185" t="e">
        <f>AND(Bills!W770,"AAAAAFm+P74=")</f>
        <v>#VALUE!</v>
      </c>
      <c r="GJ185" t="e">
        <f>AND(Bills!#REF!,"AAAAAFm+P78=")</f>
        <v>#REF!</v>
      </c>
      <c r="GK185" t="e">
        <f>AND(Bills!#REF!,"AAAAAFm+P8A=")</f>
        <v>#REF!</v>
      </c>
      <c r="GL185" t="e">
        <f>AND(Bills!Y770,"AAAAAFm+P8E=")</f>
        <v>#VALUE!</v>
      </c>
      <c r="GM185" t="e">
        <f>AND(Bills!Z770,"AAAAAFm+P8I=")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AND(Bills!AA770,"AAAAAFm+P8w=")</f>
        <v>#VALUE!</v>
      </c>
      <c r="GX185" t="e">
        <f>AND(Bills!AB770,"AAAAAFm+P80=")</f>
        <v>#VALUE!</v>
      </c>
      <c r="GY185" t="e">
        <f>AND(Bills!#REF!,"AAAAAFm+P84=")</f>
        <v>#REF!</v>
      </c>
      <c r="GZ185" t="e">
        <f>AND(Bills!#REF!,"AAAAAFm+P88=")</f>
        <v>#REF!</v>
      </c>
      <c r="HA185" t="e">
        <f>AND(Bills!#REF!,"AAAAAFm+P9A=")</f>
        <v>#REF!</v>
      </c>
      <c r="HB185" t="e">
        <f>AND(Bills!AC770,"AAAAAFm+P9E=")</f>
        <v>#VALUE!</v>
      </c>
      <c r="HC185" t="e">
        <f>AND(Bills!AD770,"AAAAAFm+P9I=")</f>
        <v>#VALUE!</v>
      </c>
      <c r="HD185" t="e">
        <f>AND(Bills!#REF!,"AAAAAFm+P9M=")</f>
        <v>#REF!</v>
      </c>
      <c r="HE185">
        <f>IF(Bills!771:771,"AAAAAFm+P9Q=",0)</f>
        <v>0</v>
      </c>
      <c r="HF185" t="e">
        <f>AND(Bills!B771,"AAAAAFm+P9U=")</f>
        <v>#VALUE!</v>
      </c>
      <c r="HG185" t="e">
        <f>AND(Bills!#REF!,"AAAAAFm+P9Y=")</f>
        <v>#REF!</v>
      </c>
      <c r="HH185" t="e">
        <f>AND(Bills!C771,"AAAAAFm+P9c=")</f>
        <v>#VALUE!</v>
      </c>
      <c r="HI185" t="e">
        <f>AND(Bills!D771,"AAAAAFm+P9g=")</f>
        <v>#VALUE!</v>
      </c>
      <c r="HJ185" t="e">
        <f>AND(Bills!E771,"AAAAAFm+P9k=")</f>
        <v>#VALUE!</v>
      </c>
      <c r="HK185" t="e">
        <f>AND(Bills!#REF!,"AAAAAFm+P9o=")</f>
        <v>#REF!</v>
      </c>
      <c r="HL185" t="e">
        <f>AND(Bills!#REF!,"AAAAAFm+P9s=")</f>
        <v>#REF!</v>
      </c>
      <c r="HM185" t="e">
        <f>AND(Bills!#REF!,"AAAAAFm+P9w=")</f>
        <v>#REF!</v>
      </c>
      <c r="HN185" t="e">
        <f>AND(Bills!F771,"AAAAAFm+P90=")</f>
        <v>#VALUE!</v>
      </c>
      <c r="HO185" t="e">
        <f>AND(Bills!#REF!,"AAAAAFm+P94=")</f>
        <v>#REF!</v>
      </c>
      <c r="HP185" t="e">
        <f>AND(Bills!G771,"AAAAAFm+P98=")</f>
        <v>#VALUE!</v>
      </c>
      <c r="HQ185" t="e">
        <f>AND(Bills!H771,"AAAAAFm+P+A=")</f>
        <v>#VALUE!</v>
      </c>
      <c r="HR185" t="e">
        <f>AND(Bills!I771,"AAAAAFm+P+E=")</f>
        <v>#VALUE!</v>
      </c>
      <c r="HS185" t="e">
        <f>AND(Bills!J771,"AAAAAFm+P+I=")</f>
        <v>#VALUE!</v>
      </c>
      <c r="HT185" t="e">
        <f>AND(Bills!K771,"AAAAAFm+P+M=")</f>
        <v>#VALUE!</v>
      </c>
      <c r="HU185" t="e">
        <f>AND(Bills!L771,"AAAAAFm+P+Q=")</f>
        <v>#VALUE!</v>
      </c>
      <c r="HV185" t="e">
        <f>AND(Bills!#REF!,"AAAAAFm+P+U=")</f>
        <v>#REF!</v>
      </c>
      <c r="HW185" t="e">
        <f>AND(Bills!M771,"AAAAAFm+P+Y=")</f>
        <v>#VALUE!</v>
      </c>
      <c r="HX185" t="e">
        <f>AND(Bills!N771,"AAAAAFm+P+c=")</f>
        <v>#VALUE!</v>
      </c>
      <c r="HY185" t="e">
        <f>AND(Bills!O771,"AAAAAFm+P+g=")</f>
        <v>#VALUE!</v>
      </c>
      <c r="HZ185" t="e">
        <f>AND(Bills!P771,"AAAAAFm+P+k=")</f>
        <v>#VALUE!</v>
      </c>
      <c r="IA185" t="e">
        <f>AND(Bills!Q771,"AAAAAFm+P+o=")</f>
        <v>#VALUE!</v>
      </c>
      <c r="IB185" t="e">
        <f>AND(Bills!R771,"AAAAAFm+P+s=")</f>
        <v>#VALUE!</v>
      </c>
      <c r="IC185" t="e">
        <f>AND(Bills!S771,"AAAAAFm+P+w=")</f>
        <v>#VALUE!</v>
      </c>
      <c r="ID185" t="e">
        <f>AND(Bills!T771,"AAAAAFm+P+0=")</f>
        <v>#VALUE!</v>
      </c>
      <c r="IE185" t="e">
        <f>AND(Bills!#REF!,"AAAAAFm+P+4=")</f>
        <v>#REF!</v>
      </c>
      <c r="IF185" t="e">
        <f>AND(Bills!U771,"AAAAAFm+P+8=")</f>
        <v>#VALUE!</v>
      </c>
      <c r="IG185" t="e">
        <f>AND(Bills!V771,"AAAAAFm+P/A=")</f>
        <v>#VALUE!</v>
      </c>
      <c r="IH185" t="e">
        <f>AND(Bills!W771,"AAAAAFm+P/E=")</f>
        <v>#VALUE!</v>
      </c>
      <c r="II185" t="e">
        <f>AND(Bills!#REF!,"AAAAAFm+P/I=")</f>
        <v>#REF!</v>
      </c>
      <c r="IJ185" t="e">
        <f>AND(Bills!#REF!,"AAAAAFm+P/M=")</f>
        <v>#REF!</v>
      </c>
      <c r="IK185" t="e">
        <f>AND(Bills!Y771,"AAAAAFm+P/Q=")</f>
        <v>#VALUE!</v>
      </c>
      <c r="IL185" t="e">
        <f>AND(Bills!Z771,"AAAAAFm+P/U=")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AND(Bills!AA771,"AAAAAFm+P/8=")</f>
        <v>#VALUE!</v>
      </c>
    </row>
    <row r="186" spans="1:256">
      <c r="A186" t="e">
        <f>AND(Bills!AB771,"AAAAAH9f6wA=")</f>
        <v>#VALUE!</v>
      </c>
      <c r="B186" t="e">
        <f>AND(Bills!#REF!,"AAAAAH9f6wE=")</f>
        <v>#REF!</v>
      </c>
      <c r="C186" t="e">
        <f>AND(Bills!#REF!,"AAAAAH9f6wI=")</f>
        <v>#REF!</v>
      </c>
      <c r="D186" t="e">
        <f>AND(Bills!#REF!,"AAAAAH9f6wM=")</f>
        <v>#REF!</v>
      </c>
      <c r="E186" t="e">
        <f>AND(Bills!AC771,"AAAAAH9f6wQ=")</f>
        <v>#VALUE!</v>
      </c>
      <c r="F186" t="e">
        <f>AND(Bills!AD771,"AAAAAH9f6wU=")</f>
        <v>#VALUE!</v>
      </c>
      <c r="G186" t="e">
        <f>AND(Bills!#REF!,"AAAAAH9f6wY=")</f>
        <v>#REF!</v>
      </c>
      <c r="H186">
        <f>IF(Bills!772:772,"AAAAAH9f6wc=",0)</f>
        <v>0</v>
      </c>
      <c r="I186" t="e">
        <f>AND(Bills!B772,"AAAAAH9f6wg=")</f>
        <v>#VALUE!</v>
      </c>
      <c r="J186" t="e">
        <f>AND(Bills!#REF!,"AAAAAH9f6wk=")</f>
        <v>#REF!</v>
      </c>
      <c r="K186" t="e">
        <f>AND(Bills!C772,"AAAAAH9f6wo=")</f>
        <v>#VALUE!</v>
      </c>
      <c r="L186" t="e">
        <f>AND(Bills!D772,"AAAAAH9f6ws=")</f>
        <v>#VALUE!</v>
      </c>
      <c r="M186" t="e">
        <f>AND(Bills!E772,"AAAAAH9f6ww=")</f>
        <v>#VALUE!</v>
      </c>
      <c r="N186" t="e">
        <f>AND(Bills!#REF!,"AAAAAH9f6w0=")</f>
        <v>#REF!</v>
      </c>
      <c r="O186" t="e">
        <f>AND(Bills!#REF!,"AAAAAH9f6w4=")</f>
        <v>#REF!</v>
      </c>
      <c r="P186" t="e">
        <f>AND(Bills!#REF!,"AAAAAH9f6w8=")</f>
        <v>#REF!</v>
      </c>
      <c r="Q186" t="e">
        <f>AND(Bills!F772,"AAAAAH9f6xA=")</f>
        <v>#VALUE!</v>
      </c>
      <c r="R186" t="e">
        <f>AND(Bills!#REF!,"AAAAAH9f6xE=")</f>
        <v>#REF!</v>
      </c>
      <c r="S186" t="e">
        <f>AND(Bills!G772,"AAAAAH9f6xI=")</f>
        <v>#VALUE!</v>
      </c>
      <c r="T186" t="e">
        <f>AND(Bills!H772,"AAAAAH9f6xM=")</f>
        <v>#VALUE!</v>
      </c>
      <c r="U186" t="e">
        <f>AND(Bills!I772,"AAAAAH9f6xQ=")</f>
        <v>#VALUE!</v>
      </c>
      <c r="V186" t="e">
        <f>AND(Bills!J772,"AAAAAH9f6xU=")</f>
        <v>#VALUE!</v>
      </c>
      <c r="W186" t="e">
        <f>AND(Bills!K772,"AAAAAH9f6xY=")</f>
        <v>#VALUE!</v>
      </c>
      <c r="X186" t="e">
        <f>AND(Bills!L772,"AAAAAH9f6xc=")</f>
        <v>#VALUE!</v>
      </c>
      <c r="Y186" t="e">
        <f>AND(Bills!#REF!,"AAAAAH9f6xg=")</f>
        <v>#REF!</v>
      </c>
      <c r="Z186" t="e">
        <f>AND(Bills!M772,"AAAAAH9f6xk=")</f>
        <v>#VALUE!</v>
      </c>
      <c r="AA186" t="e">
        <f>AND(Bills!N772,"AAAAAH9f6xo=")</f>
        <v>#VALUE!</v>
      </c>
      <c r="AB186" t="e">
        <f>AND(Bills!O772,"AAAAAH9f6xs=")</f>
        <v>#VALUE!</v>
      </c>
      <c r="AC186" t="e">
        <f>AND(Bills!P772,"AAAAAH9f6xw=")</f>
        <v>#VALUE!</v>
      </c>
      <c r="AD186" t="e">
        <f>AND(Bills!Q772,"AAAAAH9f6x0=")</f>
        <v>#VALUE!</v>
      </c>
      <c r="AE186" t="e">
        <f>AND(Bills!R772,"AAAAAH9f6x4=")</f>
        <v>#VALUE!</v>
      </c>
      <c r="AF186" t="e">
        <f>AND(Bills!S772,"AAAAAH9f6x8=")</f>
        <v>#VALUE!</v>
      </c>
      <c r="AG186" t="e">
        <f>AND(Bills!T772,"AAAAAH9f6yA=")</f>
        <v>#VALUE!</v>
      </c>
      <c r="AH186" t="e">
        <f>AND(Bills!#REF!,"AAAAAH9f6yE=")</f>
        <v>#REF!</v>
      </c>
      <c r="AI186" t="e">
        <f>AND(Bills!U772,"AAAAAH9f6yI=")</f>
        <v>#VALUE!</v>
      </c>
      <c r="AJ186" t="e">
        <f>AND(Bills!V772,"AAAAAH9f6yM=")</f>
        <v>#VALUE!</v>
      </c>
      <c r="AK186" t="e">
        <f>AND(Bills!W772,"AAAAAH9f6yQ=")</f>
        <v>#VALUE!</v>
      </c>
      <c r="AL186" t="e">
        <f>AND(Bills!#REF!,"AAAAAH9f6yU=")</f>
        <v>#REF!</v>
      </c>
      <c r="AM186" t="e">
        <f>AND(Bills!#REF!,"AAAAAH9f6yY=")</f>
        <v>#REF!</v>
      </c>
      <c r="AN186" t="e">
        <f>AND(Bills!Y772,"AAAAAH9f6yc=")</f>
        <v>#VALUE!</v>
      </c>
      <c r="AO186" t="e">
        <f>AND(Bills!Z772,"AAAAAH9f6yg=")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AND(Bills!AA772,"AAAAAH9f6zI=")</f>
        <v>#VALUE!</v>
      </c>
      <c r="AZ186" t="e">
        <f>AND(Bills!AB772,"AAAAAH9f6zM=")</f>
        <v>#VALUE!</v>
      </c>
      <c r="BA186" t="e">
        <f>AND(Bills!#REF!,"AAAAAH9f6zQ=")</f>
        <v>#REF!</v>
      </c>
      <c r="BB186" t="e">
        <f>AND(Bills!#REF!,"AAAAAH9f6zU=")</f>
        <v>#REF!</v>
      </c>
      <c r="BC186" t="e">
        <f>AND(Bills!#REF!,"AAAAAH9f6zY=")</f>
        <v>#REF!</v>
      </c>
      <c r="BD186" t="e">
        <f>AND(Bills!AC772,"AAAAAH9f6zc=")</f>
        <v>#VALUE!</v>
      </c>
      <c r="BE186" t="e">
        <f>AND(Bills!AD772,"AAAAAH9f6zg=")</f>
        <v>#VALUE!</v>
      </c>
      <c r="BF186" t="e">
        <f>AND(Bills!#REF!,"AAAAAH9f6zk=")</f>
        <v>#REF!</v>
      </c>
      <c r="BG186">
        <f>IF(Bills!773:773,"AAAAAH9f6zo=",0)</f>
        <v>0</v>
      </c>
      <c r="BH186" t="e">
        <f>AND(Bills!B773,"AAAAAH9f6zs=")</f>
        <v>#VALUE!</v>
      </c>
      <c r="BI186" t="e">
        <f>AND(Bills!#REF!,"AAAAAH9f6zw=")</f>
        <v>#REF!</v>
      </c>
      <c r="BJ186" t="e">
        <f>AND(Bills!C773,"AAAAAH9f6z0=")</f>
        <v>#VALUE!</v>
      </c>
      <c r="BK186" t="e">
        <f>AND(Bills!D773,"AAAAAH9f6z4=")</f>
        <v>#VALUE!</v>
      </c>
      <c r="BL186" t="e">
        <f>AND(Bills!E773,"AAAAAH9f6z8=")</f>
        <v>#VALUE!</v>
      </c>
      <c r="BM186" t="e">
        <f>AND(Bills!#REF!,"AAAAAH9f60A=")</f>
        <v>#REF!</v>
      </c>
      <c r="BN186" t="e">
        <f>AND(Bills!#REF!,"AAAAAH9f60E=")</f>
        <v>#REF!</v>
      </c>
      <c r="BO186" t="e">
        <f>AND(Bills!#REF!,"AAAAAH9f60I=")</f>
        <v>#REF!</v>
      </c>
      <c r="BP186" t="e">
        <f>AND(Bills!F773,"AAAAAH9f60M=")</f>
        <v>#VALUE!</v>
      </c>
      <c r="BQ186" t="e">
        <f>AND(Bills!#REF!,"AAAAAH9f60Q=")</f>
        <v>#REF!</v>
      </c>
      <c r="BR186" t="e">
        <f>AND(Bills!G773,"AAAAAH9f60U=")</f>
        <v>#VALUE!</v>
      </c>
      <c r="BS186" t="e">
        <f>AND(Bills!H773,"AAAAAH9f60Y=")</f>
        <v>#VALUE!</v>
      </c>
      <c r="BT186" t="e">
        <f>AND(Bills!I773,"AAAAAH9f60c=")</f>
        <v>#VALUE!</v>
      </c>
      <c r="BU186" t="e">
        <f>AND(Bills!J773,"AAAAAH9f60g=")</f>
        <v>#VALUE!</v>
      </c>
      <c r="BV186" t="e">
        <f>AND(Bills!K773,"AAAAAH9f60k=")</f>
        <v>#VALUE!</v>
      </c>
      <c r="BW186" t="e">
        <f>AND(Bills!L773,"AAAAAH9f60o=")</f>
        <v>#VALUE!</v>
      </c>
      <c r="BX186" t="e">
        <f>AND(Bills!#REF!,"AAAAAH9f60s=")</f>
        <v>#REF!</v>
      </c>
      <c r="BY186" t="e">
        <f>AND(Bills!M773,"AAAAAH9f60w=")</f>
        <v>#VALUE!</v>
      </c>
      <c r="BZ186" t="e">
        <f>AND(Bills!N773,"AAAAAH9f600=")</f>
        <v>#VALUE!</v>
      </c>
      <c r="CA186" t="e">
        <f>AND(Bills!O773,"AAAAAH9f604=")</f>
        <v>#VALUE!</v>
      </c>
      <c r="CB186" t="e">
        <f>AND(Bills!P773,"AAAAAH9f608=")</f>
        <v>#VALUE!</v>
      </c>
      <c r="CC186" t="e">
        <f>AND(Bills!Q773,"AAAAAH9f61A=")</f>
        <v>#VALUE!</v>
      </c>
      <c r="CD186" t="e">
        <f>AND(Bills!R773,"AAAAAH9f61E=")</f>
        <v>#VALUE!</v>
      </c>
      <c r="CE186" t="e">
        <f>AND(Bills!S773,"AAAAAH9f61I=")</f>
        <v>#VALUE!</v>
      </c>
      <c r="CF186" t="e">
        <f>AND(Bills!T773,"AAAAAH9f61M=")</f>
        <v>#VALUE!</v>
      </c>
      <c r="CG186" t="e">
        <f>AND(Bills!#REF!,"AAAAAH9f61Q=")</f>
        <v>#REF!</v>
      </c>
      <c r="CH186" t="e">
        <f>AND(Bills!U773,"AAAAAH9f61U=")</f>
        <v>#VALUE!</v>
      </c>
      <c r="CI186" t="e">
        <f>AND(Bills!V773,"AAAAAH9f61Y=")</f>
        <v>#VALUE!</v>
      </c>
      <c r="CJ186" t="e">
        <f>AND(Bills!W773,"AAAAAH9f61c=")</f>
        <v>#VALUE!</v>
      </c>
      <c r="CK186" t="e">
        <f>AND(Bills!#REF!,"AAAAAH9f61g=")</f>
        <v>#REF!</v>
      </c>
      <c r="CL186" t="e">
        <f>AND(Bills!#REF!,"AAAAAH9f61k=")</f>
        <v>#REF!</v>
      </c>
      <c r="CM186" t="e">
        <f>AND(Bills!Y773,"AAAAAH9f61o=")</f>
        <v>#VALUE!</v>
      </c>
      <c r="CN186" t="e">
        <f>AND(Bills!Z773,"AAAAAH9f61s=")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AND(Bills!AA773,"AAAAAH9f62U=")</f>
        <v>#VALUE!</v>
      </c>
      <c r="CY186" t="e">
        <f>AND(Bills!AB773,"AAAAAH9f62Y=")</f>
        <v>#VALUE!</v>
      </c>
      <c r="CZ186" t="e">
        <f>AND(Bills!#REF!,"AAAAAH9f62c=")</f>
        <v>#REF!</v>
      </c>
      <c r="DA186" t="e">
        <f>AND(Bills!#REF!,"AAAAAH9f62g=")</f>
        <v>#REF!</v>
      </c>
      <c r="DB186" t="e">
        <f>AND(Bills!#REF!,"AAAAAH9f62k=")</f>
        <v>#REF!</v>
      </c>
      <c r="DC186" t="e">
        <f>AND(Bills!AC773,"AAAAAH9f62o=")</f>
        <v>#VALUE!</v>
      </c>
      <c r="DD186" t="e">
        <f>AND(Bills!AD773,"AAAAAH9f62s=")</f>
        <v>#VALUE!</v>
      </c>
      <c r="DE186" t="e">
        <f>AND(Bills!#REF!,"AAAAAH9f62w=")</f>
        <v>#REF!</v>
      </c>
      <c r="DF186">
        <f>IF(Bills!774:774,"AAAAAH9f620=",0)</f>
        <v>0</v>
      </c>
      <c r="DG186" t="e">
        <f>AND(Bills!B774,"AAAAAH9f624=")</f>
        <v>#VALUE!</v>
      </c>
      <c r="DH186" t="e">
        <f>AND(Bills!#REF!,"AAAAAH9f628=")</f>
        <v>#REF!</v>
      </c>
      <c r="DI186" t="e">
        <f>AND(Bills!C774,"AAAAAH9f63A=")</f>
        <v>#VALUE!</v>
      </c>
      <c r="DJ186" t="e">
        <f>AND(Bills!D774,"AAAAAH9f63E=")</f>
        <v>#VALUE!</v>
      </c>
      <c r="DK186" t="e">
        <f>AND(Bills!E774,"AAAAAH9f63I=")</f>
        <v>#VALUE!</v>
      </c>
      <c r="DL186" t="e">
        <f>AND(Bills!#REF!,"AAAAAH9f63M=")</f>
        <v>#REF!</v>
      </c>
      <c r="DM186" t="e">
        <f>AND(Bills!#REF!,"AAAAAH9f63Q=")</f>
        <v>#REF!</v>
      </c>
      <c r="DN186" t="e">
        <f>AND(Bills!#REF!,"AAAAAH9f63U=")</f>
        <v>#REF!</v>
      </c>
      <c r="DO186" t="e">
        <f>AND(Bills!F774,"AAAAAH9f63Y=")</f>
        <v>#VALUE!</v>
      </c>
      <c r="DP186" t="e">
        <f>AND(Bills!#REF!,"AAAAAH9f63c=")</f>
        <v>#REF!</v>
      </c>
      <c r="DQ186" t="e">
        <f>AND(Bills!G774,"AAAAAH9f63g=")</f>
        <v>#VALUE!</v>
      </c>
      <c r="DR186" t="e">
        <f>AND(Bills!H774,"AAAAAH9f63k=")</f>
        <v>#VALUE!</v>
      </c>
      <c r="DS186" t="e">
        <f>AND(Bills!I774,"AAAAAH9f63o=")</f>
        <v>#VALUE!</v>
      </c>
      <c r="DT186" t="e">
        <f>AND(Bills!J774,"AAAAAH9f63s=")</f>
        <v>#VALUE!</v>
      </c>
      <c r="DU186" t="e">
        <f>AND(Bills!K774,"AAAAAH9f63w=")</f>
        <v>#VALUE!</v>
      </c>
      <c r="DV186" t="e">
        <f>AND(Bills!L774,"AAAAAH9f630=")</f>
        <v>#VALUE!</v>
      </c>
      <c r="DW186" t="e">
        <f>AND(Bills!#REF!,"AAAAAH9f634=")</f>
        <v>#REF!</v>
      </c>
      <c r="DX186" t="e">
        <f>AND(Bills!M774,"AAAAAH9f638=")</f>
        <v>#VALUE!</v>
      </c>
      <c r="DY186" t="e">
        <f>AND(Bills!N774,"AAAAAH9f64A=")</f>
        <v>#VALUE!</v>
      </c>
      <c r="DZ186" t="e">
        <f>AND(Bills!O774,"AAAAAH9f64E=")</f>
        <v>#VALUE!</v>
      </c>
      <c r="EA186" t="e">
        <f>AND(Bills!P774,"AAAAAH9f64I=")</f>
        <v>#VALUE!</v>
      </c>
      <c r="EB186" t="e">
        <f>AND(Bills!Q774,"AAAAAH9f64M=")</f>
        <v>#VALUE!</v>
      </c>
      <c r="EC186" t="e">
        <f>AND(Bills!R774,"AAAAAH9f64Q=")</f>
        <v>#VALUE!</v>
      </c>
      <c r="ED186" t="e">
        <f>AND(Bills!S774,"AAAAAH9f64U=")</f>
        <v>#VALUE!</v>
      </c>
      <c r="EE186" t="e">
        <f>AND(Bills!T774,"AAAAAH9f64Y=")</f>
        <v>#VALUE!</v>
      </c>
      <c r="EF186" t="e">
        <f>AND(Bills!#REF!,"AAAAAH9f64c=")</f>
        <v>#REF!</v>
      </c>
      <c r="EG186" t="e">
        <f>AND(Bills!U774,"AAAAAH9f64g=")</f>
        <v>#VALUE!</v>
      </c>
      <c r="EH186" t="e">
        <f>AND(Bills!V774,"AAAAAH9f64k=")</f>
        <v>#VALUE!</v>
      </c>
      <c r="EI186" t="e">
        <f>AND(Bills!W774,"AAAAAH9f64o=")</f>
        <v>#VALUE!</v>
      </c>
      <c r="EJ186" t="e">
        <f>AND(Bills!#REF!,"AAAAAH9f64s=")</f>
        <v>#REF!</v>
      </c>
      <c r="EK186" t="e">
        <f>AND(Bills!#REF!,"AAAAAH9f64w=")</f>
        <v>#REF!</v>
      </c>
      <c r="EL186" t="e">
        <f>AND(Bills!Y774,"AAAAAH9f640=")</f>
        <v>#VALUE!</v>
      </c>
      <c r="EM186" t="e">
        <f>AND(Bills!Z774,"AAAAAH9f644=")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AND(Bills!AA774,"AAAAAH9f65g=")</f>
        <v>#VALUE!</v>
      </c>
      <c r="EX186" t="e">
        <f>AND(Bills!AB774,"AAAAAH9f65k=")</f>
        <v>#VALUE!</v>
      </c>
      <c r="EY186" t="e">
        <f>AND(Bills!#REF!,"AAAAAH9f65o=")</f>
        <v>#REF!</v>
      </c>
      <c r="EZ186" t="e">
        <f>AND(Bills!#REF!,"AAAAAH9f65s=")</f>
        <v>#REF!</v>
      </c>
      <c r="FA186" t="e">
        <f>AND(Bills!#REF!,"AAAAAH9f65w=")</f>
        <v>#REF!</v>
      </c>
      <c r="FB186" t="e">
        <f>AND(Bills!AC774,"AAAAAH9f650=")</f>
        <v>#VALUE!</v>
      </c>
      <c r="FC186" t="e">
        <f>AND(Bills!AD774,"AAAAAH9f654=")</f>
        <v>#VALUE!</v>
      </c>
      <c r="FD186" t="e">
        <f>AND(Bills!#REF!,"AAAAAH9f658=")</f>
        <v>#REF!</v>
      </c>
      <c r="FE186">
        <f>IF(Bills!775:775,"AAAAAH9f66A=",0)</f>
        <v>0</v>
      </c>
      <c r="FF186" t="e">
        <f>AND(Bills!B775,"AAAAAH9f66E=")</f>
        <v>#VALUE!</v>
      </c>
      <c r="FG186" t="e">
        <f>AND(Bills!#REF!,"AAAAAH9f66I=")</f>
        <v>#REF!</v>
      </c>
      <c r="FH186" t="e">
        <f>AND(Bills!C775,"AAAAAH9f66M=")</f>
        <v>#VALUE!</v>
      </c>
      <c r="FI186" t="e">
        <f>AND(Bills!D775,"AAAAAH9f66Q=")</f>
        <v>#VALUE!</v>
      </c>
      <c r="FJ186" t="e">
        <f>AND(Bills!E775,"AAAAAH9f66U=")</f>
        <v>#VALUE!</v>
      </c>
      <c r="FK186" t="e">
        <f>AND(Bills!#REF!,"AAAAAH9f66Y=")</f>
        <v>#REF!</v>
      </c>
      <c r="FL186" t="e">
        <f>AND(Bills!#REF!,"AAAAAH9f66c=")</f>
        <v>#REF!</v>
      </c>
      <c r="FM186" t="e">
        <f>AND(Bills!#REF!,"AAAAAH9f66g=")</f>
        <v>#REF!</v>
      </c>
      <c r="FN186" t="e">
        <f>AND(Bills!F775,"AAAAAH9f66k=")</f>
        <v>#VALUE!</v>
      </c>
      <c r="FO186" t="e">
        <f>AND(Bills!#REF!,"AAAAAH9f66o=")</f>
        <v>#REF!</v>
      </c>
      <c r="FP186" t="e">
        <f>AND(Bills!G775,"AAAAAH9f66s=")</f>
        <v>#VALUE!</v>
      </c>
      <c r="FQ186" t="e">
        <f>AND(Bills!H775,"AAAAAH9f66w=")</f>
        <v>#VALUE!</v>
      </c>
      <c r="FR186" t="e">
        <f>AND(Bills!I775,"AAAAAH9f660=")</f>
        <v>#VALUE!</v>
      </c>
      <c r="FS186" t="e">
        <f>AND(Bills!J775,"AAAAAH9f664=")</f>
        <v>#VALUE!</v>
      </c>
      <c r="FT186" t="e">
        <f>AND(Bills!K775,"AAAAAH9f668=")</f>
        <v>#VALUE!</v>
      </c>
      <c r="FU186" t="e">
        <f>AND(Bills!L775,"AAAAAH9f67A=")</f>
        <v>#VALUE!</v>
      </c>
      <c r="FV186" t="e">
        <f>AND(Bills!#REF!,"AAAAAH9f67E=")</f>
        <v>#REF!</v>
      </c>
      <c r="FW186" t="e">
        <f>AND(Bills!M775,"AAAAAH9f67I=")</f>
        <v>#VALUE!</v>
      </c>
      <c r="FX186" t="e">
        <f>AND(Bills!N775,"AAAAAH9f67M=")</f>
        <v>#VALUE!</v>
      </c>
      <c r="FY186" t="e">
        <f>AND(Bills!O775,"AAAAAH9f67Q=")</f>
        <v>#VALUE!</v>
      </c>
      <c r="FZ186" t="e">
        <f>AND(Bills!P775,"AAAAAH9f67U=")</f>
        <v>#VALUE!</v>
      </c>
      <c r="GA186" t="e">
        <f>AND(Bills!Q775,"AAAAAH9f67Y=")</f>
        <v>#VALUE!</v>
      </c>
      <c r="GB186" t="e">
        <f>AND(Bills!R775,"AAAAAH9f67c=")</f>
        <v>#VALUE!</v>
      </c>
      <c r="GC186" t="e">
        <f>AND(Bills!S775,"AAAAAH9f67g=")</f>
        <v>#VALUE!</v>
      </c>
      <c r="GD186" t="e">
        <f>AND(Bills!T775,"AAAAAH9f67k=")</f>
        <v>#VALUE!</v>
      </c>
      <c r="GE186" t="e">
        <f>AND(Bills!#REF!,"AAAAAH9f67o=")</f>
        <v>#REF!</v>
      </c>
      <c r="GF186" t="e">
        <f>AND(Bills!U775,"AAAAAH9f67s=")</f>
        <v>#VALUE!</v>
      </c>
      <c r="GG186" t="e">
        <f>AND(Bills!V775,"AAAAAH9f67w=")</f>
        <v>#VALUE!</v>
      </c>
      <c r="GH186" t="e">
        <f>AND(Bills!W775,"AAAAAH9f670=")</f>
        <v>#VALUE!</v>
      </c>
      <c r="GI186" t="e">
        <f>AND(Bills!#REF!,"AAAAAH9f674=")</f>
        <v>#REF!</v>
      </c>
      <c r="GJ186" t="e">
        <f>AND(Bills!#REF!,"AAAAAH9f678=")</f>
        <v>#REF!</v>
      </c>
      <c r="GK186" t="e">
        <f>AND(Bills!Y775,"AAAAAH9f68A=")</f>
        <v>#VALUE!</v>
      </c>
      <c r="GL186" t="e">
        <f>AND(Bills!Z775,"AAAAAH9f68E=")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AND(Bills!AA775,"AAAAAH9f68s=")</f>
        <v>#VALUE!</v>
      </c>
      <c r="GW186" t="e">
        <f>AND(Bills!AB775,"AAAAAH9f68w=")</f>
        <v>#VALUE!</v>
      </c>
      <c r="GX186" t="e">
        <f>AND(Bills!#REF!,"AAAAAH9f680=")</f>
        <v>#REF!</v>
      </c>
      <c r="GY186" t="e">
        <f>AND(Bills!#REF!,"AAAAAH9f684=")</f>
        <v>#REF!</v>
      </c>
      <c r="GZ186" t="e">
        <f>AND(Bills!#REF!,"AAAAAH9f688=")</f>
        <v>#REF!</v>
      </c>
      <c r="HA186" t="e">
        <f>AND(Bills!AC775,"AAAAAH9f69A=")</f>
        <v>#VALUE!</v>
      </c>
      <c r="HB186" t="e">
        <f>AND(Bills!AD775,"AAAAAH9f69E=")</f>
        <v>#VALUE!</v>
      </c>
      <c r="HC186" t="e">
        <f>AND(Bills!#REF!,"AAAAAH9f69I=")</f>
        <v>#REF!</v>
      </c>
      <c r="HD186">
        <f>IF(Bills!776:776,"AAAAAH9f69M=",0)</f>
        <v>0</v>
      </c>
      <c r="HE186" t="e">
        <f>AND(Bills!B776,"AAAAAH9f69Q=")</f>
        <v>#VALUE!</v>
      </c>
      <c r="HF186" t="e">
        <f>AND(Bills!#REF!,"AAAAAH9f69U=")</f>
        <v>#REF!</v>
      </c>
      <c r="HG186" t="e">
        <f>AND(Bills!C776,"AAAAAH9f69Y=")</f>
        <v>#VALUE!</v>
      </c>
      <c r="HH186" t="e">
        <f>AND(Bills!D776,"AAAAAH9f69c=")</f>
        <v>#VALUE!</v>
      </c>
      <c r="HI186" t="e">
        <f>AND(Bills!E776,"AAAAAH9f69g=")</f>
        <v>#VALUE!</v>
      </c>
      <c r="HJ186" t="e">
        <f>AND(Bills!#REF!,"AAAAAH9f69k=")</f>
        <v>#REF!</v>
      </c>
      <c r="HK186" t="e">
        <f>AND(Bills!#REF!,"AAAAAH9f69o=")</f>
        <v>#REF!</v>
      </c>
      <c r="HL186" t="e">
        <f>AND(Bills!#REF!,"AAAAAH9f69s=")</f>
        <v>#REF!</v>
      </c>
      <c r="HM186" t="e">
        <f>AND(Bills!F776,"AAAAAH9f69w=")</f>
        <v>#VALUE!</v>
      </c>
      <c r="HN186" t="e">
        <f>AND(Bills!#REF!,"AAAAAH9f690=")</f>
        <v>#REF!</v>
      </c>
      <c r="HO186" t="e">
        <f>AND(Bills!G776,"AAAAAH9f694=")</f>
        <v>#VALUE!</v>
      </c>
      <c r="HP186" t="e">
        <f>AND(Bills!H776,"AAAAAH9f698=")</f>
        <v>#VALUE!</v>
      </c>
      <c r="HQ186" t="e">
        <f>AND(Bills!I776,"AAAAAH9f6+A=")</f>
        <v>#VALUE!</v>
      </c>
      <c r="HR186" t="e">
        <f>AND(Bills!J776,"AAAAAH9f6+E=")</f>
        <v>#VALUE!</v>
      </c>
      <c r="HS186" t="e">
        <f>AND(Bills!K776,"AAAAAH9f6+I=")</f>
        <v>#VALUE!</v>
      </c>
      <c r="HT186" t="e">
        <f>AND(Bills!L776,"AAAAAH9f6+M=")</f>
        <v>#VALUE!</v>
      </c>
      <c r="HU186" t="e">
        <f>AND(Bills!#REF!,"AAAAAH9f6+Q=")</f>
        <v>#REF!</v>
      </c>
      <c r="HV186" t="e">
        <f>AND(Bills!M776,"AAAAAH9f6+U=")</f>
        <v>#VALUE!</v>
      </c>
      <c r="HW186" t="e">
        <f>AND(Bills!N776,"AAAAAH9f6+Y=")</f>
        <v>#VALUE!</v>
      </c>
      <c r="HX186" t="e">
        <f>AND(Bills!O776,"AAAAAH9f6+c=")</f>
        <v>#VALUE!</v>
      </c>
      <c r="HY186" t="e">
        <f>AND(Bills!P776,"AAAAAH9f6+g=")</f>
        <v>#VALUE!</v>
      </c>
      <c r="HZ186" t="e">
        <f>AND(Bills!Q776,"AAAAAH9f6+k=")</f>
        <v>#VALUE!</v>
      </c>
      <c r="IA186" t="e">
        <f>AND(Bills!R776,"AAAAAH9f6+o=")</f>
        <v>#VALUE!</v>
      </c>
      <c r="IB186" t="e">
        <f>AND(Bills!S776,"AAAAAH9f6+s=")</f>
        <v>#VALUE!</v>
      </c>
      <c r="IC186" t="e">
        <f>AND(Bills!T776,"AAAAAH9f6+w=")</f>
        <v>#VALUE!</v>
      </c>
      <c r="ID186" t="e">
        <f>AND(Bills!#REF!,"AAAAAH9f6+0=")</f>
        <v>#REF!</v>
      </c>
      <c r="IE186" t="e">
        <f>AND(Bills!U776,"AAAAAH9f6+4=")</f>
        <v>#VALUE!</v>
      </c>
      <c r="IF186" t="e">
        <f>AND(Bills!V776,"AAAAAH9f6+8=")</f>
        <v>#VALUE!</v>
      </c>
      <c r="IG186" t="e">
        <f>AND(Bills!W776,"AAAAAH9f6/A=")</f>
        <v>#VALUE!</v>
      </c>
      <c r="IH186" t="e">
        <f>AND(Bills!#REF!,"AAAAAH9f6/E=")</f>
        <v>#REF!</v>
      </c>
      <c r="II186" t="e">
        <f>AND(Bills!#REF!,"AAAAAH9f6/I=")</f>
        <v>#REF!</v>
      </c>
      <c r="IJ186" t="e">
        <f>AND(Bills!Y776,"AAAAAH9f6/M=")</f>
        <v>#VALUE!</v>
      </c>
      <c r="IK186" t="e">
        <f>AND(Bills!Z776,"AAAAAH9f6/Q=")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AND(Bills!AA776,"AAAAAH9f6/4=")</f>
        <v>#VALUE!</v>
      </c>
      <c r="IV186" t="e">
        <f>AND(Bills!AB776,"AAAAAH9f6/8=")</f>
        <v>#VALUE!</v>
      </c>
    </row>
    <row r="187" spans="1:256">
      <c r="A187" t="e">
        <f>AND(Bills!#REF!,"AAAAAHt7HgA=")</f>
        <v>#REF!</v>
      </c>
      <c r="B187" t="e">
        <f>AND(Bills!#REF!,"AAAAAHt7HgE=")</f>
        <v>#REF!</v>
      </c>
      <c r="C187" t="e">
        <f>AND(Bills!#REF!,"AAAAAHt7HgI=")</f>
        <v>#REF!</v>
      </c>
      <c r="D187" t="e">
        <f>AND(Bills!AC776,"AAAAAHt7HgM=")</f>
        <v>#VALUE!</v>
      </c>
      <c r="E187" t="e">
        <f>AND(Bills!AD776,"AAAAAHt7HgQ=")</f>
        <v>#VALUE!</v>
      </c>
      <c r="F187" t="e">
        <f>AND(Bills!#REF!,"AAAAAHt7HgU=")</f>
        <v>#REF!</v>
      </c>
      <c r="G187">
        <f>IF(Bills!777:777,"AAAAAHt7HgY=",0)</f>
        <v>0</v>
      </c>
      <c r="H187" t="e">
        <f>AND(Bills!B777,"AAAAAHt7Hgc=")</f>
        <v>#VALUE!</v>
      </c>
      <c r="I187" t="e">
        <f>AND(Bills!#REF!,"AAAAAHt7Hgg=")</f>
        <v>#REF!</v>
      </c>
      <c r="J187" t="e">
        <f>AND(Bills!C777,"AAAAAHt7Hgk=")</f>
        <v>#VALUE!</v>
      </c>
      <c r="K187" t="e">
        <f>AND(Bills!D777,"AAAAAHt7Hgo=")</f>
        <v>#VALUE!</v>
      </c>
      <c r="L187" t="e">
        <f>AND(Bills!E777,"AAAAAHt7Hgs=")</f>
        <v>#VALUE!</v>
      </c>
      <c r="M187" t="e">
        <f>AND(Bills!#REF!,"AAAAAHt7Hgw=")</f>
        <v>#REF!</v>
      </c>
      <c r="N187" t="e">
        <f>AND(Bills!#REF!,"AAAAAHt7Hg0=")</f>
        <v>#REF!</v>
      </c>
      <c r="O187" t="e">
        <f>AND(Bills!#REF!,"AAAAAHt7Hg4=")</f>
        <v>#REF!</v>
      </c>
      <c r="P187" t="e">
        <f>AND(Bills!F777,"AAAAAHt7Hg8=")</f>
        <v>#VALUE!</v>
      </c>
      <c r="Q187" t="e">
        <f>AND(Bills!#REF!,"AAAAAHt7HhA=")</f>
        <v>#REF!</v>
      </c>
      <c r="R187" t="e">
        <f>AND(Bills!G777,"AAAAAHt7HhE=")</f>
        <v>#VALUE!</v>
      </c>
      <c r="S187" t="e">
        <f>AND(Bills!H777,"AAAAAHt7HhI=")</f>
        <v>#VALUE!</v>
      </c>
      <c r="T187" t="e">
        <f>AND(Bills!I777,"AAAAAHt7HhM=")</f>
        <v>#VALUE!</v>
      </c>
      <c r="U187" t="e">
        <f>AND(Bills!J777,"AAAAAHt7HhQ=")</f>
        <v>#VALUE!</v>
      </c>
      <c r="V187" t="e">
        <f>AND(Bills!K777,"AAAAAHt7HhU=")</f>
        <v>#VALUE!</v>
      </c>
      <c r="W187" t="e">
        <f>AND(Bills!L777,"AAAAAHt7HhY=")</f>
        <v>#VALUE!</v>
      </c>
      <c r="X187" t="e">
        <f>AND(Bills!#REF!,"AAAAAHt7Hhc=")</f>
        <v>#REF!</v>
      </c>
      <c r="Y187" t="e">
        <f>AND(Bills!M777,"AAAAAHt7Hhg=")</f>
        <v>#VALUE!</v>
      </c>
      <c r="Z187" t="e">
        <f>AND(Bills!N777,"AAAAAHt7Hhk=")</f>
        <v>#VALUE!</v>
      </c>
      <c r="AA187" t="e">
        <f>AND(Bills!O777,"AAAAAHt7Hho=")</f>
        <v>#VALUE!</v>
      </c>
      <c r="AB187" t="e">
        <f>AND(Bills!P777,"AAAAAHt7Hhs=")</f>
        <v>#VALUE!</v>
      </c>
      <c r="AC187" t="e">
        <f>AND(Bills!Q777,"AAAAAHt7Hhw=")</f>
        <v>#VALUE!</v>
      </c>
      <c r="AD187" t="e">
        <f>AND(Bills!R777,"AAAAAHt7Hh0=")</f>
        <v>#VALUE!</v>
      </c>
      <c r="AE187" t="e">
        <f>AND(Bills!S777,"AAAAAHt7Hh4=")</f>
        <v>#VALUE!</v>
      </c>
      <c r="AF187" t="e">
        <f>AND(Bills!T777,"AAAAAHt7Hh8=")</f>
        <v>#VALUE!</v>
      </c>
      <c r="AG187" t="e">
        <f>AND(Bills!#REF!,"AAAAAHt7HiA=")</f>
        <v>#REF!</v>
      </c>
      <c r="AH187" t="e">
        <f>AND(Bills!U777,"AAAAAHt7HiE=")</f>
        <v>#VALUE!</v>
      </c>
      <c r="AI187" t="e">
        <f>AND(Bills!V777,"AAAAAHt7HiI=")</f>
        <v>#VALUE!</v>
      </c>
      <c r="AJ187" t="e">
        <f>AND(Bills!W777,"AAAAAHt7HiM=")</f>
        <v>#VALUE!</v>
      </c>
      <c r="AK187" t="e">
        <f>AND(Bills!#REF!,"AAAAAHt7HiQ=")</f>
        <v>#REF!</v>
      </c>
      <c r="AL187" t="e">
        <f>AND(Bills!#REF!,"AAAAAHt7HiU=")</f>
        <v>#REF!</v>
      </c>
      <c r="AM187" t="e">
        <f>AND(Bills!Y777,"AAAAAHt7HiY=")</f>
        <v>#VALUE!</v>
      </c>
      <c r="AN187" t="e">
        <f>AND(Bills!Z777,"AAAAAHt7Hic=")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AND(Bills!AA777,"AAAAAHt7HjE=")</f>
        <v>#VALUE!</v>
      </c>
      <c r="AY187" t="e">
        <f>AND(Bills!AB777,"AAAAAHt7HjI=")</f>
        <v>#VALUE!</v>
      </c>
      <c r="AZ187" t="e">
        <f>AND(Bills!#REF!,"AAAAAHt7HjM=")</f>
        <v>#REF!</v>
      </c>
      <c r="BA187" t="e">
        <f>AND(Bills!#REF!,"AAAAAHt7HjQ=")</f>
        <v>#REF!</v>
      </c>
      <c r="BB187" t="e">
        <f>AND(Bills!#REF!,"AAAAAHt7HjU=")</f>
        <v>#REF!</v>
      </c>
      <c r="BC187" t="e">
        <f>AND(Bills!AC777,"AAAAAHt7HjY=")</f>
        <v>#VALUE!</v>
      </c>
      <c r="BD187" t="e">
        <f>AND(Bills!AD777,"AAAAAHt7Hjc=")</f>
        <v>#VALUE!</v>
      </c>
      <c r="BE187" t="e">
        <f>AND(Bills!#REF!,"AAAAAHt7Hjg=")</f>
        <v>#REF!</v>
      </c>
      <c r="BF187">
        <f>IF(Bills!778:778,"AAAAAHt7Hjk=",0)</f>
        <v>0</v>
      </c>
      <c r="BG187" t="e">
        <f>AND(Bills!B778,"AAAAAHt7Hjo=")</f>
        <v>#VALUE!</v>
      </c>
      <c r="BH187" t="e">
        <f>AND(Bills!#REF!,"AAAAAHt7Hjs=")</f>
        <v>#REF!</v>
      </c>
      <c r="BI187" t="e">
        <f>AND(Bills!C778,"AAAAAHt7Hjw=")</f>
        <v>#VALUE!</v>
      </c>
      <c r="BJ187" t="e">
        <f>AND(Bills!D778,"AAAAAHt7Hj0=")</f>
        <v>#VALUE!</v>
      </c>
      <c r="BK187" t="e">
        <f>AND(Bills!E778,"AAAAAHt7Hj4=")</f>
        <v>#VALUE!</v>
      </c>
      <c r="BL187" t="e">
        <f>AND(Bills!#REF!,"AAAAAHt7Hj8=")</f>
        <v>#REF!</v>
      </c>
      <c r="BM187" t="e">
        <f>AND(Bills!#REF!,"AAAAAHt7HkA=")</f>
        <v>#REF!</v>
      </c>
      <c r="BN187" t="e">
        <f>AND(Bills!#REF!,"AAAAAHt7HkE=")</f>
        <v>#REF!</v>
      </c>
      <c r="BO187" t="e">
        <f>AND(Bills!F778,"AAAAAHt7HkI=")</f>
        <v>#VALUE!</v>
      </c>
      <c r="BP187" t="e">
        <f>AND(Bills!#REF!,"AAAAAHt7HkM=")</f>
        <v>#REF!</v>
      </c>
      <c r="BQ187" t="e">
        <f>AND(Bills!G778,"AAAAAHt7HkQ=")</f>
        <v>#VALUE!</v>
      </c>
      <c r="BR187" t="e">
        <f>AND(Bills!H778,"AAAAAHt7HkU=")</f>
        <v>#VALUE!</v>
      </c>
      <c r="BS187" t="e">
        <f>AND(Bills!I778,"AAAAAHt7HkY=")</f>
        <v>#VALUE!</v>
      </c>
      <c r="BT187" t="e">
        <f>AND(Bills!J778,"AAAAAHt7Hkc=")</f>
        <v>#VALUE!</v>
      </c>
      <c r="BU187" t="e">
        <f>AND(Bills!K778,"AAAAAHt7Hkg=")</f>
        <v>#VALUE!</v>
      </c>
      <c r="BV187" t="e">
        <f>AND(Bills!L778,"AAAAAHt7Hkk=")</f>
        <v>#VALUE!</v>
      </c>
      <c r="BW187" t="e">
        <f>AND(Bills!#REF!,"AAAAAHt7Hko=")</f>
        <v>#REF!</v>
      </c>
      <c r="BX187" t="e">
        <f>AND(Bills!M778,"AAAAAHt7Hks=")</f>
        <v>#VALUE!</v>
      </c>
      <c r="BY187" t="e">
        <f>AND(Bills!N778,"AAAAAHt7Hkw=")</f>
        <v>#VALUE!</v>
      </c>
      <c r="BZ187" t="e">
        <f>AND(Bills!O778,"AAAAAHt7Hk0=")</f>
        <v>#VALUE!</v>
      </c>
      <c r="CA187" t="e">
        <f>AND(Bills!P778,"AAAAAHt7Hk4=")</f>
        <v>#VALUE!</v>
      </c>
      <c r="CB187" t="e">
        <f>AND(Bills!Q778,"AAAAAHt7Hk8=")</f>
        <v>#VALUE!</v>
      </c>
      <c r="CC187" t="e">
        <f>AND(Bills!R778,"AAAAAHt7HlA=")</f>
        <v>#VALUE!</v>
      </c>
      <c r="CD187" t="e">
        <f>AND(Bills!S778,"AAAAAHt7HlE=")</f>
        <v>#VALUE!</v>
      </c>
      <c r="CE187" t="e">
        <f>AND(Bills!T778,"AAAAAHt7HlI=")</f>
        <v>#VALUE!</v>
      </c>
      <c r="CF187" t="e">
        <f>AND(Bills!#REF!,"AAAAAHt7HlM=")</f>
        <v>#REF!</v>
      </c>
      <c r="CG187" t="e">
        <f>AND(Bills!U778,"AAAAAHt7HlQ=")</f>
        <v>#VALUE!</v>
      </c>
      <c r="CH187" t="e">
        <f>AND(Bills!V778,"AAAAAHt7HlU=")</f>
        <v>#VALUE!</v>
      </c>
      <c r="CI187" t="e">
        <f>AND(Bills!W778,"AAAAAHt7HlY=")</f>
        <v>#VALUE!</v>
      </c>
      <c r="CJ187" t="e">
        <f>AND(Bills!#REF!,"AAAAAHt7Hlc=")</f>
        <v>#REF!</v>
      </c>
      <c r="CK187" t="e">
        <f>AND(Bills!#REF!,"AAAAAHt7Hlg=")</f>
        <v>#REF!</v>
      </c>
      <c r="CL187" t="e">
        <f>AND(Bills!Y778,"AAAAAHt7Hlk=")</f>
        <v>#VALUE!</v>
      </c>
      <c r="CM187" t="e">
        <f>AND(Bills!Z778,"AAAAAHt7Hlo=")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AND(Bills!AA778,"AAAAAHt7HmQ=")</f>
        <v>#VALUE!</v>
      </c>
      <c r="CX187" t="e">
        <f>AND(Bills!AB778,"AAAAAHt7HmU=")</f>
        <v>#VALUE!</v>
      </c>
      <c r="CY187" t="e">
        <f>AND(Bills!#REF!,"AAAAAHt7HmY=")</f>
        <v>#REF!</v>
      </c>
      <c r="CZ187" t="e">
        <f>AND(Bills!#REF!,"AAAAAHt7Hmc=")</f>
        <v>#REF!</v>
      </c>
      <c r="DA187" t="e">
        <f>AND(Bills!#REF!,"AAAAAHt7Hmg=")</f>
        <v>#REF!</v>
      </c>
      <c r="DB187" t="e">
        <f>AND(Bills!AC778,"AAAAAHt7Hmk=")</f>
        <v>#VALUE!</v>
      </c>
      <c r="DC187" t="e">
        <f>AND(Bills!AD778,"AAAAAHt7Hmo=")</f>
        <v>#VALUE!</v>
      </c>
      <c r="DD187" t="e">
        <f>AND(Bills!#REF!,"AAAAAHt7Hms=")</f>
        <v>#REF!</v>
      </c>
      <c r="DE187">
        <f>IF(Bills!779:779,"AAAAAHt7Hmw=",0)</f>
        <v>0</v>
      </c>
      <c r="DF187" t="e">
        <f>AND(Bills!B779,"AAAAAHt7Hm0=")</f>
        <v>#VALUE!</v>
      </c>
      <c r="DG187" t="e">
        <f>AND(Bills!#REF!,"AAAAAHt7Hm4=")</f>
        <v>#REF!</v>
      </c>
      <c r="DH187" t="e">
        <f>AND(Bills!C779,"AAAAAHt7Hm8=")</f>
        <v>#VALUE!</v>
      </c>
      <c r="DI187" t="e">
        <f>AND(Bills!D779,"AAAAAHt7HnA=")</f>
        <v>#VALUE!</v>
      </c>
      <c r="DJ187" t="e">
        <f>AND(Bills!E779,"AAAAAHt7HnE=")</f>
        <v>#VALUE!</v>
      </c>
      <c r="DK187" t="e">
        <f>AND(Bills!#REF!,"AAAAAHt7HnI=")</f>
        <v>#REF!</v>
      </c>
      <c r="DL187" t="e">
        <f>AND(Bills!#REF!,"AAAAAHt7HnM=")</f>
        <v>#REF!</v>
      </c>
      <c r="DM187" t="e">
        <f>AND(Bills!#REF!,"AAAAAHt7HnQ=")</f>
        <v>#REF!</v>
      </c>
      <c r="DN187" t="e">
        <f>AND(Bills!F779,"AAAAAHt7HnU=")</f>
        <v>#VALUE!</v>
      </c>
      <c r="DO187" t="e">
        <f>AND(Bills!#REF!,"AAAAAHt7HnY=")</f>
        <v>#REF!</v>
      </c>
      <c r="DP187" t="e">
        <f>AND(Bills!G779,"AAAAAHt7Hnc=")</f>
        <v>#VALUE!</v>
      </c>
      <c r="DQ187" t="e">
        <f>AND(Bills!H779,"AAAAAHt7Hng=")</f>
        <v>#VALUE!</v>
      </c>
      <c r="DR187" t="e">
        <f>AND(Bills!I779,"AAAAAHt7Hnk=")</f>
        <v>#VALUE!</v>
      </c>
      <c r="DS187" t="e">
        <f>AND(Bills!J779,"AAAAAHt7Hno=")</f>
        <v>#VALUE!</v>
      </c>
      <c r="DT187" t="e">
        <f>AND(Bills!K779,"AAAAAHt7Hns=")</f>
        <v>#VALUE!</v>
      </c>
      <c r="DU187" t="e">
        <f>AND(Bills!L779,"AAAAAHt7Hnw=")</f>
        <v>#VALUE!</v>
      </c>
      <c r="DV187" t="e">
        <f>AND(Bills!#REF!,"AAAAAHt7Hn0=")</f>
        <v>#REF!</v>
      </c>
      <c r="DW187" t="e">
        <f>AND(Bills!M779,"AAAAAHt7Hn4=")</f>
        <v>#VALUE!</v>
      </c>
      <c r="DX187" t="e">
        <f>AND(Bills!N779,"AAAAAHt7Hn8=")</f>
        <v>#VALUE!</v>
      </c>
      <c r="DY187" t="e">
        <f>AND(Bills!O779,"AAAAAHt7HoA=")</f>
        <v>#VALUE!</v>
      </c>
      <c r="DZ187" t="e">
        <f>AND(Bills!P779,"AAAAAHt7HoE=")</f>
        <v>#VALUE!</v>
      </c>
      <c r="EA187" t="e">
        <f>AND(Bills!Q779,"AAAAAHt7HoI=")</f>
        <v>#VALUE!</v>
      </c>
      <c r="EB187" t="e">
        <f>AND(Bills!R779,"AAAAAHt7HoM=")</f>
        <v>#VALUE!</v>
      </c>
      <c r="EC187" t="e">
        <f>AND(Bills!S779,"AAAAAHt7HoQ=")</f>
        <v>#VALUE!</v>
      </c>
      <c r="ED187" t="e">
        <f>AND(Bills!T779,"AAAAAHt7HoU=")</f>
        <v>#VALUE!</v>
      </c>
      <c r="EE187" t="e">
        <f>AND(Bills!#REF!,"AAAAAHt7HoY=")</f>
        <v>#REF!</v>
      </c>
      <c r="EF187" t="e">
        <f>AND(Bills!U779,"AAAAAHt7Hoc=")</f>
        <v>#VALUE!</v>
      </c>
      <c r="EG187" t="e">
        <f>AND(Bills!V779,"AAAAAHt7Hog=")</f>
        <v>#VALUE!</v>
      </c>
      <c r="EH187" t="e">
        <f>AND(Bills!W779,"AAAAAHt7Hok=")</f>
        <v>#VALUE!</v>
      </c>
      <c r="EI187" t="e">
        <f>AND(Bills!#REF!,"AAAAAHt7Hoo=")</f>
        <v>#REF!</v>
      </c>
      <c r="EJ187" t="e">
        <f>AND(Bills!#REF!,"AAAAAHt7Hos=")</f>
        <v>#REF!</v>
      </c>
      <c r="EK187" t="e">
        <f>AND(Bills!Y779,"AAAAAHt7How=")</f>
        <v>#VALUE!</v>
      </c>
      <c r="EL187" t="e">
        <f>AND(Bills!Z779,"AAAAAHt7Ho0=")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AND(Bills!AA779,"AAAAAHt7Hpc=")</f>
        <v>#VALUE!</v>
      </c>
      <c r="EW187" t="e">
        <f>AND(Bills!AB779,"AAAAAHt7Hpg=")</f>
        <v>#VALUE!</v>
      </c>
      <c r="EX187" t="e">
        <f>AND(Bills!#REF!,"AAAAAHt7Hpk=")</f>
        <v>#REF!</v>
      </c>
      <c r="EY187" t="e">
        <f>AND(Bills!#REF!,"AAAAAHt7Hpo=")</f>
        <v>#REF!</v>
      </c>
      <c r="EZ187" t="e">
        <f>AND(Bills!#REF!,"AAAAAHt7Hps=")</f>
        <v>#REF!</v>
      </c>
      <c r="FA187" t="e">
        <f>AND(Bills!AC779,"AAAAAHt7Hpw=")</f>
        <v>#VALUE!</v>
      </c>
      <c r="FB187" t="e">
        <f>AND(Bills!AD779,"AAAAAHt7Hp0=")</f>
        <v>#VALUE!</v>
      </c>
      <c r="FC187" t="e">
        <f>AND(Bills!#REF!,"AAAAAHt7Hp4=")</f>
        <v>#REF!</v>
      </c>
      <c r="FD187">
        <f>IF(Bills!780:780,"AAAAAHt7Hp8=",0)</f>
        <v>0</v>
      </c>
      <c r="FE187" t="e">
        <f>AND(Bills!B780,"AAAAAHt7HqA=")</f>
        <v>#VALUE!</v>
      </c>
      <c r="FF187" t="e">
        <f>AND(Bills!#REF!,"AAAAAHt7HqE=")</f>
        <v>#REF!</v>
      </c>
      <c r="FG187" t="e">
        <f>AND(Bills!C780,"AAAAAHt7HqI=")</f>
        <v>#VALUE!</v>
      </c>
      <c r="FH187" t="e">
        <f>AND(Bills!D780,"AAAAAHt7HqM=")</f>
        <v>#VALUE!</v>
      </c>
      <c r="FI187" t="e">
        <f>AND(Bills!E780,"AAAAAHt7HqQ=")</f>
        <v>#VALUE!</v>
      </c>
      <c r="FJ187" t="e">
        <f>AND(Bills!#REF!,"AAAAAHt7HqU=")</f>
        <v>#REF!</v>
      </c>
      <c r="FK187" t="e">
        <f>AND(Bills!#REF!,"AAAAAHt7HqY=")</f>
        <v>#REF!</v>
      </c>
      <c r="FL187" t="e">
        <f>AND(Bills!#REF!,"AAAAAHt7Hqc=")</f>
        <v>#REF!</v>
      </c>
      <c r="FM187" t="e">
        <f>AND(Bills!F780,"AAAAAHt7Hqg=")</f>
        <v>#VALUE!</v>
      </c>
      <c r="FN187" t="e">
        <f>AND(Bills!#REF!,"AAAAAHt7Hqk=")</f>
        <v>#REF!</v>
      </c>
      <c r="FO187" t="e">
        <f>AND(Bills!G780,"AAAAAHt7Hqo=")</f>
        <v>#VALUE!</v>
      </c>
      <c r="FP187" t="e">
        <f>AND(Bills!H780,"AAAAAHt7Hqs=")</f>
        <v>#VALUE!</v>
      </c>
      <c r="FQ187" t="e">
        <f>AND(Bills!I780,"AAAAAHt7Hqw=")</f>
        <v>#VALUE!</v>
      </c>
      <c r="FR187" t="e">
        <f>AND(Bills!J780,"AAAAAHt7Hq0=")</f>
        <v>#VALUE!</v>
      </c>
      <c r="FS187" t="e">
        <f>AND(Bills!K780,"AAAAAHt7Hq4=")</f>
        <v>#VALUE!</v>
      </c>
      <c r="FT187" t="e">
        <f>AND(Bills!L780,"AAAAAHt7Hq8=")</f>
        <v>#VALUE!</v>
      </c>
      <c r="FU187" t="e">
        <f>AND(Bills!#REF!,"AAAAAHt7HrA=")</f>
        <v>#REF!</v>
      </c>
      <c r="FV187" t="e">
        <f>AND(Bills!M780,"AAAAAHt7HrE=")</f>
        <v>#VALUE!</v>
      </c>
      <c r="FW187" t="e">
        <f>AND(Bills!N780,"AAAAAHt7HrI=")</f>
        <v>#VALUE!</v>
      </c>
      <c r="FX187" t="e">
        <f>AND(Bills!O780,"AAAAAHt7HrM=")</f>
        <v>#VALUE!</v>
      </c>
      <c r="FY187" t="e">
        <f>AND(Bills!P780,"AAAAAHt7HrQ=")</f>
        <v>#VALUE!</v>
      </c>
      <c r="FZ187" t="e">
        <f>AND(Bills!Q780,"AAAAAHt7HrU=")</f>
        <v>#VALUE!</v>
      </c>
      <c r="GA187" t="e">
        <f>AND(Bills!R780,"AAAAAHt7HrY=")</f>
        <v>#VALUE!</v>
      </c>
      <c r="GB187" t="e">
        <f>AND(Bills!S780,"AAAAAHt7Hrc=")</f>
        <v>#VALUE!</v>
      </c>
      <c r="GC187" t="e">
        <f>AND(Bills!T780,"AAAAAHt7Hrg=")</f>
        <v>#VALUE!</v>
      </c>
      <c r="GD187" t="e">
        <f>AND(Bills!#REF!,"AAAAAHt7Hrk=")</f>
        <v>#REF!</v>
      </c>
      <c r="GE187" t="e">
        <f>AND(Bills!U780,"AAAAAHt7Hro=")</f>
        <v>#VALUE!</v>
      </c>
      <c r="GF187" t="e">
        <f>AND(Bills!V780,"AAAAAHt7Hrs=")</f>
        <v>#VALUE!</v>
      </c>
      <c r="GG187" t="e">
        <f>AND(Bills!W780,"AAAAAHt7Hrw=")</f>
        <v>#VALUE!</v>
      </c>
      <c r="GH187" t="e">
        <f>AND(Bills!#REF!,"AAAAAHt7Hr0=")</f>
        <v>#REF!</v>
      </c>
      <c r="GI187" t="e">
        <f>AND(Bills!#REF!,"AAAAAHt7Hr4=")</f>
        <v>#REF!</v>
      </c>
      <c r="GJ187" t="e">
        <f>AND(Bills!Y780,"AAAAAHt7Hr8=")</f>
        <v>#VALUE!</v>
      </c>
      <c r="GK187" t="e">
        <f>AND(Bills!Z780,"AAAAAHt7HsA=")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AND(Bills!AA780,"AAAAAHt7Hso=")</f>
        <v>#VALUE!</v>
      </c>
      <c r="GV187" t="e">
        <f>AND(Bills!AB780,"AAAAAHt7Hss=")</f>
        <v>#VALUE!</v>
      </c>
      <c r="GW187" t="e">
        <f>AND(Bills!#REF!,"AAAAAHt7Hsw=")</f>
        <v>#REF!</v>
      </c>
      <c r="GX187" t="e">
        <f>AND(Bills!#REF!,"AAAAAHt7Hs0=")</f>
        <v>#REF!</v>
      </c>
      <c r="GY187" t="e">
        <f>AND(Bills!#REF!,"AAAAAHt7Hs4=")</f>
        <v>#REF!</v>
      </c>
      <c r="GZ187" t="e">
        <f>AND(Bills!AC780,"AAAAAHt7Hs8=")</f>
        <v>#VALUE!</v>
      </c>
      <c r="HA187" t="e">
        <f>AND(Bills!AD780,"AAAAAHt7HtA=")</f>
        <v>#VALUE!</v>
      </c>
      <c r="HB187" t="e">
        <f>AND(Bills!#REF!,"AAAAAHt7HtE=")</f>
        <v>#REF!</v>
      </c>
      <c r="HC187">
        <f>IF(Bills!781:781,"AAAAAHt7HtI=",0)</f>
        <v>0</v>
      </c>
      <c r="HD187" t="e">
        <f>AND(Bills!B781,"AAAAAHt7HtM=")</f>
        <v>#VALUE!</v>
      </c>
      <c r="HE187" t="e">
        <f>AND(Bills!#REF!,"AAAAAHt7HtQ=")</f>
        <v>#REF!</v>
      </c>
      <c r="HF187" t="e">
        <f>AND(Bills!C781,"AAAAAHt7HtU=")</f>
        <v>#VALUE!</v>
      </c>
      <c r="HG187" t="e">
        <f>AND(Bills!D781,"AAAAAHt7HtY=")</f>
        <v>#VALUE!</v>
      </c>
      <c r="HH187" t="e">
        <f>AND(Bills!E781,"AAAAAHt7Htc=")</f>
        <v>#VALUE!</v>
      </c>
      <c r="HI187" t="e">
        <f>AND(Bills!#REF!,"AAAAAHt7Htg=")</f>
        <v>#REF!</v>
      </c>
      <c r="HJ187" t="e">
        <f>AND(Bills!#REF!,"AAAAAHt7Htk=")</f>
        <v>#REF!</v>
      </c>
      <c r="HK187" t="e">
        <f>AND(Bills!#REF!,"AAAAAHt7Hto=")</f>
        <v>#REF!</v>
      </c>
      <c r="HL187" t="e">
        <f>AND(Bills!F781,"AAAAAHt7Hts=")</f>
        <v>#VALUE!</v>
      </c>
      <c r="HM187" t="e">
        <f>AND(Bills!#REF!,"AAAAAHt7Htw=")</f>
        <v>#REF!</v>
      </c>
      <c r="HN187" t="e">
        <f>AND(Bills!G781,"AAAAAHt7Ht0=")</f>
        <v>#VALUE!</v>
      </c>
      <c r="HO187" t="e">
        <f>AND(Bills!H781,"AAAAAHt7Ht4=")</f>
        <v>#VALUE!</v>
      </c>
      <c r="HP187" t="e">
        <f>AND(Bills!I781,"AAAAAHt7Ht8=")</f>
        <v>#VALUE!</v>
      </c>
      <c r="HQ187" t="e">
        <f>AND(Bills!J781,"AAAAAHt7HuA=")</f>
        <v>#VALUE!</v>
      </c>
      <c r="HR187" t="e">
        <f>AND(Bills!K781,"AAAAAHt7HuE=")</f>
        <v>#VALUE!</v>
      </c>
      <c r="HS187" t="e">
        <f>AND(Bills!L781,"AAAAAHt7HuI=")</f>
        <v>#VALUE!</v>
      </c>
      <c r="HT187" t="e">
        <f>AND(Bills!#REF!,"AAAAAHt7HuM=")</f>
        <v>#REF!</v>
      </c>
      <c r="HU187" t="e">
        <f>AND(Bills!M781,"AAAAAHt7HuQ=")</f>
        <v>#VALUE!</v>
      </c>
      <c r="HV187" t="e">
        <f>AND(Bills!N781,"AAAAAHt7HuU=")</f>
        <v>#VALUE!</v>
      </c>
      <c r="HW187" t="e">
        <f>AND(Bills!O781,"AAAAAHt7HuY=")</f>
        <v>#VALUE!</v>
      </c>
      <c r="HX187" t="e">
        <f>AND(Bills!P781,"AAAAAHt7Huc=")</f>
        <v>#VALUE!</v>
      </c>
      <c r="HY187" t="e">
        <f>AND(Bills!Q781,"AAAAAHt7Hug=")</f>
        <v>#VALUE!</v>
      </c>
      <c r="HZ187" t="e">
        <f>AND(Bills!R781,"AAAAAHt7Huk=")</f>
        <v>#VALUE!</v>
      </c>
      <c r="IA187" t="e">
        <f>AND(Bills!S781,"AAAAAHt7Huo=")</f>
        <v>#VALUE!</v>
      </c>
      <c r="IB187" t="e">
        <f>AND(Bills!T781,"AAAAAHt7Hus=")</f>
        <v>#VALUE!</v>
      </c>
      <c r="IC187" t="e">
        <f>AND(Bills!#REF!,"AAAAAHt7Huw=")</f>
        <v>#REF!</v>
      </c>
      <c r="ID187" t="e">
        <f>AND(Bills!U781,"AAAAAHt7Hu0=")</f>
        <v>#VALUE!</v>
      </c>
      <c r="IE187" t="e">
        <f>AND(Bills!V781,"AAAAAHt7Hu4=")</f>
        <v>#VALUE!</v>
      </c>
      <c r="IF187" t="e">
        <f>AND(Bills!W781,"AAAAAHt7Hu8=")</f>
        <v>#VALUE!</v>
      </c>
      <c r="IG187" t="e">
        <f>AND(Bills!#REF!,"AAAAAHt7HvA=")</f>
        <v>#REF!</v>
      </c>
      <c r="IH187" t="e">
        <f>AND(Bills!#REF!,"AAAAAHt7HvE=")</f>
        <v>#REF!</v>
      </c>
      <c r="II187" t="e">
        <f>AND(Bills!Y781,"AAAAAHt7HvI=")</f>
        <v>#VALUE!</v>
      </c>
      <c r="IJ187" t="e">
        <f>AND(Bills!Z781,"AAAAAHt7HvM=")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AND(Bills!AA781,"AAAAAHt7Hv0=")</f>
        <v>#VALUE!</v>
      </c>
      <c r="IU187" t="e">
        <f>AND(Bills!AB781,"AAAAAHt7Hv4=")</f>
        <v>#VALUE!</v>
      </c>
      <c r="IV187" t="e">
        <f>AND(Bills!#REF!,"AAAAAHt7Hv8=")</f>
        <v>#REF!</v>
      </c>
    </row>
    <row r="188" spans="1:256">
      <c r="A188" t="e">
        <f>AND(Bills!#REF!,"AAAAAF2JeQA=")</f>
        <v>#REF!</v>
      </c>
      <c r="B188" t="e">
        <f>AND(Bills!#REF!,"AAAAAF2JeQE=")</f>
        <v>#REF!</v>
      </c>
      <c r="C188" t="e">
        <f>AND(Bills!AC781,"AAAAAF2JeQI=")</f>
        <v>#VALUE!</v>
      </c>
      <c r="D188" t="e">
        <f>AND(Bills!AD781,"AAAAAF2JeQM=")</f>
        <v>#VALUE!</v>
      </c>
      <c r="E188" t="e">
        <f>AND(Bills!#REF!,"AAAAAF2JeQQ=")</f>
        <v>#REF!</v>
      </c>
      <c r="F188">
        <f>IF(Bills!782:782,"AAAAAF2JeQU=",0)</f>
        <v>0</v>
      </c>
      <c r="G188" t="e">
        <f>AND(Bills!B782,"AAAAAF2JeQY=")</f>
        <v>#VALUE!</v>
      </c>
      <c r="H188" t="e">
        <f>AND(Bills!#REF!,"AAAAAF2JeQc=")</f>
        <v>#REF!</v>
      </c>
      <c r="I188" t="e">
        <f>AND(Bills!C782,"AAAAAF2JeQg=")</f>
        <v>#VALUE!</v>
      </c>
      <c r="J188" t="e">
        <f>AND(Bills!D782,"AAAAAF2JeQk=")</f>
        <v>#VALUE!</v>
      </c>
      <c r="K188" t="e">
        <f>AND(Bills!E782,"AAAAAF2JeQo=")</f>
        <v>#VALUE!</v>
      </c>
      <c r="L188" t="e">
        <f>AND(Bills!#REF!,"AAAAAF2JeQs=")</f>
        <v>#REF!</v>
      </c>
      <c r="M188" t="e">
        <f>AND(Bills!#REF!,"AAAAAF2JeQw=")</f>
        <v>#REF!</v>
      </c>
      <c r="N188" t="e">
        <f>AND(Bills!#REF!,"AAAAAF2JeQ0=")</f>
        <v>#REF!</v>
      </c>
      <c r="O188" t="e">
        <f>AND(Bills!F782,"AAAAAF2JeQ4=")</f>
        <v>#VALUE!</v>
      </c>
      <c r="P188" t="e">
        <f>AND(Bills!#REF!,"AAAAAF2JeQ8=")</f>
        <v>#REF!</v>
      </c>
      <c r="Q188" t="e">
        <f>AND(Bills!G782,"AAAAAF2JeRA=")</f>
        <v>#VALUE!</v>
      </c>
      <c r="R188" t="e">
        <f>AND(Bills!H782,"AAAAAF2JeRE=")</f>
        <v>#VALUE!</v>
      </c>
      <c r="S188" t="e">
        <f>AND(Bills!I782,"AAAAAF2JeRI=")</f>
        <v>#VALUE!</v>
      </c>
      <c r="T188" t="e">
        <f>AND(Bills!J782,"AAAAAF2JeRM=")</f>
        <v>#VALUE!</v>
      </c>
      <c r="U188" t="e">
        <f>AND(Bills!K782,"AAAAAF2JeRQ=")</f>
        <v>#VALUE!</v>
      </c>
      <c r="V188" t="e">
        <f>AND(Bills!L782,"AAAAAF2JeRU=")</f>
        <v>#VALUE!</v>
      </c>
      <c r="W188" t="e">
        <f>AND(Bills!#REF!,"AAAAAF2JeRY=")</f>
        <v>#REF!</v>
      </c>
      <c r="X188" t="e">
        <f>AND(Bills!M782,"AAAAAF2JeRc=")</f>
        <v>#VALUE!</v>
      </c>
      <c r="Y188" t="e">
        <f>AND(Bills!N782,"AAAAAF2JeRg=")</f>
        <v>#VALUE!</v>
      </c>
      <c r="Z188" t="e">
        <f>AND(Bills!O782,"AAAAAF2JeRk=")</f>
        <v>#VALUE!</v>
      </c>
      <c r="AA188" t="e">
        <f>AND(Bills!P782,"AAAAAF2JeRo=")</f>
        <v>#VALUE!</v>
      </c>
      <c r="AB188" t="e">
        <f>AND(Bills!Q782,"AAAAAF2JeRs=")</f>
        <v>#VALUE!</v>
      </c>
      <c r="AC188" t="e">
        <f>AND(Bills!R782,"AAAAAF2JeRw=")</f>
        <v>#VALUE!</v>
      </c>
      <c r="AD188" t="e">
        <f>AND(Bills!S782,"AAAAAF2JeR0=")</f>
        <v>#VALUE!</v>
      </c>
      <c r="AE188" t="e">
        <f>AND(Bills!T782,"AAAAAF2JeR4=")</f>
        <v>#VALUE!</v>
      </c>
      <c r="AF188" t="e">
        <f>AND(Bills!#REF!,"AAAAAF2JeR8=")</f>
        <v>#REF!</v>
      </c>
      <c r="AG188" t="e">
        <f>AND(Bills!U782,"AAAAAF2JeSA=")</f>
        <v>#VALUE!</v>
      </c>
      <c r="AH188" t="e">
        <f>AND(Bills!V782,"AAAAAF2JeSE=")</f>
        <v>#VALUE!</v>
      </c>
      <c r="AI188" t="e">
        <f>AND(Bills!W782,"AAAAAF2JeSI=")</f>
        <v>#VALUE!</v>
      </c>
      <c r="AJ188" t="e">
        <f>AND(Bills!#REF!,"AAAAAF2JeSM=")</f>
        <v>#REF!</v>
      </c>
      <c r="AK188" t="e">
        <f>AND(Bills!#REF!,"AAAAAF2JeSQ=")</f>
        <v>#REF!</v>
      </c>
      <c r="AL188" t="e">
        <f>AND(Bills!Y782,"AAAAAF2JeSU=")</f>
        <v>#VALUE!</v>
      </c>
      <c r="AM188" t="e">
        <f>AND(Bills!Z782,"AAAAAF2JeSY=")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AND(Bills!AA782,"AAAAAF2JeTA=")</f>
        <v>#VALUE!</v>
      </c>
      <c r="AX188" t="e">
        <f>AND(Bills!AB782,"AAAAAF2JeTE=")</f>
        <v>#VALUE!</v>
      </c>
      <c r="AY188" t="e">
        <f>AND(Bills!#REF!,"AAAAAF2JeTI=")</f>
        <v>#REF!</v>
      </c>
      <c r="AZ188" t="e">
        <f>AND(Bills!#REF!,"AAAAAF2JeTM=")</f>
        <v>#REF!</v>
      </c>
      <c r="BA188" t="e">
        <f>AND(Bills!#REF!,"AAAAAF2JeTQ=")</f>
        <v>#REF!</v>
      </c>
      <c r="BB188" t="e">
        <f>AND(Bills!AC782,"AAAAAF2JeTU=")</f>
        <v>#VALUE!</v>
      </c>
      <c r="BC188" t="e">
        <f>AND(Bills!AD782,"AAAAAF2JeTY=")</f>
        <v>#VALUE!</v>
      </c>
      <c r="BD188" t="e">
        <f>AND(Bills!#REF!,"AAAAAF2JeTc=")</f>
        <v>#REF!</v>
      </c>
      <c r="BE188">
        <f>IF(Bills!783:783,"AAAAAF2JeTg=",0)</f>
        <v>0</v>
      </c>
      <c r="BF188" t="e">
        <f>AND(Bills!B783,"AAAAAF2JeTk=")</f>
        <v>#VALUE!</v>
      </c>
      <c r="BG188" t="e">
        <f>AND(Bills!#REF!,"AAAAAF2JeTo=")</f>
        <v>#REF!</v>
      </c>
      <c r="BH188" t="e">
        <f>AND(Bills!C783,"AAAAAF2JeTs=")</f>
        <v>#VALUE!</v>
      </c>
      <c r="BI188" t="e">
        <f>AND(Bills!D783,"AAAAAF2JeTw=")</f>
        <v>#VALUE!</v>
      </c>
      <c r="BJ188" t="e">
        <f>AND(Bills!E783,"AAAAAF2JeT0=")</f>
        <v>#VALUE!</v>
      </c>
      <c r="BK188" t="e">
        <f>AND(Bills!#REF!,"AAAAAF2JeT4=")</f>
        <v>#REF!</v>
      </c>
      <c r="BL188" t="e">
        <f>AND(Bills!#REF!,"AAAAAF2JeT8=")</f>
        <v>#REF!</v>
      </c>
      <c r="BM188" t="e">
        <f>AND(Bills!#REF!,"AAAAAF2JeUA=")</f>
        <v>#REF!</v>
      </c>
      <c r="BN188" t="e">
        <f>AND(Bills!F783,"AAAAAF2JeUE=")</f>
        <v>#VALUE!</v>
      </c>
      <c r="BO188" t="e">
        <f>AND(Bills!#REF!,"AAAAAF2JeUI=")</f>
        <v>#REF!</v>
      </c>
      <c r="BP188" t="e">
        <f>AND(Bills!G783,"AAAAAF2JeUM=")</f>
        <v>#VALUE!</v>
      </c>
      <c r="BQ188" t="e">
        <f>AND(Bills!H783,"AAAAAF2JeUQ=")</f>
        <v>#VALUE!</v>
      </c>
      <c r="BR188" t="e">
        <f>AND(Bills!I783,"AAAAAF2JeUU=")</f>
        <v>#VALUE!</v>
      </c>
      <c r="BS188" t="e">
        <f>AND(Bills!J783,"AAAAAF2JeUY=")</f>
        <v>#VALUE!</v>
      </c>
      <c r="BT188" t="e">
        <f>AND(Bills!K783,"AAAAAF2JeUc=")</f>
        <v>#VALUE!</v>
      </c>
      <c r="BU188" t="e">
        <f>AND(Bills!L783,"AAAAAF2JeUg=")</f>
        <v>#VALUE!</v>
      </c>
      <c r="BV188" t="e">
        <f>AND(Bills!#REF!,"AAAAAF2JeUk=")</f>
        <v>#REF!</v>
      </c>
      <c r="BW188" t="e">
        <f>AND(Bills!M783,"AAAAAF2JeUo=")</f>
        <v>#VALUE!</v>
      </c>
      <c r="BX188" t="e">
        <f>AND(Bills!N783,"AAAAAF2JeUs=")</f>
        <v>#VALUE!</v>
      </c>
      <c r="BY188" t="e">
        <f>AND(Bills!O783,"AAAAAF2JeUw=")</f>
        <v>#VALUE!</v>
      </c>
      <c r="BZ188" t="e">
        <f>AND(Bills!P783,"AAAAAF2JeU0=")</f>
        <v>#VALUE!</v>
      </c>
      <c r="CA188" t="e">
        <f>AND(Bills!Q783,"AAAAAF2JeU4=")</f>
        <v>#VALUE!</v>
      </c>
      <c r="CB188" t="e">
        <f>AND(Bills!R783,"AAAAAF2JeU8=")</f>
        <v>#VALUE!</v>
      </c>
      <c r="CC188" t="e">
        <f>AND(Bills!S783,"AAAAAF2JeVA=")</f>
        <v>#VALUE!</v>
      </c>
      <c r="CD188" t="e">
        <f>AND(Bills!T783,"AAAAAF2JeVE=")</f>
        <v>#VALUE!</v>
      </c>
      <c r="CE188" t="e">
        <f>AND(Bills!#REF!,"AAAAAF2JeVI=")</f>
        <v>#REF!</v>
      </c>
      <c r="CF188" t="e">
        <f>AND(Bills!U783,"AAAAAF2JeVM=")</f>
        <v>#VALUE!</v>
      </c>
      <c r="CG188" t="e">
        <f>AND(Bills!V783,"AAAAAF2JeVQ=")</f>
        <v>#VALUE!</v>
      </c>
      <c r="CH188" t="e">
        <f>AND(Bills!W783,"AAAAAF2JeVU=")</f>
        <v>#VALUE!</v>
      </c>
      <c r="CI188" t="e">
        <f>AND(Bills!#REF!,"AAAAAF2JeVY=")</f>
        <v>#REF!</v>
      </c>
      <c r="CJ188" t="e">
        <f>AND(Bills!#REF!,"AAAAAF2JeVc=")</f>
        <v>#REF!</v>
      </c>
      <c r="CK188" t="e">
        <f>AND(Bills!Y783,"AAAAAF2JeVg=")</f>
        <v>#VALUE!</v>
      </c>
      <c r="CL188" t="e">
        <f>AND(Bills!Z783,"AAAAAF2JeVk=")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AND(Bills!AA783,"AAAAAF2JeWM=")</f>
        <v>#VALUE!</v>
      </c>
      <c r="CW188" t="e">
        <f>AND(Bills!AB783,"AAAAAF2JeWQ=")</f>
        <v>#VALUE!</v>
      </c>
      <c r="CX188" t="e">
        <f>AND(Bills!#REF!,"AAAAAF2JeWU=")</f>
        <v>#REF!</v>
      </c>
      <c r="CY188" t="e">
        <f>AND(Bills!#REF!,"AAAAAF2JeWY=")</f>
        <v>#REF!</v>
      </c>
      <c r="CZ188" t="e">
        <f>AND(Bills!#REF!,"AAAAAF2JeWc=")</f>
        <v>#REF!</v>
      </c>
      <c r="DA188" t="e">
        <f>AND(Bills!AC783,"AAAAAF2JeWg=")</f>
        <v>#VALUE!</v>
      </c>
      <c r="DB188" t="e">
        <f>AND(Bills!AD783,"AAAAAF2JeWk=")</f>
        <v>#VALUE!</v>
      </c>
      <c r="DC188" t="e">
        <f>AND(Bills!#REF!,"AAAAAF2JeWo=")</f>
        <v>#REF!</v>
      </c>
      <c r="DD188">
        <f>IF(Bills!784:784,"AAAAAF2JeWs=",0)</f>
        <v>0</v>
      </c>
      <c r="DE188" t="e">
        <f>AND(Bills!B784,"AAAAAF2JeWw=")</f>
        <v>#VALUE!</v>
      </c>
      <c r="DF188" t="e">
        <f>AND(Bills!#REF!,"AAAAAF2JeW0=")</f>
        <v>#REF!</v>
      </c>
      <c r="DG188" t="e">
        <f>AND(Bills!C784,"AAAAAF2JeW4=")</f>
        <v>#VALUE!</v>
      </c>
      <c r="DH188" t="e">
        <f>AND(Bills!D784,"AAAAAF2JeW8=")</f>
        <v>#VALUE!</v>
      </c>
      <c r="DI188" t="e">
        <f>AND(Bills!E784,"AAAAAF2JeXA=")</f>
        <v>#VALUE!</v>
      </c>
      <c r="DJ188" t="e">
        <f>AND(Bills!#REF!,"AAAAAF2JeXE=")</f>
        <v>#REF!</v>
      </c>
      <c r="DK188" t="e">
        <f>AND(Bills!#REF!,"AAAAAF2JeXI=")</f>
        <v>#REF!</v>
      </c>
      <c r="DL188" t="e">
        <f>AND(Bills!#REF!,"AAAAAF2JeXM=")</f>
        <v>#REF!</v>
      </c>
      <c r="DM188" t="e">
        <f>AND(Bills!F784,"AAAAAF2JeXQ=")</f>
        <v>#VALUE!</v>
      </c>
      <c r="DN188" t="e">
        <f>AND(Bills!#REF!,"AAAAAF2JeXU=")</f>
        <v>#REF!</v>
      </c>
      <c r="DO188" t="e">
        <f>AND(Bills!G784,"AAAAAF2JeXY=")</f>
        <v>#VALUE!</v>
      </c>
      <c r="DP188" t="e">
        <f>AND(Bills!H784,"AAAAAF2JeXc=")</f>
        <v>#VALUE!</v>
      </c>
      <c r="DQ188" t="e">
        <f>AND(Bills!I784,"AAAAAF2JeXg=")</f>
        <v>#VALUE!</v>
      </c>
      <c r="DR188" t="e">
        <f>AND(Bills!J784,"AAAAAF2JeXk=")</f>
        <v>#VALUE!</v>
      </c>
      <c r="DS188" t="e">
        <f>AND(Bills!K784,"AAAAAF2JeXo=")</f>
        <v>#VALUE!</v>
      </c>
      <c r="DT188" t="e">
        <f>AND(Bills!L784,"AAAAAF2JeXs=")</f>
        <v>#VALUE!</v>
      </c>
      <c r="DU188" t="e">
        <f>AND(Bills!#REF!,"AAAAAF2JeXw=")</f>
        <v>#REF!</v>
      </c>
      <c r="DV188" t="e">
        <f>AND(Bills!M784,"AAAAAF2JeX0=")</f>
        <v>#VALUE!</v>
      </c>
      <c r="DW188" t="e">
        <f>AND(Bills!N784,"AAAAAF2JeX4=")</f>
        <v>#VALUE!</v>
      </c>
      <c r="DX188" t="e">
        <f>AND(Bills!O784,"AAAAAF2JeX8=")</f>
        <v>#VALUE!</v>
      </c>
      <c r="DY188" t="e">
        <f>AND(Bills!P784,"AAAAAF2JeYA=")</f>
        <v>#VALUE!</v>
      </c>
      <c r="DZ188" t="e">
        <f>AND(Bills!Q784,"AAAAAF2JeYE=")</f>
        <v>#VALUE!</v>
      </c>
      <c r="EA188" t="e">
        <f>AND(Bills!R784,"AAAAAF2JeYI=")</f>
        <v>#VALUE!</v>
      </c>
      <c r="EB188" t="e">
        <f>AND(Bills!S784,"AAAAAF2JeYM=")</f>
        <v>#VALUE!</v>
      </c>
      <c r="EC188" t="e">
        <f>AND(Bills!T784,"AAAAAF2JeYQ=")</f>
        <v>#VALUE!</v>
      </c>
      <c r="ED188" t="e">
        <f>AND(Bills!#REF!,"AAAAAF2JeYU=")</f>
        <v>#REF!</v>
      </c>
      <c r="EE188" t="e">
        <f>AND(Bills!U784,"AAAAAF2JeYY=")</f>
        <v>#VALUE!</v>
      </c>
      <c r="EF188" t="e">
        <f>AND(Bills!V784,"AAAAAF2JeYc=")</f>
        <v>#VALUE!</v>
      </c>
      <c r="EG188" t="e">
        <f>AND(Bills!W784,"AAAAAF2JeYg=")</f>
        <v>#VALUE!</v>
      </c>
      <c r="EH188" t="e">
        <f>AND(Bills!#REF!,"AAAAAF2JeYk=")</f>
        <v>#REF!</v>
      </c>
      <c r="EI188" t="e">
        <f>AND(Bills!#REF!,"AAAAAF2JeYo=")</f>
        <v>#REF!</v>
      </c>
      <c r="EJ188" t="e">
        <f>AND(Bills!Y784,"AAAAAF2JeYs=")</f>
        <v>#VALUE!</v>
      </c>
      <c r="EK188" t="e">
        <f>AND(Bills!Z784,"AAAAAF2JeYw=")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AND(Bills!AA784,"AAAAAF2JeZY=")</f>
        <v>#VALUE!</v>
      </c>
      <c r="EV188" t="e">
        <f>AND(Bills!AB784,"AAAAAF2JeZc=")</f>
        <v>#VALUE!</v>
      </c>
      <c r="EW188" t="e">
        <f>AND(Bills!#REF!,"AAAAAF2JeZg=")</f>
        <v>#REF!</v>
      </c>
      <c r="EX188" t="e">
        <f>AND(Bills!#REF!,"AAAAAF2JeZk=")</f>
        <v>#REF!</v>
      </c>
      <c r="EY188" t="e">
        <f>AND(Bills!#REF!,"AAAAAF2JeZo=")</f>
        <v>#REF!</v>
      </c>
      <c r="EZ188" t="e">
        <f>AND(Bills!AC784,"AAAAAF2JeZs=")</f>
        <v>#VALUE!</v>
      </c>
      <c r="FA188" t="e">
        <f>AND(Bills!AD784,"AAAAAF2JeZw=")</f>
        <v>#VALUE!</v>
      </c>
      <c r="FB188" t="e">
        <f>AND(Bills!#REF!,"AAAAAF2JeZ0=")</f>
        <v>#REF!</v>
      </c>
      <c r="FC188">
        <f>IF(Bills!785:785,"AAAAAF2JeZ4=",0)</f>
        <v>0</v>
      </c>
      <c r="FD188" t="e">
        <f>AND(Bills!B785,"AAAAAF2JeZ8=")</f>
        <v>#VALUE!</v>
      </c>
      <c r="FE188" t="e">
        <f>AND(Bills!#REF!,"AAAAAF2JeaA=")</f>
        <v>#REF!</v>
      </c>
      <c r="FF188" t="e">
        <f>AND(Bills!C785,"AAAAAF2JeaE=")</f>
        <v>#VALUE!</v>
      </c>
      <c r="FG188" t="e">
        <f>AND(Bills!D785,"AAAAAF2JeaI=")</f>
        <v>#VALUE!</v>
      </c>
      <c r="FH188" t="e">
        <f>AND(Bills!E785,"AAAAAF2JeaM=")</f>
        <v>#VALUE!</v>
      </c>
      <c r="FI188" t="e">
        <f>AND(Bills!#REF!,"AAAAAF2JeaQ=")</f>
        <v>#REF!</v>
      </c>
      <c r="FJ188" t="e">
        <f>AND(Bills!#REF!,"AAAAAF2JeaU=")</f>
        <v>#REF!</v>
      </c>
      <c r="FK188" t="e">
        <f>AND(Bills!#REF!,"AAAAAF2JeaY=")</f>
        <v>#REF!</v>
      </c>
      <c r="FL188" t="e">
        <f>AND(Bills!F785,"AAAAAF2Jeac=")</f>
        <v>#VALUE!</v>
      </c>
      <c r="FM188" t="e">
        <f>AND(Bills!#REF!,"AAAAAF2Jeag=")</f>
        <v>#REF!</v>
      </c>
      <c r="FN188" t="e">
        <f>AND(Bills!G785,"AAAAAF2Jeak=")</f>
        <v>#VALUE!</v>
      </c>
      <c r="FO188" t="e">
        <f>AND(Bills!H785,"AAAAAF2Jeao=")</f>
        <v>#VALUE!</v>
      </c>
      <c r="FP188" t="e">
        <f>AND(Bills!I785,"AAAAAF2Jeas=")</f>
        <v>#VALUE!</v>
      </c>
      <c r="FQ188" t="e">
        <f>AND(Bills!J785,"AAAAAF2Jeaw=")</f>
        <v>#VALUE!</v>
      </c>
      <c r="FR188" t="e">
        <f>AND(Bills!K785,"AAAAAF2Jea0=")</f>
        <v>#VALUE!</v>
      </c>
      <c r="FS188" t="e">
        <f>AND(Bills!L785,"AAAAAF2Jea4=")</f>
        <v>#VALUE!</v>
      </c>
      <c r="FT188" t="e">
        <f>AND(Bills!#REF!,"AAAAAF2Jea8=")</f>
        <v>#REF!</v>
      </c>
      <c r="FU188" t="e">
        <f>AND(Bills!M785,"AAAAAF2JebA=")</f>
        <v>#VALUE!</v>
      </c>
      <c r="FV188" t="e">
        <f>AND(Bills!N785,"AAAAAF2JebE=")</f>
        <v>#VALUE!</v>
      </c>
      <c r="FW188" t="e">
        <f>AND(Bills!O785,"AAAAAF2JebI=")</f>
        <v>#VALUE!</v>
      </c>
      <c r="FX188" t="e">
        <f>AND(Bills!P785,"AAAAAF2JebM=")</f>
        <v>#VALUE!</v>
      </c>
      <c r="FY188" t="e">
        <f>AND(Bills!Q785,"AAAAAF2JebQ=")</f>
        <v>#VALUE!</v>
      </c>
      <c r="FZ188" t="e">
        <f>AND(Bills!R785,"AAAAAF2JebU=")</f>
        <v>#VALUE!</v>
      </c>
      <c r="GA188" t="e">
        <f>AND(Bills!S785,"AAAAAF2JebY=")</f>
        <v>#VALUE!</v>
      </c>
      <c r="GB188" t="e">
        <f>AND(Bills!T785,"AAAAAF2Jebc=")</f>
        <v>#VALUE!</v>
      </c>
      <c r="GC188" t="e">
        <f>AND(Bills!#REF!,"AAAAAF2Jebg=")</f>
        <v>#REF!</v>
      </c>
      <c r="GD188" t="e">
        <f>AND(Bills!U785,"AAAAAF2Jebk=")</f>
        <v>#VALUE!</v>
      </c>
      <c r="GE188" t="e">
        <f>AND(Bills!V785,"AAAAAF2Jebo=")</f>
        <v>#VALUE!</v>
      </c>
      <c r="GF188" t="e">
        <f>AND(Bills!W785,"AAAAAF2Jebs=")</f>
        <v>#VALUE!</v>
      </c>
      <c r="GG188" t="e">
        <f>AND(Bills!#REF!,"AAAAAF2Jebw=")</f>
        <v>#REF!</v>
      </c>
      <c r="GH188" t="e">
        <f>AND(Bills!#REF!,"AAAAAF2Jeb0=")</f>
        <v>#REF!</v>
      </c>
      <c r="GI188" t="e">
        <f>AND(Bills!Y785,"AAAAAF2Jeb4=")</f>
        <v>#VALUE!</v>
      </c>
      <c r="GJ188" t="e">
        <f>AND(Bills!Z785,"AAAAAF2Jeb8=")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AND(Bills!AA785,"AAAAAF2Jeck=")</f>
        <v>#VALUE!</v>
      </c>
      <c r="GU188" t="e">
        <f>AND(Bills!AB785,"AAAAAF2Jeco=")</f>
        <v>#VALUE!</v>
      </c>
      <c r="GV188" t="e">
        <f>AND(Bills!#REF!,"AAAAAF2Jecs=")</f>
        <v>#REF!</v>
      </c>
      <c r="GW188" t="e">
        <f>AND(Bills!#REF!,"AAAAAF2Jecw=")</f>
        <v>#REF!</v>
      </c>
      <c r="GX188" t="e">
        <f>AND(Bills!#REF!,"AAAAAF2Jec0=")</f>
        <v>#REF!</v>
      </c>
      <c r="GY188" t="e">
        <f>AND(Bills!AC785,"AAAAAF2Jec4=")</f>
        <v>#VALUE!</v>
      </c>
      <c r="GZ188" t="e">
        <f>AND(Bills!AD785,"AAAAAF2Jec8=")</f>
        <v>#VALUE!</v>
      </c>
      <c r="HA188" t="e">
        <f>AND(Bills!#REF!,"AAAAAF2JedA=")</f>
        <v>#REF!</v>
      </c>
      <c r="HB188">
        <f>IF(Bills!786:786,"AAAAAF2JedE=",0)</f>
        <v>0</v>
      </c>
      <c r="HC188" t="e">
        <f>AND(Bills!B786,"AAAAAF2JedI=")</f>
        <v>#VALUE!</v>
      </c>
      <c r="HD188" t="e">
        <f>AND(Bills!#REF!,"AAAAAF2JedM=")</f>
        <v>#REF!</v>
      </c>
      <c r="HE188" t="e">
        <f>AND(Bills!C786,"AAAAAF2JedQ=")</f>
        <v>#VALUE!</v>
      </c>
      <c r="HF188" t="e">
        <f>AND(Bills!D786,"AAAAAF2JedU=")</f>
        <v>#VALUE!</v>
      </c>
      <c r="HG188" t="e">
        <f>AND(Bills!E786,"AAAAAF2JedY=")</f>
        <v>#VALUE!</v>
      </c>
      <c r="HH188" t="e">
        <f>AND(Bills!#REF!,"AAAAAF2Jedc=")</f>
        <v>#REF!</v>
      </c>
      <c r="HI188" t="e">
        <f>AND(Bills!#REF!,"AAAAAF2Jedg=")</f>
        <v>#REF!</v>
      </c>
      <c r="HJ188" t="e">
        <f>AND(Bills!#REF!,"AAAAAF2Jedk=")</f>
        <v>#REF!</v>
      </c>
      <c r="HK188" t="e">
        <f>AND(Bills!F786,"AAAAAF2Jedo=")</f>
        <v>#VALUE!</v>
      </c>
      <c r="HL188" t="e">
        <f>AND(Bills!#REF!,"AAAAAF2Jeds=")</f>
        <v>#REF!</v>
      </c>
      <c r="HM188" t="e">
        <f>AND(Bills!G786,"AAAAAF2Jedw=")</f>
        <v>#VALUE!</v>
      </c>
      <c r="HN188" t="e">
        <f>AND(Bills!H786,"AAAAAF2Jed0=")</f>
        <v>#VALUE!</v>
      </c>
      <c r="HO188" t="e">
        <f>AND(Bills!I786,"AAAAAF2Jed4=")</f>
        <v>#VALUE!</v>
      </c>
      <c r="HP188" t="e">
        <f>AND(Bills!J786,"AAAAAF2Jed8=")</f>
        <v>#VALUE!</v>
      </c>
      <c r="HQ188" t="e">
        <f>AND(Bills!K786,"AAAAAF2JeeA=")</f>
        <v>#VALUE!</v>
      </c>
      <c r="HR188" t="e">
        <f>AND(Bills!L786,"AAAAAF2JeeE=")</f>
        <v>#VALUE!</v>
      </c>
      <c r="HS188" t="e">
        <f>AND(Bills!#REF!,"AAAAAF2JeeI=")</f>
        <v>#REF!</v>
      </c>
      <c r="HT188" t="e">
        <f>AND(Bills!M786,"AAAAAF2JeeM=")</f>
        <v>#VALUE!</v>
      </c>
      <c r="HU188" t="e">
        <f>AND(Bills!N786,"AAAAAF2JeeQ=")</f>
        <v>#VALUE!</v>
      </c>
      <c r="HV188" t="e">
        <f>AND(Bills!O786,"AAAAAF2JeeU=")</f>
        <v>#VALUE!</v>
      </c>
      <c r="HW188" t="e">
        <f>AND(Bills!P786,"AAAAAF2JeeY=")</f>
        <v>#VALUE!</v>
      </c>
      <c r="HX188" t="e">
        <f>AND(Bills!Q786,"AAAAAF2Jeec=")</f>
        <v>#VALUE!</v>
      </c>
      <c r="HY188" t="e">
        <f>AND(Bills!R786,"AAAAAF2Jeeg=")</f>
        <v>#VALUE!</v>
      </c>
      <c r="HZ188" t="e">
        <f>AND(Bills!S786,"AAAAAF2Jeek=")</f>
        <v>#VALUE!</v>
      </c>
      <c r="IA188" t="e">
        <f>AND(Bills!T786,"AAAAAF2Jeeo=")</f>
        <v>#VALUE!</v>
      </c>
      <c r="IB188" t="e">
        <f>AND(Bills!#REF!,"AAAAAF2Jees=")</f>
        <v>#REF!</v>
      </c>
      <c r="IC188" t="e">
        <f>AND(Bills!U786,"AAAAAF2Jeew=")</f>
        <v>#VALUE!</v>
      </c>
      <c r="ID188" t="e">
        <f>AND(Bills!V786,"AAAAAF2Jee0=")</f>
        <v>#VALUE!</v>
      </c>
      <c r="IE188" t="e">
        <f>AND(Bills!W786,"AAAAAF2Jee4=")</f>
        <v>#VALUE!</v>
      </c>
      <c r="IF188" t="e">
        <f>AND(Bills!#REF!,"AAAAAF2Jee8=")</f>
        <v>#REF!</v>
      </c>
      <c r="IG188" t="e">
        <f>AND(Bills!#REF!,"AAAAAF2JefA=")</f>
        <v>#REF!</v>
      </c>
      <c r="IH188" t="e">
        <f>AND(Bills!Y786,"AAAAAF2JefE=")</f>
        <v>#VALUE!</v>
      </c>
      <c r="II188" t="e">
        <f>AND(Bills!Z786,"AAAAAF2JefI=")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AND(Bills!AA786,"AAAAAF2Jefw=")</f>
        <v>#VALUE!</v>
      </c>
      <c r="IT188" t="e">
        <f>AND(Bills!AB786,"AAAAAF2Jef0=")</f>
        <v>#VALUE!</v>
      </c>
      <c r="IU188" t="e">
        <f>AND(Bills!#REF!,"AAAAAF2Jef4=")</f>
        <v>#REF!</v>
      </c>
      <c r="IV188" t="e">
        <f>AND(Bills!#REF!,"AAAAAF2Jef8=")</f>
        <v>#REF!</v>
      </c>
    </row>
    <row r="189" spans="1:256">
      <c r="A189" t="e">
        <f>AND(Bills!#REF!,"AAAAABv+TwA=")</f>
        <v>#REF!</v>
      </c>
      <c r="B189" t="e">
        <f>AND(Bills!AC786,"AAAAABv+TwE=")</f>
        <v>#VALUE!</v>
      </c>
      <c r="C189" t="e">
        <f>AND(Bills!AD786,"AAAAABv+TwI=")</f>
        <v>#VALUE!</v>
      </c>
      <c r="D189" t="e">
        <f>AND(Bills!#REF!,"AAAAABv+TwM=")</f>
        <v>#REF!</v>
      </c>
      <c r="E189">
        <f>IF(Bills!787:787,"AAAAABv+TwQ=",0)</f>
        <v>0</v>
      </c>
      <c r="F189" t="e">
        <f>AND(Bills!B787,"AAAAABv+TwU=")</f>
        <v>#VALUE!</v>
      </c>
      <c r="G189" t="e">
        <f>AND(Bills!#REF!,"AAAAABv+TwY=")</f>
        <v>#REF!</v>
      </c>
      <c r="H189" t="e">
        <f>AND(Bills!C787,"AAAAABv+Twc=")</f>
        <v>#VALUE!</v>
      </c>
      <c r="I189" t="e">
        <f>AND(Bills!D787,"AAAAABv+Twg=")</f>
        <v>#VALUE!</v>
      </c>
      <c r="J189" t="e">
        <f>AND(Bills!E787,"AAAAABv+Twk=")</f>
        <v>#VALUE!</v>
      </c>
      <c r="K189" t="e">
        <f>AND(Bills!#REF!,"AAAAABv+Two=")</f>
        <v>#REF!</v>
      </c>
      <c r="L189" t="e">
        <f>AND(Bills!#REF!,"AAAAABv+Tws=")</f>
        <v>#REF!</v>
      </c>
      <c r="M189" t="e">
        <f>AND(Bills!#REF!,"AAAAABv+Tww=")</f>
        <v>#REF!</v>
      </c>
      <c r="N189" t="e">
        <f>AND(Bills!F787,"AAAAABv+Tw0=")</f>
        <v>#VALUE!</v>
      </c>
      <c r="O189" t="e">
        <f>AND(Bills!#REF!,"AAAAABv+Tw4=")</f>
        <v>#REF!</v>
      </c>
      <c r="P189" t="e">
        <f>AND(Bills!G787,"AAAAABv+Tw8=")</f>
        <v>#VALUE!</v>
      </c>
      <c r="Q189" t="e">
        <f>AND(Bills!H787,"AAAAABv+TxA=")</f>
        <v>#VALUE!</v>
      </c>
      <c r="R189" t="e">
        <f>AND(Bills!I787,"AAAAABv+TxE=")</f>
        <v>#VALUE!</v>
      </c>
      <c r="S189" t="e">
        <f>AND(Bills!J787,"AAAAABv+TxI=")</f>
        <v>#VALUE!</v>
      </c>
      <c r="T189" t="e">
        <f>AND(Bills!K787,"AAAAABv+TxM=")</f>
        <v>#VALUE!</v>
      </c>
      <c r="U189" t="e">
        <f>AND(Bills!L787,"AAAAABv+TxQ=")</f>
        <v>#VALUE!</v>
      </c>
      <c r="V189" t="e">
        <f>AND(Bills!#REF!,"AAAAABv+TxU=")</f>
        <v>#REF!</v>
      </c>
      <c r="W189" t="e">
        <f>AND(Bills!M787,"AAAAABv+TxY=")</f>
        <v>#VALUE!</v>
      </c>
      <c r="X189" t="e">
        <f>AND(Bills!N787,"AAAAABv+Txc=")</f>
        <v>#VALUE!</v>
      </c>
      <c r="Y189" t="e">
        <f>AND(Bills!O787,"AAAAABv+Txg=")</f>
        <v>#VALUE!</v>
      </c>
      <c r="Z189" t="e">
        <f>AND(Bills!P787,"AAAAABv+Txk=")</f>
        <v>#VALUE!</v>
      </c>
      <c r="AA189" t="e">
        <f>AND(Bills!Q787,"AAAAABv+Txo=")</f>
        <v>#VALUE!</v>
      </c>
      <c r="AB189" t="e">
        <f>AND(Bills!R787,"AAAAABv+Txs=")</f>
        <v>#VALUE!</v>
      </c>
      <c r="AC189" t="e">
        <f>AND(Bills!S787,"AAAAABv+Txw=")</f>
        <v>#VALUE!</v>
      </c>
      <c r="AD189" t="e">
        <f>AND(Bills!T787,"AAAAABv+Tx0=")</f>
        <v>#VALUE!</v>
      </c>
      <c r="AE189" t="e">
        <f>AND(Bills!#REF!,"AAAAABv+Tx4=")</f>
        <v>#REF!</v>
      </c>
      <c r="AF189" t="e">
        <f>AND(Bills!U787,"AAAAABv+Tx8=")</f>
        <v>#VALUE!</v>
      </c>
      <c r="AG189" t="e">
        <f>AND(Bills!V787,"AAAAABv+TyA=")</f>
        <v>#VALUE!</v>
      </c>
      <c r="AH189" t="e">
        <f>AND(Bills!W787,"AAAAABv+TyE=")</f>
        <v>#VALUE!</v>
      </c>
      <c r="AI189" t="e">
        <f>AND(Bills!#REF!,"AAAAABv+TyI=")</f>
        <v>#REF!</v>
      </c>
      <c r="AJ189" t="e">
        <f>AND(Bills!#REF!,"AAAAABv+TyM=")</f>
        <v>#REF!</v>
      </c>
      <c r="AK189" t="e">
        <f>AND(Bills!Y787,"AAAAABv+TyQ=")</f>
        <v>#VALUE!</v>
      </c>
      <c r="AL189" t="e">
        <f>AND(Bills!Z787,"AAAAABv+TyU=")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AND(Bills!AA787,"AAAAABv+Ty8=")</f>
        <v>#VALUE!</v>
      </c>
      <c r="AW189" t="e">
        <f>AND(Bills!AB787,"AAAAABv+TzA=")</f>
        <v>#VALUE!</v>
      </c>
      <c r="AX189" t="e">
        <f>AND(Bills!#REF!,"AAAAABv+TzE=")</f>
        <v>#REF!</v>
      </c>
      <c r="AY189" t="e">
        <f>AND(Bills!#REF!,"AAAAABv+TzI=")</f>
        <v>#REF!</v>
      </c>
      <c r="AZ189" t="e">
        <f>AND(Bills!#REF!,"AAAAABv+TzM=")</f>
        <v>#REF!</v>
      </c>
      <c r="BA189" t="e">
        <f>AND(Bills!AC787,"AAAAABv+TzQ=")</f>
        <v>#VALUE!</v>
      </c>
      <c r="BB189" t="e">
        <f>AND(Bills!AD787,"AAAAABv+TzU=")</f>
        <v>#VALUE!</v>
      </c>
      <c r="BC189" t="e">
        <f>AND(Bills!#REF!,"AAAAABv+TzY=")</f>
        <v>#REF!</v>
      </c>
      <c r="BD189">
        <f>IF(Bills!788:788,"AAAAABv+Tzc=",0)</f>
        <v>0</v>
      </c>
      <c r="BE189" t="e">
        <f>AND(Bills!B788,"AAAAABv+Tzg=")</f>
        <v>#VALUE!</v>
      </c>
      <c r="BF189" t="e">
        <f>AND(Bills!#REF!,"AAAAABv+Tzk=")</f>
        <v>#REF!</v>
      </c>
      <c r="BG189" t="e">
        <f>AND(Bills!C788,"AAAAABv+Tzo=")</f>
        <v>#VALUE!</v>
      </c>
      <c r="BH189" t="e">
        <f>AND(Bills!D788,"AAAAABv+Tzs=")</f>
        <v>#VALUE!</v>
      </c>
      <c r="BI189" t="e">
        <f>AND(Bills!E788,"AAAAABv+Tzw=")</f>
        <v>#VALUE!</v>
      </c>
      <c r="BJ189" t="e">
        <f>AND(Bills!#REF!,"AAAAABv+Tz0=")</f>
        <v>#REF!</v>
      </c>
      <c r="BK189" t="e">
        <f>AND(Bills!#REF!,"AAAAABv+Tz4=")</f>
        <v>#REF!</v>
      </c>
      <c r="BL189" t="e">
        <f>AND(Bills!#REF!,"AAAAABv+Tz8=")</f>
        <v>#REF!</v>
      </c>
      <c r="BM189" t="e">
        <f>AND(Bills!F788,"AAAAABv+T0A=")</f>
        <v>#VALUE!</v>
      </c>
      <c r="BN189" t="e">
        <f>AND(Bills!#REF!,"AAAAABv+T0E=")</f>
        <v>#REF!</v>
      </c>
      <c r="BO189" t="e">
        <f>AND(Bills!G788,"AAAAABv+T0I=")</f>
        <v>#VALUE!</v>
      </c>
      <c r="BP189" t="e">
        <f>AND(Bills!H788,"AAAAABv+T0M=")</f>
        <v>#VALUE!</v>
      </c>
      <c r="BQ189" t="e">
        <f>AND(Bills!I788,"AAAAABv+T0Q=")</f>
        <v>#VALUE!</v>
      </c>
      <c r="BR189" t="e">
        <f>AND(Bills!J788,"AAAAABv+T0U=")</f>
        <v>#VALUE!</v>
      </c>
      <c r="BS189" t="e">
        <f>AND(Bills!K788,"AAAAABv+T0Y=")</f>
        <v>#VALUE!</v>
      </c>
      <c r="BT189" t="e">
        <f>AND(Bills!L788,"AAAAABv+T0c=")</f>
        <v>#VALUE!</v>
      </c>
      <c r="BU189" t="e">
        <f>AND(Bills!#REF!,"AAAAABv+T0g=")</f>
        <v>#REF!</v>
      </c>
      <c r="BV189" t="e">
        <f>AND(Bills!M788,"AAAAABv+T0k=")</f>
        <v>#VALUE!</v>
      </c>
      <c r="BW189" t="e">
        <f>AND(Bills!N788,"AAAAABv+T0o=")</f>
        <v>#VALUE!</v>
      </c>
      <c r="BX189" t="e">
        <f>AND(Bills!O788,"AAAAABv+T0s=")</f>
        <v>#VALUE!</v>
      </c>
      <c r="BY189" t="e">
        <f>AND(Bills!P788,"AAAAABv+T0w=")</f>
        <v>#VALUE!</v>
      </c>
      <c r="BZ189" t="e">
        <f>AND(Bills!Q788,"AAAAABv+T00=")</f>
        <v>#VALUE!</v>
      </c>
      <c r="CA189" t="e">
        <f>AND(Bills!R788,"AAAAABv+T04=")</f>
        <v>#VALUE!</v>
      </c>
      <c r="CB189" t="e">
        <f>AND(Bills!S788,"AAAAABv+T08=")</f>
        <v>#VALUE!</v>
      </c>
      <c r="CC189" t="e">
        <f>AND(Bills!T788,"AAAAABv+T1A=")</f>
        <v>#VALUE!</v>
      </c>
      <c r="CD189" t="e">
        <f>AND(Bills!#REF!,"AAAAABv+T1E=")</f>
        <v>#REF!</v>
      </c>
      <c r="CE189" t="e">
        <f>AND(Bills!U788,"AAAAABv+T1I=")</f>
        <v>#VALUE!</v>
      </c>
      <c r="CF189" t="e">
        <f>AND(Bills!V788,"AAAAABv+T1M=")</f>
        <v>#VALUE!</v>
      </c>
      <c r="CG189" t="e">
        <f>AND(Bills!W788,"AAAAABv+T1Q=")</f>
        <v>#VALUE!</v>
      </c>
      <c r="CH189" t="e">
        <f>AND(Bills!#REF!,"AAAAABv+T1U=")</f>
        <v>#REF!</v>
      </c>
      <c r="CI189" t="e">
        <f>AND(Bills!#REF!,"AAAAABv+T1Y=")</f>
        <v>#REF!</v>
      </c>
      <c r="CJ189" t="e">
        <f>AND(Bills!Y788,"AAAAABv+T1c=")</f>
        <v>#VALUE!</v>
      </c>
      <c r="CK189" t="e">
        <f>AND(Bills!Z788,"AAAAABv+T1g=")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AND(Bills!AA788,"AAAAABv+T2I=")</f>
        <v>#VALUE!</v>
      </c>
      <c r="CV189" t="e">
        <f>AND(Bills!AB788,"AAAAABv+T2M=")</f>
        <v>#VALUE!</v>
      </c>
      <c r="CW189" t="e">
        <f>AND(Bills!#REF!,"AAAAABv+T2Q=")</f>
        <v>#REF!</v>
      </c>
      <c r="CX189" t="e">
        <f>AND(Bills!#REF!,"AAAAABv+T2U=")</f>
        <v>#REF!</v>
      </c>
      <c r="CY189" t="e">
        <f>AND(Bills!#REF!,"AAAAABv+T2Y=")</f>
        <v>#REF!</v>
      </c>
      <c r="CZ189" t="e">
        <f>AND(Bills!AC788,"AAAAABv+T2c=")</f>
        <v>#VALUE!</v>
      </c>
      <c r="DA189" t="e">
        <f>AND(Bills!AD788,"AAAAABv+T2g=")</f>
        <v>#VALUE!</v>
      </c>
      <c r="DB189" t="e">
        <f>AND(Bills!#REF!,"AAAAABv+T2k=")</f>
        <v>#REF!</v>
      </c>
      <c r="DC189">
        <f>IF(Bills!789:789,"AAAAABv+T2o=",0)</f>
        <v>0</v>
      </c>
      <c r="DD189" t="e">
        <f>AND(Bills!B789,"AAAAABv+T2s=")</f>
        <v>#VALUE!</v>
      </c>
      <c r="DE189" t="e">
        <f>AND(Bills!#REF!,"AAAAABv+T2w=")</f>
        <v>#REF!</v>
      </c>
      <c r="DF189" t="e">
        <f>AND(Bills!C789,"AAAAABv+T20=")</f>
        <v>#VALUE!</v>
      </c>
      <c r="DG189" t="e">
        <f>AND(Bills!D789,"AAAAABv+T24=")</f>
        <v>#VALUE!</v>
      </c>
      <c r="DH189" t="e">
        <f>AND(Bills!E789,"AAAAABv+T28=")</f>
        <v>#VALUE!</v>
      </c>
      <c r="DI189" t="e">
        <f>AND(Bills!#REF!,"AAAAABv+T3A=")</f>
        <v>#REF!</v>
      </c>
      <c r="DJ189" t="e">
        <f>AND(Bills!#REF!,"AAAAABv+T3E=")</f>
        <v>#REF!</v>
      </c>
      <c r="DK189" t="e">
        <f>AND(Bills!#REF!,"AAAAABv+T3I=")</f>
        <v>#REF!</v>
      </c>
      <c r="DL189" t="e">
        <f>AND(Bills!F789,"AAAAABv+T3M=")</f>
        <v>#VALUE!</v>
      </c>
      <c r="DM189" t="e">
        <f>AND(Bills!#REF!,"AAAAABv+T3Q=")</f>
        <v>#REF!</v>
      </c>
      <c r="DN189" t="e">
        <f>AND(Bills!G789,"AAAAABv+T3U=")</f>
        <v>#VALUE!</v>
      </c>
      <c r="DO189" t="e">
        <f>AND(Bills!H789,"AAAAABv+T3Y=")</f>
        <v>#VALUE!</v>
      </c>
      <c r="DP189" t="e">
        <f>AND(Bills!I789,"AAAAABv+T3c=")</f>
        <v>#VALUE!</v>
      </c>
      <c r="DQ189" t="e">
        <f>AND(Bills!J789,"AAAAABv+T3g=")</f>
        <v>#VALUE!</v>
      </c>
      <c r="DR189" t="e">
        <f>AND(Bills!K789,"AAAAABv+T3k=")</f>
        <v>#VALUE!</v>
      </c>
      <c r="DS189" t="e">
        <f>AND(Bills!L789,"AAAAABv+T3o=")</f>
        <v>#VALUE!</v>
      </c>
      <c r="DT189" t="e">
        <f>AND(Bills!#REF!,"AAAAABv+T3s=")</f>
        <v>#REF!</v>
      </c>
      <c r="DU189" t="e">
        <f>AND(Bills!M789,"AAAAABv+T3w=")</f>
        <v>#VALUE!</v>
      </c>
      <c r="DV189" t="e">
        <f>AND(Bills!N789,"AAAAABv+T30=")</f>
        <v>#VALUE!</v>
      </c>
      <c r="DW189" t="e">
        <f>AND(Bills!O789,"AAAAABv+T34=")</f>
        <v>#VALUE!</v>
      </c>
      <c r="DX189" t="e">
        <f>AND(Bills!P789,"AAAAABv+T38=")</f>
        <v>#VALUE!</v>
      </c>
      <c r="DY189" t="e">
        <f>AND(Bills!Q789,"AAAAABv+T4A=")</f>
        <v>#VALUE!</v>
      </c>
      <c r="DZ189" t="e">
        <f>AND(Bills!R789,"AAAAABv+T4E=")</f>
        <v>#VALUE!</v>
      </c>
      <c r="EA189" t="e">
        <f>AND(Bills!S789,"AAAAABv+T4I=")</f>
        <v>#VALUE!</v>
      </c>
      <c r="EB189" t="e">
        <f>AND(Bills!T789,"AAAAABv+T4M=")</f>
        <v>#VALUE!</v>
      </c>
      <c r="EC189" t="e">
        <f>AND(Bills!#REF!,"AAAAABv+T4Q=")</f>
        <v>#REF!</v>
      </c>
      <c r="ED189" t="e">
        <f>AND(Bills!U789,"AAAAABv+T4U=")</f>
        <v>#VALUE!</v>
      </c>
      <c r="EE189" t="e">
        <f>AND(Bills!V789,"AAAAABv+T4Y=")</f>
        <v>#VALUE!</v>
      </c>
      <c r="EF189" t="e">
        <f>AND(Bills!W789,"AAAAABv+T4c=")</f>
        <v>#VALUE!</v>
      </c>
      <c r="EG189" t="e">
        <f>AND(Bills!#REF!,"AAAAABv+T4g=")</f>
        <v>#REF!</v>
      </c>
      <c r="EH189" t="e">
        <f>AND(Bills!#REF!,"AAAAABv+T4k=")</f>
        <v>#REF!</v>
      </c>
      <c r="EI189" t="e">
        <f>AND(Bills!Y789,"AAAAABv+T4o=")</f>
        <v>#VALUE!</v>
      </c>
      <c r="EJ189" t="e">
        <f>AND(Bills!Z789,"AAAAABv+T4s=")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AND(Bills!AA789,"AAAAABv+T5U=")</f>
        <v>#VALUE!</v>
      </c>
      <c r="EU189" t="e">
        <f>AND(Bills!AB789,"AAAAABv+T5Y=")</f>
        <v>#VALUE!</v>
      </c>
      <c r="EV189" t="e">
        <f>AND(Bills!#REF!,"AAAAABv+T5c=")</f>
        <v>#REF!</v>
      </c>
      <c r="EW189" t="e">
        <f>AND(Bills!#REF!,"AAAAABv+T5g=")</f>
        <v>#REF!</v>
      </c>
      <c r="EX189" t="e">
        <f>AND(Bills!#REF!,"AAAAABv+T5k=")</f>
        <v>#REF!</v>
      </c>
      <c r="EY189" t="e">
        <f>AND(Bills!AC789,"AAAAABv+T5o=")</f>
        <v>#VALUE!</v>
      </c>
      <c r="EZ189" t="e">
        <f>AND(Bills!AD789,"AAAAABv+T5s=")</f>
        <v>#VALUE!</v>
      </c>
      <c r="FA189" t="e">
        <f>AND(Bills!#REF!,"AAAAABv+T5w=")</f>
        <v>#REF!</v>
      </c>
      <c r="FB189">
        <f>IF(Bills!790:790,"AAAAABv+T50=",0)</f>
        <v>0</v>
      </c>
      <c r="FC189" t="e">
        <f>AND(Bills!B790,"AAAAABv+T54=")</f>
        <v>#VALUE!</v>
      </c>
      <c r="FD189" t="e">
        <f>AND(Bills!#REF!,"AAAAABv+T58=")</f>
        <v>#REF!</v>
      </c>
      <c r="FE189" t="e">
        <f>AND(Bills!C790,"AAAAABv+T6A=")</f>
        <v>#VALUE!</v>
      </c>
      <c r="FF189" t="e">
        <f>AND(Bills!D790,"AAAAABv+T6E=")</f>
        <v>#VALUE!</v>
      </c>
      <c r="FG189" t="e">
        <f>AND(Bills!E790,"AAAAABv+T6I=")</f>
        <v>#VALUE!</v>
      </c>
      <c r="FH189" t="e">
        <f>AND(Bills!#REF!,"AAAAABv+T6M=")</f>
        <v>#REF!</v>
      </c>
      <c r="FI189" t="e">
        <f>AND(Bills!#REF!,"AAAAABv+T6Q=")</f>
        <v>#REF!</v>
      </c>
      <c r="FJ189" t="e">
        <f>AND(Bills!#REF!,"AAAAABv+T6U=")</f>
        <v>#REF!</v>
      </c>
      <c r="FK189" t="e">
        <f>AND(Bills!F790,"AAAAABv+T6Y=")</f>
        <v>#VALUE!</v>
      </c>
      <c r="FL189" t="e">
        <f>AND(Bills!#REF!,"AAAAABv+T6c=")</f>
        <v>#REF!</v>
      </c>
      <c r="FM189" t="e">
        <f>AND(Bills!G790,"AAAAABv+T6g=")</f>
        <v>#VALUE!</v>
      </c>
      <c r="FN189" t="e">
        <f>AND(Bills!H790,"AAAAABv+T6k=")</f>
        <v>#VALUE!</v>
      </c>
      <c r="FO189" t="e">
        <f>AND(Bills!I790,"AAAAABv+T6o=")</f>
        <v>#VALUE!</v>
      </c>
      <c r="FP189" t="e">
        <f>AND(Bills!J790,"AAAAABv+T6s=")</f>
        <v>#VALUE!</v>
      </c>
      <c r="FQ189" t="e">
        <f>AND(Bills!K790,"AAAAABv+T6w=")</f>
        <v>#VALUE!</v>
      </c>
      <c r="FR189" t="e">
        <f>AND(Bills!L790,"AAAAABv+T60=")</f>
        <v>#VALUE!</v>
      </c>
      <c r="FS189" t="e">
        <f>AND(Bills!#REF!,"AAAAABv+T64=")</f>
        <v>#REF!</v>
      </c>
      <c r="FT189" t="e">
        <f>AND(Bills!M790,"AAAAABv+T68=")</f>
        <v>#VALUE!</v>
      </c>
      <c r="FU189" t="e">
        <f>AND(Bills!N790,"AAAAABv+T7A=")</f>
        <v>#VALUE!</v>
      </c>
      <c r="FV189" t="e">
        <f>AND(Bills!O790,"AAAAABv+T7E=")</f>
        <v>#VALUE!</v>
      </c>
      <c r="FW189" t="e">
        <f>AND(Bills!P790,"AAAAABv+T7I=")</f>
        <v>#VALUE!</v>
      </c>
      <c r="FX189" t="e">
        <f>AND(Bills!Q790,"AAAAABv+T7M=")</f>
        <v>#VALUE!</v>
      </c>
      <c r="FY189" t="e">
        <f>AND(Bills!R790,"AAAAABv+T7Q=")</f>
        <v>#VALUE!</v>
      </c>
      <c r="FZ189" t="e">
        <f>AND(Bills!S790,"AAAAABv+T7U=")</f>
        <v>#VALUE!</v>
      </c>
      <c r="GA189" t="e">
        <f>AND(Bills!T790,"AAAAABv+T7Y=")</f>
        <v>#VALUE!</v>
      </c>
      <c r="GB189" t="e">
        <f>AND(Bills!#REF!,"AAAAABv+T7c=")</f>
        <v>#REF!</v>
      </c>
      <c r="GC189" t="e">
        <f>AND(Bills!U790,"AAAAABv+T7g=")</f>
        <v>#VALUE!</v>
      </c>
      <c r="GD189" t="e">
        <f>AND(Bills!V790,"AAAAABv+T7k=")</f>
        <v>#VALUE!</v>
      </c>
      <c r="GE189" t="e">
        <f>AND(Bills!W790,"AAAAABv+T7o=")</f>
        <v>#VALUE!</v>
      </c>
      <c r="GF189" t="e">
        <f>AND(Bills!#REF!,"AAAAABv+T7s=")</f>
        <v>#REF!</v>
      </c>
      <c r="GG189" t="e">
        <f>AND(Bills!#REF!,"AAAAABv+T7w=")</f>
        <v>#REF!</v>
      </c>
      <c r="GH189" t="e">
        <f>AND(Bills!Y790,"AAAAABv+T70=")</f>
        <v>#VALUE!</v>
      </c>
      <c r="GI189" t="e">
        <f>AND(Bills!Z790,"AAAAABv+T74=")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AND(Bills!AA790,"AAAAABv+T8g=")</f>
        <v>#VALUE!</v>
      </c>
      <c r="GT189" t="e">
        <f>AND(Bills!AB790,"AAAAABv+T8k=")</f>
        <v>#VALUE!</v>
      </c>
      <c r="GU189" t="e">
        <f>AND(Bills!#REF!,"AAAAABv+T8o=")</f>
        <v>#REF!</v>
      </c>
      <c r="GV189" t="e">
        <f>AND(Bills!#REF!,"AAAAABv+T8s=")</f>
        <v>#REF!</v>
      </c>
      <c r="GW189" t="e">
        <f>AND(Bills!#REF!,"AAAAABv+T8w=")</f>
        <v>#REF!</v>
      </c>
      <c r="GX189" t="e">
        <f>AND(Bills!AC790,"AAAAABv+T80=")</f>
        <v>#VALUE!</v>
      </c>
      <c r="GY189" t="e">
        <f>AND(Bills!AD790,"AAAAABv+T84=")</f>
        <v>#VALUE!</v>
      </c>
      <c r="GZ189" t="e">
        <f>AND(Bills!#REF!,"AAAAABv+T88=")</f>
        <v>#REF!</v>
      </c>
      <c r="HA189">
        <f>IF(Bills!791:791,"AAAAABv+T9A=",0)</f>
        <v>0</v>
      </c>
      <c r="HB189" t="e">
        <f>AND(Bills!B791,"AAAAABv+T9E=")</f>
        <v>#VALUE!</v>
      </c>
      <c r="HC189" t="e">
        <f>AND(Bills!#REF!,"AAAAABv+T9I=")</f>
        <v>#REF!</v>
      </c>
      <c r="HD189" t="e">
        <f>AND(Bills!C791,"AAAAABv+T9M=")</f>
        <v>#VALUE!</v>
      </c>
      <c r="HE189" t="e">
        <f>AND(Bills!D791,"AAAAABv+T9Q=")</f>
        <v>#VALUE!</v>
      </c>
      <c r="HF189" t="e">
        <f>AND(Bills!E791,"AAAAABv+T9U=")</f>
        <v>#VALUE!</v>
      </c>
      <c r="HG189" t="e">
        <f>AND(Bills!#REF!,"AAAAABv+T9Y=")</f>
        <v>#REF!</v>
      </c>
      <c r="HH189" t="e">
        <f>AND(Bills!#REF!,"AAAAABv+T9c=")</f>
        <v>#REF!</v>
      </c>
      <c r="HI189" t="e">
        <f>AND(Bills!#REF!,"AAAAABv+T9g=")</f>
        <v>#REF!</v>
      </c>
      <c r="HJ189" t="e">
        <f>AND(Bills!F791,"AAAAABv+T9k=")</f>
        <v>#VALUE!</v>
      </c>
      <c r="HK189" t="e">
        <f>AND(Bills!#REF!,"AAAAABv+T9o=")</f>
        <v>#REF!</v>
      </c>
      <c r="HL189" t="e">
        <f>AND(Bills!G791,"AAAAABv+T9s=")</f>
        <v>#VALUE!</v>
      </c>
      <c r="HM189" t="e">
        <f>AND(Bills!H791,"AAAAABv+T9w=")</f>
        <v>#VALUE!</v>
      </c>
      <c r="HN189" t="e">
        <f>AND(Bills!I791,"AAAAABv+T90=")</f>
        <v>#VALUE!</v>
      </c>
      <c r="HO189" t="e">
        <f>AND(Bills!J791,"AAAAABv+T94=")</f>
        <v>#VALUE!</v>
      </c>
      <c r="HP189" t="e">
        <f>AND(Bills!K791,"AAAAABv+T98=")</f>
        <v>#VALUE!</v>
      </c>
      <c r="HQ189" t="e">
        <f>AND(Bills!L791,"AAAAABv+T+A=")</f>
        <v>#VALUE!</v>
      </c>
      <c r="HR189" t="e">
        <f>AND(Bills!#REF!,"AAAAABv+T+E=")</f>
        <v>#REF!</v>
      </c>
      <c r="HS189" t="e">
        <f>AND(Bills!M791,"AAAAABv+T+I=")</f>
        <v>#VALUE!</v>
      </c>
      <c r="HT189" t="e">
        <f>AND(Bills!N791,"AAAAABv+T+M=")</f>
        <v>#VALUE!</v>
      </c>
      <c r="HU189" t="e">
        <f>AND(Bills!O791,"AAAAABv+T+Q=")</f>
        <v>#VALUE!</v>
      </c>
      <c r="HV189" t="e">
        <f>AND(Bills!P791,"AAAAABv+T+U=")</f>
        <v>#VALUE!</v>
      </c>
      <c r="HW189" t="e">
        <f>AND(Bills!Q791,"AAAAABv+T+Y=")</f>
        <v>#VALUE!</v>
      </c>
      <c r="HX189" t="e">
        <f>AND(Bills!R791,"AAAAABv+T+c=")</f>
        <v>#VALUE!</v>
      </c>
      <c r="HY189" t="e">
        <f>AND(Bills!S791,"AAAAABv+T+g=")</f>
        <v>#VALUE!</v>
      </c>
      <c r="HZ189" t="e">
        <f>AND(Bills!T791,"AAAAABv+T+k=")</f>
        <v>#VALUE!</v>
      </c>
      <c r="IA189" t="e">
        <f>AND(Bills!#REF!,"AAAAABv+T+o=")</f>
        <v>#REF!</v>
      </c>
      <c r="IB189" t="e">
        <f>AND(Bills!U791,"AAAAABv+T+s=")</f>
        <v>#VALUE!</v>
      </c>
      <c r="IC189" t="e">
        <f>AND(Bills!V791,"AAAAABv+T+w=")</f>
        <v>#VALUE!</v>
      </c>
      <c r="ID189" t="e">
        <f>AND(Bills!W791,"AAAAABv+T+0=")</f>
        <v>#VALUE!</v>
      </c>
      <c r="IE189" t="e">
        <f>AND(Bills!#REF!,"AAAAABv+T+4=")</f>
        <v>#REF!</v>
      </c>
      <c r="IF189" t="e">
        <f>AND(Bills!#REF!,"AAAAABv+T+8=")</f>
        <v>#REF!</v>
      </c>
      <c r="IG189" t="e">
        <f>AND(Bills!Y791,"AAAAABv+T/A=")</f>
        <v>#VALUE!</v>
      </c>
      <c r="IH189" t="e">
        <f>AND(Bills!Z791,"AAAAABv+T/E=")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AND(Bills!AA791,"AAAAABv+T/s=")</f>
        <v>#VALUE!</v>
      </c>
      <c r="IS189" t="e">
        <f>AND(Bills!AB791,"AAAAABv+T/w=")</f>
        <v>#VALUE!</v>
      </c>
      <c r="IT189" t="e">
        <f>AND(Bills!#REF!,"AAAAABv+T/0=")</f>
        <v>#REF!</v>
      </c>
      <c r="IU189" t="e">
        <f>AND(Bills!#REF!,"AAAAABv+T/4=")</f>
        <v>#REF!</v>
      </c>
      <c r="IV189" t="e">
        <f>AND(Bills!#REF!,"AAAAABv+T/8=")</f>
        <v>#REF!</v>
      </c>
    </row>
    <row r="190" spans="1:256">
      <c r="A190" t="e">
        <f>AND(Bills!AC791,"AAAAAH9/mwA=")</f>
        <v>#VALUE!</v>
      </c>
      <c r="B190" t="e">
        <f>AND(Bills!AD791,"AAAAAH9/mwE=")</f>
        <v>#VALUE!</v>
      </c>
      <c r="C190" t="e">
        <f>AND(Bills!#REF!,"AAAAAH9/mwI=")</f>
        <v>#REF!</v>
      </c>
      <c r="D190">
        <f>IF(Bills!792:792,"AAAAAH9/mwM=",0)</f>
        <v>0</v>
      </c>
      <c r="E190" t="e">
        <f>AND(Bills!B792,"AAAAAH9/mwQ=")</f>
        <v>#VALUE!</v>
      </c>
      <c r="F190" t="e">
        <f>AND(Bills!#REF!,"AAAAAH9/mwU=")</f>
        <v>#REF!</v>
      </c>
      <c r="G190" t="e">
        <f>AND(Bills!C792,"AAAAAH9/mwY=")</f>
        <v>#VALUE!</v>
      </c>
      <c r="H190" t="e">
        <f>AND(Bills!D792,"AAAAAH9/mwc=")</f>
        <v>#VALUE!</v>
      </c>
      <c r="I190" t="e">
        <f>AND(Bills!E792,"AAAAAH9/mwg=")</f>
        <v>#VALUE!</v>
      </c>
      <c r="J190" t="e">
        <f>AND(Bills!#REF!,"AAAAAH9/mwk=")</f>
        <v>#REF!</v>
      </c>
      <c r="K190" t="e">
        <f>AND(Bills!#REF!,"AAAAAH9/mwo=")</f>
        <v>#REF!</v>
      </c>
      <c r="L190" t="e">
        <f>AND(Bills!#REF!,"AAAAAH9/mws=")</f>
        <v>#REF!</v>
      </c>
      <c r="M190" t="e">
        <f>AND(Bills!F792,"AAAAAH9/mww=")</f>
        <v>#VALUE!</v>
      </c>
      <c r="N190" t="e">
        <f>AND(Bills!#REF!,"AAAAAH9/mw0=")</f>
        <v>#REF!</v>
      </c>
      <c r="O190" t="e">
        <f>AND(Bills!G792,"AAAAAH9/mw4=")</f>
        <v>#VALUE!</v>
      </c>
      <c r="P190" t="e">
        <f>AND(Bills!H792,"AAAAAH9/mw8=")</f>
        <v>#VALUE!</v>
      </c>
      <c r="Q190" t="e">
        <f>AND(Bills!I792,"AAAAAH9/mxA=")</f>
        <v>#VALUE!</v>
      </c>
      <c r="R190" t="e">
        <f>AND(Bills!J792,"AAAAAH9/mxE=")</f>
        <v>#VALUE!</v>
      </c>
      <c r="S190" t="e">
        <f>AND(Bills!K792,"AAAAAH9/mxI=")</f>
        <v>#VALUE!</v>
      </c>
      <c r="T190" t="e">
        <f>AND(Bills!L792,"AAAAAH9/mxM=")</f>
        <v>#VALUE!</v>
      </c>
      <c r="U190" t="e">
        <f>AND(Bills!#REF!,"AAAAAH9/mxQ=")</f>
        <v>#REF!</v>
      </c>
      <c r="V190" t="e">
        <f>AND(Bills!M792,"AAAAAH9/mxU=")</f>
        <v>#VALUE!</v>
      </c>
      <c r="W190" t="e">
        <f>AND(Bills!N792,"AAAAAH9/mxY=")</f>
        <v>#VALUE!</v>
      </c>
      <c r="X190" t="e">
        <f>AND(Bills!O792,"AAAAAH9/mxc=")</f>
        <v>#VALUE!</v>
      </c>
      <c r="Y190" t="e">
        <f>AND(Bills!P792,"AAAAAH9/mxg=")</f>
        <v>#VALUE!</v>
      </c>
      <c r="Z190" t="e">
        <f>AND(Bills!Q792,"AAAAAH9/mxk=")</f>
        <v>#VALUE!</v>
      </c>
      <c r="AA190" t="e">
        <f>AND(Bills!R792,"AAAAAH9/mxo=")</f>
        <v>#VALUE!</v>
      </c>
      <c r="AB190" t="e">
        <f>AND(Bills!S792,"AAAAAH9/mxs=")</f>
        <v>#VALUE!</v>
      </c>
      <c r="AC190" t="e">
        <f>AND(Bills!T792,"AAAAAH9/mxw=")</f>
        <v>#VALUE!</v>
      </c>
      <c r="AD190" t="e">
        <f>AND(Bills!#REF!,"AAAAAH9/mx0=")</f>
        <v>#REF!</v>
      </c>
      <c r="AE190" t="e">
        <f>AND(Bills!U792,"AAAAAH9/mx4=")</f>
        <v>#VALUE!</v>
      </c>
      <c r="AF190" t="e">
        <f>AND(Bills!V792,"AAAAAH9/mx8=")</f>
        <v>#VALUE!</v>
      </c>
      <c r="AG190" t="e">
        <f>AND(Bills!W792,"AAAAAH9/myA=")</f>
        <v>#VALUE!</v>
      </c>
      <c r="AH190" t="e">
        <f>AND(Bills!#REF!,"AAAAAH9/myE=")</f>
        <v>#REF!</v>
      </c>
      <c r="AI190" t="e">
        <f>AND(Bills!#REF!,"AAAAAH9/myI=")</f>
        <v>#REF!</v>
      </c>
      <c r="AJ190" t="e">
        <f>AND(Bills!Y792,"AAAAAH9/myM=")</f>
        <v>#VALUE!</v>
      </c>
      <c r="AK190" t="e">
        <f>AND(Bills!Z792,"AAAAAH9/myQ=")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AND(Bills!AA792,"AAAAAH9/my4=")</f>
        <v>#VALUE!</v>
      </c>
      <c r="AV190" t="e">
        <f>AND(Bills!AB792,"AAAAAH9/my8=")</f>
        <v>#VALUE!</v>
      </c>
      <c r="AW190" t="e">
        <f>AND(Bills!#REF!,"AAAAAH9/mzA=")</f>
        <v>#REF!</v>
      </c>
      <c r="AX190" t="e">
        <f>AND(Bills!#REF!,"AAAAAH9/mzE=")</f>
        <v>#REF!</v>
      </c>
      <c r="AY190" t="e">
        <f>AND(Bills!#REF!,"AAAAAH9/mzI=")</f>
        <v>#REF!</v>
      </c>
      <c r="AZ190" t="e">
        <f>AND(Bills!AC792,"AAAAAH9/mzM=")</f>
        <v>#VALUE!</v>
      </c>
      <c r="BA190" t="e">
        <f>AND(Bills!AD792,"AAAAAH9/mzQ=")</f>
        <v>#VALUE!</v>
      </c>
      <c r="BB190" t="e">
        <f>AND(Bills!#REF!,"AAAAAH9/mzU=")</f>
        <v>#REF!</v>
      </c>
      <c r="BC190">
        <f>IF(Bills!793:793,"AAAAAH9/mzY=",0)</f>
        <v>0</v>
      </c>
      <c r="BD190" t="e">
        <f>AND(Bills!B793,"AAAAAH9/mzc=")</f>
        <v>#VALUE!</v>
      </c>
      <c r="BE190" t="e">
        <f>AND(Bills!#REF!,"AAAAAH9/mzg=")</f>
        <v>#REF!</v>
      </c>
      <c r="BF190" t="e">
        <f>AND(Bills!C793,"AAAAAH9/mzk=")</f>
        <v>#VALUE!</v>
      </c>
      <c r="BG190" t="e">
        <f>AND(Bills!D793,"AAAAAH9/mzo=")</f>
        <v>#VALUE!</v>
      </c>
      <c r="BH190" t="e">
        <f>AND(Bills!E793,"AAAAAH9/mzs=")</f>
        <v>#VALUE!</v>
      </c>
      <c r="BI190" t="e">
        <f>AND(Bills!#REF!,"AAAAAH9/mzw=")</f>
        <v>#REF!</v>
      </c>
      <c r="BJ190" t="e">
        <f>AND(Bills!#REF!,"AAAAAH9/mz0=")</f>
        <v>#REF!</v>
      </c>
      <c r="BK190" t="e">
        <f>AND(Bills!#REF!,"AAAAAH9/mz4=")</f>
        <v>#REF!</v>
      </c>
      <c r="BL190" t="e">
        <f>AND(Bills!F793,"AAAAAH9/mz8=")</f>
        <v>#VALUE!</v>
      </c>
      <c r="BM190" t="e">
        <f>AND(Bills!#REF!,"AAAAAH9/m0A=")</f>
        <v>#REF!</v>
      </c>
      <c r="BN190" t="e">
        <f>AND(Bills!G793,"AAAAAH9/m0E=")</f>
        <v>#VALUE!</v>
      </c>
      <c r="BO190" t="e">
        <f>AND(Bills!H793,"AAAAAH9/m0I=")</f>
        <v>#VALUE!</v>
      </c>
      <c r="BP190" t="e">
        <f>AND(Bills!I793,"AAAAAH9/m0M=")</f>
        <v>#VALUE!</v>
      </c>
      <c r="BQ190" t="e">
        <f>AND(Bills!J793,"AAAAAH9/m0Q=")</f>
        <v>#VALUE!</v>
      </c>
      <c r="BR190" t="e">
        <f>AND(Bills!K793,"AAAAAH9/m0U=")</f>
        <v>#VALUE!</v>
      </c>
      <c r="BS190" t="e">
        <f>AND(Bills!L793,"AAAAAH9/m0Y=")</f>
        <v>#VALUE!</v>
      </c>
      <c r="BT190" t="e">
        <f>AND(Bills!#REF!,"AAAAAH9/m0c=")</f>
        <v>#REF!</v>
      </c>
      <c r="BU190" t="e">
        <f>AND(Bills!M793,"AAAAAH9/m0g=")</f>
        <v>#VALUE!</v>
      </c>
      <c r="BV190" t="e">
        <f>AND(Bills!N793,"AAAAAH9/m0k=")</f>
        <v>#VALUE!</v>
      </c>
      <c r="BW190" t="e">
        <f>AND(Bills!O793,"AAAAAH9/m0o=")</f>
        <v>#VALUE!</v>
      </c>
      <c r="BX190" t="e">
        <f>AND(Bills!P793,"AAAAAH9/m0s=")</f>
        <v>#VALUE!</v>
      </c>
      <c r="BY190" t="e">
        <f>AND(Bills!Q793,"AAAAAH9/m0w=")</f>
        <v>#VALUE!</v>
      </c>
      <c r="BZ190" t="e">
        <f>AND(Bills!R793,"AAAAAH9/m00=")</f>
        <v>#VALUE!</v>
      </c>
      <c r="CA190" t="e">
        <f>AND(Bills!S793,"AAAAAH9/m04=")</f>
        <v>#VALUE!</v>
      </c>
      <c r="CB190" t="e">
        <f>AND(Bills!T793,"AAAAAH9/m08=")</f>
        <v>#VALUE!</v>
      </c>
      <c r="CC190" t="e">
        <f>AND(Bills!#REF!,"AAAAAH9/m1A=")</f>
        <v>#REF!</v>
      </c>
      <c r="CD190" t="e">
        <f>AND(Bills!U793,"AAAAAH9/m1E=")</f>
        <v>#VALUE!</v>
      </c>
      <c r="CE190" t="e">
        <f>AND(Bills!V793,"AAAAAH9/m1I=")</f>
        <v>#VALUE!</v>
      </c>
      <c r="CF190" t="e">
        <f>AND(Bills!W793,"AAAAAH9/m1M=")</f>
        <v>#VALUE!</v>
      </c>
      <c r="CG190" t="e">
        <f>AND(Bills!#REF!,"AAAAAH9/m1Q=")</f>
        <v>#REF!</v>
      </c>
      <c r="CH190" t="e">
        <f>AND(Bills!#REF!,"AAAAAH9/m1U=")</f>
        <v>#REF!</v>
      </c>
      <c r="CI190" t="e">
        <f>AND(Bills!Y793,"AAAAAH9/m1Y=")</f>
        <v>#VALUE!</v>
      </c>
      <c r="CJ190" t="e">
        <f>AND(Bills!Z793,"AAAAAH9/m1c=")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AND(Bills!AA793,"AAAAAH9/m2E=")</f>
        <v>#VALUE!</v>
      </c>
      <c r="CU190" t="e">
        <f>AND(Bills!AB793,"AAAAAH9/m2I=")</f>
        <v>#VALUE!</v>
      </c>
      <c r="CV190" t="e">
        <f>AND(Bills!#REF!,"AAAAAH9/m2M=")</f>
        <v>#REF!</v>
      </c>
      <c r="CW190" t="e">
        <f>AND(Bills!#REF!,"AAAAAH9/m2Q=")</f>
        <v>#REF!</v>
      </c>
      <c r="CX190" t="e">
        <f>AND(Bills!#REF!,"AAAAAH9/m2U=")</f>
        <v>#REF!</v>
      </c>
      <c r="CY190" t="e">
        <f>AND(Bills!AC793,"AAAAAH9/m2Y=")</f>
        <v>#VALUE!</v>
      </c>
      <c r="CZ190" t="e">
        <f>AND(Bills!AD793,"AAAAAH9/m2c=")</f>
        <v>#VALUE!</v>
      </c>
      <c r="DA190" t="e">
        <f>AND(Bills!#REF!,"AAAAAH9/m2g=")</f>
        <v>#REF!</v>
      </c>
      <c r="DB190">
        <f>IF(Bills!794:794,"AAAAAH9/m2k=",0)</f>
        <v>0</v>
      </c>
      <c r="DC190" t="e">
        <f>AND(Bills!B794,"AAAAAH9/m2o=")</f>
        <v>#VALUE!</v>
      </c>
      <c r="DD190" t="e">
        <f>AND(Bills!#REF!,"AAAAAH9/m2s=")</f>
        <v>#REF!</v>
      </c>
      <c r="DE190" t="e">
        <f>AND(Bills!C794,"AAAAAH9/m2w=")</f>
        <v>#VALUE!</v>
      </c>
      <c r="DF190" t="e">
        <f>AND(Bills!D794,"AAAAAH9/m20=")</f>
        <v>#VALUE!</v>
      </c>
      <c r="DG190" t="e">
        <f>AND(Bills!E794,"AAAAAH9/m24=")</f>
        <v>#VALUE!</v>
      </c>
      <c r="DH190" t="e">
        <f>AND(Bills!#REF!,"AAAAAH9/m28=")</f>
        <v>#REF!</v>
      </c>
      <c r="DI190" t="e">
        <f>AND(Bills!#REF!,"AAAAAH9/m3A=")</f>
        <v>#REF!</v>
      </c>
      <c r="DJ190" t="e">
        <f>AND(Bills!#REF!,"AAAAAH9/m3E=")</f>
        <v>#REF!</v>
      </c>
      <c r="DK190" t="e">
        <f>AND(Bills!F794,"AAAAAH9/m3I=")</f>
        <v>#VALUE!</v>
      </c>
      <c r="DL190" t="e">
        <f>AND(Bills!#REF!,"AAAAAH9/m3M=")</f>
        <v>#REF!</v>
      </c>
      <c r="DM190" t="e">
        <f>AND(Bills!G794,"AAAAAH9/m3Q=")</f>
        <v>#VALUE!</v>
      </c>
      <c r="DN190" t="e">
        <f>AND(Bills!H794,"AAAAAH9/m3U=")</f>
        <v>#VALUE!</v>
      </c>
      <c r="DO190" t="e">
        <f>AND(Bills!I794,"AAAAAH9/m3Y=")</f>
        <v>#VALUE!</v>
      </c>
      <c r="DP190" t="e">
        <f>AND(Bills!J794,"AAAAAH9/m3c=")</f>
        <v>#VALUE!</v>
      </c>
      <c r="DQ190" t="e">
        <f>AND(Bills!K794,"AAAAAH9/m3g=")</f>
        <v>#VALUE!</v>
      </c>
      <c r="DR190" t="e">
        <f>AND(Bills!L794,"AAAAAH9/m3k=")</f>
        <v>#VALUE!</v>
      </c>
      <c r="DS190" t="e">
        <f>AND(Bills!#REF!,"AAAAAH9/m3o=")</f>
        <v>#REF!</v>
      </c>
      <c r="DT190" t="e">
        <f>AND(Bills!M794,"AAAAAH9/m3s=")</f>
        <v>#VALUE!</v>
      </c>
      <c r="DU190" t="e">
        <f>AND(Bills!N794,"AAAAAH9/m3w=")</f>
        <v>#VALUE!</v>
      </c>
      <c r="DV190" t="e">
        <f>AND(Bills!O794,"AAAAAH9/m30=")</f>
        <v>#VALUE!</v>
      </c>
      <c r="DW190" t="e">
        <f>AND(Bills!P794,"AAAAAH9/m34=")</f>
        <v>#VALUE!</v>
      </c>
      <c r="DX190" t="e">
        <f>AND(Bills!Q794,"AAAAAH9/m38=")</f>
        <v>#VALUE!</v>
      </c>
      <c r="DY190" t="e">
        <f>AND(Bills!R794,"AAAAAH9/m4A=")</f>
        <v>#VALUE!</v>
      </c>
      <c r="DZ190" t="e">
        <f>AND(Bills!S794,"AAAAAH9/m4E=")</f>
        <v>#VALUE!</v>
      </c>
      <c r="EA190" t="e">
        <f>AND(Bills!T794,"AAAAAH9/m4I=")</f>
        <v>#VALUE!</v>
      </c>
      <c r="EB190" t="e">
        <f>AND(Bills!#REF!,"AAAAAH9/m4M=")</f>
        <v>#REF!</v>
      </c>
      <c r="EC190" t="e">
        <f>AND(Bills!U794,"AAAAAH9/m4Q=")</f>
        <v>#VALUE!</v>
      </c>
      <c r="ED190" t="e">
        <f>AND(Bills!V794,"AAAAAH9/m4U=")</f>
        <v>#VALUE!</v>
      </c>
      <c r="EE190" t="e">
        <f>AND(Bills!W794,"AAAAAH9/m4Y=")</f>
        <v>#VALUE!</v>
      </c>
      <c r="EF190" t="e">
        <f>AND(Bills!#REF!,"AAAAAH9/m4c=")</f>
        <v>#REF!</v>
      </c>
      <c r="EG190" t="e">
        <f>AND(Bills!#REF!,"AAAAAH9/m4g=")</f>
        <v>#REF!</v>
      </c>
      <c r="EH190" t="e">
        <f>AND(Bills!Y794,"AAAAAH9/m4k=")</f>
        <v>#VALUE!</v>
      </c>
      <c r="EI190" t="e">
        <f>AND(Bills!Z794,"AAAAAH9/m4o=")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AND(Bills!AA794,"AAAAAH9/m5Q=")</f>
        <v>#VALUE!</v>
      </c>
      <c r="ET190" t="e">
        <f>AND(Bills!AB794,"AAAAAH9/m5U=")</f>
        <v>#VALUE!</v>
      </c>
      <c r="EU190" t="e">
        <f>AND(Bills!#REF!,"AAAAAH9/m5Y=")</f>
        <v>#REF!</v>
      </c>
      <c r="EV190" t="e">
        <f>AND(Bills!#REF!,"AAAAAH9/m5c=")</f>
        <v>#REF!</v>
      </c>
      <c r="EW190" t="e">
        <f>AND(Bills!#REF!,"AAAAAH9/m5g=")</f>
        <v>#REF!</v>
      </c>
      <c r="EX190" t="e">
        <f>AND(Bills!AC794,"AAAAAH9/m5k=")</f>
        <v>#VALUE!</v>
      </c>
      <c r="EY190" t="e">
        <f>AND(Bills!AD794,"AAAAAH9/m5o=")</f>
        <v>#VALUE!</v>
      </c>
      <c r="EZ190" t="e">
        <f>AND(Bills!#REF!,"AAAAAH9/m5s=")</f>
        <v>#REF!</v>
      </c>
      <c r="FA190">
        <f>IF(Bills!795:795,"AAAAAH9/m5w=",0)</f>
        <v>0</v>
      </c>
      <c r="FB190" t="e">
        <f>AND(Bills!B795,"AAAAAH9/m50=")</f>
        <v>#VALUE!</v>
      </c>
      <c r="FC190" t="e">
        <f>AND(Bills!#REF!,"AAAAAH9/m54=")</f>
        <v>#REF!</v>
      </c>
      <c r="FD190" t="e">
        <f>AND(Bills!C795,"AAAAAH9/m58=")</f>
        <v>#VALUE!</v>
      </c>
      <c r="FE190" t="e">
        <f>AND(Bills!D795,"AAAAAH9/m6A=")</f>
        <v>#VALUE!</v>
      </c>
      <c r="FF190" t="e">
        <f>AND(Bills!E795,"AAAAAH9/m6E=")</f>
        <v>#VALUE!</v>
      </c>
      <c r="FG190" t="e">
        <f>AND(Bills!#REF!,"AAAAAH9/m6I=")</f>
        <v>#REF!</v>
      </c>
      <c r="FH190" t="e">
        <f>AND(Bills!#REF!,"AAAAAH9/m6M=")</f>
        <v>#REF!</v>
      </c>
      <c r="FI190" t="e">
        <f>AND(Bills!#REF!,"AAAAAH9/m6Q=")</f>
        <v>#REF!</v>
      </c>
      <c r="FJ190" t="e">
        <f>AND(Bills!F795,"AAAAAH9/m6U=")</f>
        <v>#VALUE!</v>
      </c>
      <c r="FK190" t="e">
        <f>AND(Bills!#REF!,"AAAAAH9/m6Y=")</f>
        <v>#REF!</v>
      </c>
      <c r="FL190" t="e">
        <f>AND(Bills!G795,"AAAAAH9/m6c=")</f>
        <v>#VALUE!</v>
      </c>
      <c r="FM190" t="e">
        <f>AND(Bills!H795,"AAAAAH9/m6g=")</f>
        <v>#VALUE!</v>
      </c>
      <c r="FN190" t="e">
        <f>AND(Bills!I795,"AAAAAH9/m6k=")</f>
        <v>#VALUE!</v>
      </c>
      <c r="FO190" t="e">
        <f>AND(Bills!J795,"AAAAAH9/m6o=")</f>
        <v>#VALUE!</v>
      </c>
      <c r="FP190" t="e">
        <f>AND(Bills!K795,"AAAAAH9/m6s=")</f>
        <v>#VALUE!</v>
      </c>
      <c r="FQ190" t="e">
        <f>AND(Bills!L795,"AAAAAH9/m6w=")</f>
        <v>#VALUE!</v>
      </c>
      <c r="FR190" t="e">
        <f>AND(Bills!#REF!,"AAAAAH9/m60=")</f>
        <v>#REF!</v>
      </c>
      <c r="FS190" t="e">
        <f>AND(Bills!M795,"AAAAAH9/m64=")</f>
        <v>#VALUE!</v>
      </c>
      <c r="FT190" t="e">
        <f>AND(Bills!N795,"AAAAAH9/m68=")</f>
        <v>#VALUE!</v>
      </c>
      <c r="FU190" t="e">
        <f>AND(Bills!O795,"AAAAAH9/m7A=")</f>
        <v>#VALUE!</v>
      </c>
      <c r="FV190" t="e">
        <f>AND(Bills!P795,"AAAAAH9/m7E=")</f>
        <v>#VALUE!</v>
      </c>
      <c r="FW190" t="e">
        <f>AND(Bills!Q795,"AAAAAH9/m7I=")</f>
        <v>#VALUE!</v>
      </c>
      <c r="FX190" t="e">
        <f>AND(Bills!R795,"AAAAAH9/m7M=")</f>
        <v>#VALUE!</v>
      </c>
      <c r="FY190" t="e">
        <f>AND(Bills!S795,"AAAAAH9/m7Q=")</f>
        <v>#VALUE!</v>
      </c>
      <c r="FZ190" t="e">
        <f>AND(Bills!T795,"AAAAAH9/m7U=")</f>
        <v>#VALUE!</v>
      </c>
      <c r="GA190" t="e">
        <f>AND(Bills!#REF!,"AAAAAH9/m7Y=")</f>
        <v>#REF!</v>
      </c>
      <c r="GB190" t="e">
        <f>AND(Bills!U795,"AAAAAH9/m7c=")</f>
        <v>#VALUE!</v>
      </c>
      <c r="GC190" t="e">
        <f>AND(Bills!V795,"AAAAAH9/m7g=")</f>
        <v>#VALUE!</v>
      </c>
      <c r="GD190" t="e">
        <f>AND(Bills!W795,"AAAAAH9/m7k=")</f>
        <v>#VALUE!</v>
      </c>
      <c r="GE190" t="e">
        <f>AND(Bills!#REF!,"AAAAAH9/m7o=")</f>
        <v>#REF!</v>
      </c>
      <c r="GF190" t="e">
        <f>AND(Bills!#REF!,"AAAAAH9/m7s=")</f>
        <v>#REF!</v>
      </c>
      <c r="GG190" t="e">
        <f>AND(Bills!Y795,"AAAAAH9/m7w=")</f>
        <v>#VALUE!</v>
      </c>
      <c r="GH190" t="e">
        <f>AND(Bills!Z795,"AAAAAH9/m70=")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AND(Bills!AA795,"AAAAAH9/m8c=")</f>
        <v>#VALUE!</v>
      </c>
      <c r="GS190" t="e">
        <f>AND(Bills!AB795,"AAAAAH9/m8g=")</f>
        <v>#VALUE!</v>
      </c>
      <c r="GT190" t="e">
        <f>AND(Bills!#REF!,"AAAAAH9/m8k=")</f>
        <v>#REF!</v>
      </c>
      <c r="GU190" t="e">
        <f>AND(Bills!#REF!,"AAAAAH9/m8o=")</f>
        <v>#REF!</v>
      </c>
      <c r="GV190" t="e">
        <f>AND(Bills!#REF!,"AAAAAH9/m8s=")</f>
        <v>#REF!</v>
      </c>
      <c r="GW190" t="e">
        <f>AND(Bills!AC795,"AAAAAH9/m8w=")</f>
        <v>#VALUE!</v>
      </c>
      <c r="GX190" t="e">
        <f>AND(Bills!AD795,"AAAAAH9/m80=")</f>
        <v>#VALUE!</v>
      </c>
      <c r="GY190" t="e">
        <f>AND(Bills!#REF!,"AAAAAH9/m84=")</f>
        <v>#REF!</v>
      </c>
      <c r="GZ190">
        <f>IF(Bills!796:796,"AAAAAH9/m88=",0)</f>
        <v>0</v>
      </c>
      <c r="HA190" t="e">
        <f>AND(Bills!B796,"AAAAAH9/m9A=")</f>
        <v>#VALUE!</v>
      </c>
      <c r="HB190" t="e">
        <f>AND(Bills!#REF!,"AAAAAH9/m9E=")</f>
        <v>#REF!</v>
      </c>
      <c r="HC190" t="e">
        <f>AND(Bills!C796,"AAAAAH9/m9I=")</f>
        <v>#VALUE!</v>
      </c>
      <c r="HD190" t="e">
        <f>AND(Bills!D796,"AAAAAH9/m9M=")</f>
        <v>#VALUE!</v>
      </c>
      <c r="HE190" t="e">
        <f>AND(Bills!E796,"AAAAAH9/m9Q=")</f>
        <v>#VALUE!</v>
      </c>
      <c r="HF190" t="e">
        <f>AND(Bills!#REF!,"AAAAAH9/m9U=")</f>
        <v>#REF!</v>
      </c>
      <c r="HG190" t="e">
        <f>AND(Bills!#REF!,"AAAAAH9/m9Y=")</f>
        <v>#REF!</v>
      </c>
      <c r="HH190" t="e">
        <f>AND(Bills!#REF!,"AAAAAH9/m9c=")</f>
        <v>#REF!</v>
      </c>
      <c r="HI190" t="e">
        <f>AND(Bills!F796,"AAAAAH9/m9g=")</f>
        <v>#VALUE!</v>
      </c>
      <c r="HJ190" t="e">
        <f>AND(Bills!#REF!,"AAAAAH9/m9k=")</f>
        <v>#REF!</v>
      </c>
      <c r="HK190" t="e">
        <f>AND(Bills!G796,"AAAAAH9/m9o=")</f>
        <v>#VALUE!</v>
      </c>
      <c r="HL190" t="e">
        <f>AND(Bills!H796,"AAAAAH9/m9s=")</f>
        <v>#VALUE!</v>
      </c>
      <c r="HM190" t="e">
        <f>AND(Bills!I796,"AAAAAH9/m9w=")</f>
        <v>#VALUE!</v>
      </c>
      <c r="HN190" t="e">
        <f>AND(Bills!J796,"AAAAAH9/m90=")</f>
        <v>#VALUE!</v>
      </c>
      <c r="HO190" t="e">
        <f>AND(Bills!K796,"AAAAAH9/m94=")</f>
        <v>#VALUE!</v>
      </c>
      <c r="HP190" t="e">
        <f>AND(Bills!L796,"AAAAAH9/m98=")</f>
        <v>#VALUE!</v>
      </c>
      <c r="HQ190" t="e">
        <f>AND(Bills!#REF!,"AAAAAH9/m+A=")</f>
        <v>#REF!</v>
      </c>
      <c r="HR190" t="e">
        <f>AND(Bills!M796,"AAAAAH9/m+E=")</f>
        <v>#VALUE!</v>
      </c>
      <c r="HS190" t="e">
        <f>AND(Bills!N796,"AAAAAH9/m+I=")</f>
        <v>#VALUE!</v>
      </c>
      <c r="HT190" t="e">
        <f>AND(Bills!O796,"AAAAAH9/m+M=")</f>
        <v>#VALUE!</v>
      </c>
      <c r="HU190" t="e">
        <f>AND(Bills!P796,"AAAAAH9/m+Q=")</f>
        <v>#VALUE!</v>
      </c>
      <c r="HV190" t="e">
        <f>AND(Bills!Q796,"AAAAAH9/m+U=")</f>
        <v>#VALUE!</v>
      </c>
      <c r="HW190" t="e">
        <f>AND(Bills!R796,"AAAAAH9/m+Y=")</f>
        <v>#VALUE!</v>
      </c>
      <c r="HX190" t="e">
        <f>AND(Bills!S796,"AAAAAH9/m+c=")</f>
        <v>#VALUE!</v>
      </c>
      <c r="HY190" t="e">
        <f>AND(Bills!T796,"AAAAAH9/m+g=")</f>
        <v>#VALUE!</v>
      </c>
      <c r="HZ190" t="e">
        <f>AND(Bills!#REF!,"AAAAAH9/m+k=")</f>
        <v>#REF!</v>
      </c>
      <c r="IA190" t="e">
        <f>AND(Bills!U796,"AAAAAH9/m+o=")</f>
        <v>#VALUE!</v>
      </c>
      <c r="IB190" t="e">
        <f>AND(Bills!V796,"AAAAAH9/m+s=")</f>
        <v>#VALUE!</v>
      </c>
      <c r="IC190" t="e">
        <f>AND(Bills!W796,"AAAAAH9/m+w=")</f>
        <v>#VALUE!</v>
      </c>
      <c r="ID190" t="e">
        <f>AND(Bills!#REF!,"AAAAAH9/m+0=")</f>
        <v>#REF!</v>
      </c>
      <c r="IE190" t="e">
        <f>AND(Bills!#REF!,"AAAAAH9/m+4=")</f>
        <v>#REF!</v>
      </c>
      <c r="IF190" t="e">
        <f>AND(Bills!Y796,"AAAAAH9/m+8=")</f>
        <v>#VALUE!</v>
      </c>
      <c r="IG190" t="e">
        <f>AND(Bills!Z796,"AAAAAH9/m/A=")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AND(Bills!AA796,"AAAAAH9/m/o=")</f>
        <v>#VALUE!</v>
      </c>
      <c r="IR190" t="e">
        <f>AND(Bills!AB796,"AAAAAH9/m/s=")</f>
        <v>#VALUE!</v>
      </c>
      <c r="IS190" t="e">
        <f>AND(Bills!#REF!,"AAAAAH9/m/w=")</f>
        <v>#REF!</v>
      </c>
      <c r="IT190" t="e">
        <f>AND(Bills!#REF!,"AAAAAH9/m/0=")</f>
        <v>#REF!</v>
      </c>
      <c r="IU190" t="e">
        <f>AND(Bills!#REF!,"AAAAAH9/m/4=")</f>
        <v>#REF!</v>
      </c>
      <c r="IV190" t="e">
        <f>AND(Bills!AC796,"AAAAAH9/m/8=")</f>
        <v>#VALUE!</v>
      </c>
    </row>
    <row r="191" spans="1:256">
      <c r="A191" t="e">
        <f>AND(Bills!AD796,"AAAAAHO2LwA=")</f>
        <v>#VALUE!</v>
      </c>
      <c r="B191" t="e">
        <f>AND(Bills!#REF!,"AAAAAHO2LwE=")</f>
        <v>#REF!</v>
      </c>
      <c r="C191">
        <f>IF(Bills!797:797,"AAAAAHO2LwI=",0)</f>
        <v>0</v>
      </c>
      <c r="D191" t="e">
        <f>AND(Bills!B797,"AAAAAHO2LwM=")</f>
        <v>#VALUE!</v>
      </c>
      <c r="E191" t="e">
        <f>AND(Bills!#REF!,"AAAAAHO2LwQ=")</f>
        <v>#REF!</v>
      </c>
      <c r="F191" t="e">
        <f>AND(Bills!C797,"AAAAAHO2LwU=")</f>
        <v>#VALUE!</v>
      </c>
      <c r="G191" t="e">
        <f>AND(Bills!D797,"AAAAAHO2LwY=")</f>
        <v>#VALUE!</v>
      </c>
      <c r="H191" t="e">
        <f>AND(Bills!E797,"AAAAAHO2Lwc=")</f>
        <v>#VALUE!</v>
      </c>
      <c r="I191" t="e">
        <f>AND(Bills!#REF!,"AAAAAHO2Lwg=")</f>
        <v>#REF!</v>
      </c>
      <c r="J191" t="e">
        <f>AND(Bills!#REF!,"AAAAAHO2Lwk=")</f>
        <v>#REF!</v>
      </c>
      <c r="K191" t="e">
        <f>AND(Bills!#REF!,"AAAAAHO2Lwo=")</f>
        <v>#REF!</v>
      </c>
      <c r="L191" t="e">
        <f>AND(Bills!F797,"AAAAAHO2Lws=")</f>
        <v>#VALUE!</v>
      </c>
      <c r="M191" t="e">
        <f>AND(Bills!#REF!,"AAAAAHO2Lww=")</f>
        <v>#REF!</v>
      </c>
      <c r="N191" t="e">
        <f>AND(Bills!G797,"AAAAAHO2Lw0=")</f>
        <v>#VALUE!</v>
      </c>
      <c r="O191" t="e">
        <f>AND(Bills!H797,"AAAAAHO2Lw4=")</f>
        <v>#VALUE!</v>
      </c>
      <c r="P191" t="e">
        <f>AND(Bills!I797,"AAAAAHO2Lw8=")</f>
        <v>#VALUE!</v>
      </c>
      <c r="Q191" t="e">
        <f>AND(Bills!J797,"AAAAAHO2LxA=")</f>
        <v>#VALUE!</v>
      </c>
      <c r="R191" t="e">
        <f>AND(Bills!K797,"AAAAAHO2LxE=")</f>
        <v>#VALUE!</v>
      </c>
      <c r="S191" t="e">
        <f>AND(Bills!L797,"AAAAAHO2LxI=")</f>
        <v>#VALUE!</v>
      </c>
      <c r="T191" t="e">
        <f>AND(Bills!#REF!,"AAAAAHO2LxM=")</f>
        <v>#REF!</v>
      </c>
      <c r="U191" t="e">
        <f>AND(Bills!M797,"AAAAAHO2LxQ=")</f>
        <v>#VALUE!</v>
      </c>
      <c r="V191" t="e">
        <f>AND(Bills!N797,"AAAAAHO2LxU=")</f>
        <v>#VALUE!</v>
      </c>
      <c r="W191" t="e">
        <f>AND(Bills!O797,"AAAAAHO2LxY=")</f>
        <v>#VALUE!</v>
      </c>
      <c r="X191" t="e">
        <f>AND(Bills!P797,"AAAAAHO2Lxc=")</f>
        <v>#VALUE!</v>
      </c>
      <c r="Y191" t="e">
        <f>AND(Bills!Q797,"AAAAAHO2Lxg=")</f>
        <v>#VALUE!</v>
      </c>
      <c r="Z191" t="e">
        <f>AND(Bills!R797,"AAAAAHO2Lxk=")</f>
        <v>#VALUE!</v>
      </c>
      <c r="AA191" t="e">
        <f>AND(Bills!S797,"AAAAAHO2Lxo=")</f>
        <v>#VALUE!</v>
      </c>
      <c r="AB191" t="e">
        <f>AND(Bills!T797,"AAAAAHO2Lxs=")</f>
        <v>#VALUE!</v>
      </c>
      <c r="AC191" t="e">
        <f>AND(Bills!#REF!,"AAAAAHO2Lxw=")</f>
        <v>#REF!</v>
      </c>
      <c r="AD191" t="e">
        <f>AND(Bills!U797,"AAAAAHO2Lx0=")</f>
        <v>#VALUE!</v>
      </c>
      <c r="AE191" t="e">
        <f>AND(Bills!V797,"AAAAAHO2Lx4=")</f>
        <v>#VALUE!</v>
      </c>
      <c r="AF191" t="e">
        <f>AND(Bills!W797,"AAAAAHO2Lx8=")</f>
        <v>#VALUE!</v>
      </c>
      <c r="AG191" t="e">
        <f>AND(Bills!#REF!,"AAAAAHO2LyA=")</f>
        <v>#REF!</v>
      </c>
      <c r="AH191" t="e">
        <f>AND(Bills!#REF!,"AAAAAHO2LyE=")</f>
        <v>#REF!</v>
      </c>
      <c r="AI191" t="e">
        <f>AND(Bills!Y797,"AAAAAHO2LyI=")</f>
        <v>#VALUE!</v>
      </c>
      <c r="AJ191" t="e">
        <f>AND(Bills!Z797,"AAAAAHO2LyM=")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AND(Bills!AA797,"AAAAAHO2Ly0=")</f>
        <v>#VALUE!</v>
      </c>
      <c r="AU191" t="e">
        <f>AND(Bills!AB797,"AAAAAHO2Ly4=")</f>
        <v>#VALUE!</v>
      </c>
      <c r="AV191" t="e">
        <f>AND(Bills!#REF!,"AAAAAHO2Ly8=")</f>
        <v>#REF!</v>
      </c>
      <c r="AW191" t="e">
        <f>AND(Bills!#REF!,"AAAAAHO2LzA=")</f>
        <v>#REF!</v>
      </c>
      <c r="AX191" t="e">
        <f>AND(Bills!#REF!,"AAAAAHO2LzE=")</f>
        <v>#REF!</v>
      </c>
      <c r="AY191" t="e">
        <f>AND(Bills!AC797,"AAAAAHO2LzI=")</f>
        <v>#VALUE!</v>
      </c>
      <c r="AZ191" t="e">
        <f>AND(Bills!AD797,"AAAAAHO2LzM=")</f>
        <v>#VALUE!</v>
      </c>
      <c r="BA191" t="e">
        <f>AND(Bills!#REF!,"AAAAAHO2LzQ=")</f>
        <v>#REF!</v>
      </c>
      <c r="BB191">
        <f>IF(Bills!798:798,"AAAAAHO2LzU=",0)</f>
        <v>0</v>
      </c>
      <c r="BC191" t="e">
        <f>AND(Bills!B798,"AAAAAHO2LzY=")</f>
        <v>#VALUE!</v>
      </c>
      <c r="BD191" t="e">
        <f>AND(Bills!#REF!,"AAAAAHO2Lzc=")</f>
        <v>#REF!</v>
      </c>
      <c r="BE191" t="e">
        <f>AND(Bills!C798,"AAAAAHO2Lzg=")</f>
        <v>#VALUE!</v>
      </c>
      <c r="BF191" t="e">
        <f>AND(Bills!D798,"AAAAAHO2Lzk=")</f>
        <v>#VALUE!</v>
      </c>
      <c r="BG191" t="e">
        <f>AND(Bills!E798,"AAAAAHO2Lzo=")</f>
        <v>#VALUE!</v>
      </c>
      <c r="BH191" t="e">
        <f>AND(Bills!#REF!,"AAAAAHO2Lzs=")</f>
        <v>#REF!</v>
      </c>
      <c r="BI191" t="e">
        <f>AND(Bills!#REF!,"AAAAAHO2Lzw=")</f>
        <v>#REF!</v>
      </c>
      <c r="BJ191" t="e">
        <f>AND(Bills!#REF!,"AAAAAHO2Lz0=")</f>
        <v>#REF!</v>
      </c>
      <c r="BK191" t="e">
        <f>AND(Bills!F798,"AAAAAHO2Lz4=")</f>
        <v>#VALUE!</v>
      </c>
      <c r="BL191" t="e">
        <f>AND(Bills!#REF!,"AAAAAHO2Lz8=")</f>
        <v>#REF!</v>
      </c>
      <c r="BM191" t="e">
        <f>AND(Bills!G798,"AAAAAHO2L0A=")</f>
        <v>#VALUE!</v>
      </c>
      <c r="BN191" t="e">
        <f>AND(Bills!H798,"AAAAAHO2L0E=")</f>
        <v>#VALUE!</v>
      </c>
      <c r="BO191" t="e">
        <f>AND(Bills!I798,"AAAAAHO2L0I=")</f>
        <v>#VALUE!</v>
      </c>
      <c r="BP191" t="e">
        <f>AND(Bills!J798,"AAAAAHO2L0M=")</f>
        <v>#VALUE!</v>
      </c>
      <c r="BQ191" t="e">
        <f>AND(Bills!K798,"AAAAAHO2L0Q=")</f>
        <v>#VALUE!</v>
      </c>
      <c r="BR191" t="e">
        <f>AND(Bills!L798,"AAAAAHO2L0U=")</f>
        <v>#VALUE!</v>
      </c>
      <c r="BS191" t="e">
        <f>AND(Bills!#REF!,"AAAAAHO2L0Y=")</f>
        <v>#REF!</v>
      </c>
      <c r="BT191" t="e">
        <f>AND(Bills!M798,"AAAAAHO2L0c=")</f>
        <v>#VALUE!</v>
      </c>
      <c r="BU191" t="e">
        <f>AND(Bills!N798,"AAAAAHO2L0g=")</f>
        <v>#VALUE!</v>
      </c>
      <c r="BV191" t="e">
        <f>AND(Bills!O798,"AAAAAHO2L0k=")</f>
        <v>#VALUE!</v>
      </c>
      <c r="BW191" t="e">
        <f>AND(Bills!P798,"AAAAAHO2L0o=")</f>
        <v>#VALUE!</v>
      </c>
      <c r="BX191" t="e">
        <f>AND(Bills!Q798,"AAAAAHO2L0s=")</f>
        <v>#VALUE!</v>
      </c>
      <c r="BY191" t="e">
        <f>AND(Bills!R798,"AAAAAHO2L0w=")</f>
        <v>#VALUE!</v>
      </c>
      <c r="BZ191" t="e">
        <f>AND(Bills!S798,"AAAAAHO2L00=")</f>
        <v>#VALUE!</v>
      </c>
      <c r="CA191" t="e">
        <f>AND(Bills!T798,"AAAAAHO2L04=")</f>
        <v>#VALUE!</v>
      </c>
      <c r="CB191" t="e">
        <f>AND(Bills!#REF!,"AAAAAHO2L08=")</f>
        <v>#REF!</v>
      </c>
      <c r="CC191" t="e">
        <f>AND(Bills!U798,"AAAAAHO2L1A=")</f>
        <v>#VALUE!</v>
      </c>
      <c r="CD191" t="e">
        <f>AND(Bills!V798,"AAAAAHO2L1E=")</f>
        <v>#VALUE!</v>
      </c>
      <c r="CE191" t="e">
        <f>AND(Bills!W798,"AAAAAHO2L1I=")</f>
        <v>#VALUE!</v>
      </c>
      <c r="CF191" t="e">
        <f>AND(Bills!#REF!,"AAAAAHO2L1M=")</f>
        <v>#REF!</v>
      </c>
      <c r="CG191" t="e">
        <f>AND(Bills!#REF!,"AAAAAHO2L1Q=")</f>
        <v>#REF!</v>
      </c>
      <c r="CH191" t="e">
        <f>AND(Bills!Y798,"AAAAAHO2L1U=")</f>
        <v>#VALUE!</v>
      </c>
      <c r="CI191" t="e">
        <f>AND(Bills!Z798,"AAAAAHO2L1Y=")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AND(Bills!AA798,"AAAAAHO2L2A=")</f>
        <v>#VALUE!</v>
      </c>
      <c r="CT191" t="e">
        <f>AND(Bills!AB798,"AAAAAHO2L2E=")</f>
        <v>#VALUE!</v>
      </c>
      <c r="CU191" t="e">
        <f>AND(Bills!#REF!,"AAAAAHO2L2I=")</f>
        <v>#REF!</v>
      </c>
      <c r="CV191" t="e">
        <f>AND(Bills!#REF!,"AAAAAHO2L2M=")</f>
        <v>#REF!</v>
      </c>
      <c r="CW191" t="e">
        <f>AND(Bills!#REF!,"AAAAAHO2L2Q=")</f>
        <v>#REF!</v>
      </c>
      <c r="CX191" t="e">
        <f>AND(Bills!AC798,"AAAAAHO2L2U=")</f>
        <v>#VALUE!</v>
      </c>
      <c r="CY191" t="e">
        <f>AND(Bills!AD798,"AAAAAHO2L2Y=")</f>
        <v>#VALUE!</v>
      </c>
      <c r="CZ191" t="e">
        <f>AND(Bills!#REF!,"AAAAAHO2L2c=")</f>
        <v>#REF!</v>
      </c>
      <c r="DA191">
        <f>IF(Bills!799:799,"AAAAAHO2L2g=",0)</f>
        <v>0</v>
      </c>
      <c r="DB191" t="e">
        <f>AND(Bills!B799,"AAAAAHO2L2k=")</f>
        <v>#VALUE!</v>
      </c>
      <c r="DC191" t="e">
        <f>AND(Bills!#REF!,"AAAAAHO2L2o=")</f>
        <v>#REF!</v>
      </c>
      <c r="DD191" t="e">
        <f>AND(Bills!C799,"AAAAAHO2L2s=")</f>
        <v>#VALUE!</v>
      </c>
      <c r="DE191" t="e">
        <f>AND(Bills!D799,"AAAAAHO2L2w=")</f>
        <v>#VALUE!</v>
      </c>
      <c r="DF191" t="e">
        <f>AND(Bills!E799,"AAAAAHO2L20=")</f>
        <v>#VALUE!</v>
      </c>
      <c r="DG191" t="e">
        <f>AND(Bills!#REF!,"AAAAAHO2L24=")</f>
        <v>#REF!</v>
      </c>
      <c r="DH191" t="e">
        <f>AND(Bills!#REF!,"AAAAAHO2L28=")</f>
        <v>#REF!</v>
      </c>
      <c r="DI191" t="e">
        <f>AND(Bills!#REF!,"AAAAAHO2L3A=")</f>
        <v>#REF!</v>
      </c>
      <c r="DJ191" t="e">
        <f>AND(Bills!F799,"AAAAAHO2L3E=")</f>
        <v>#VALUE!</v>
      </c>
      <c r="DK191" t="e">
        <f>AND(Bills!#REF!,"AAAAAHO2L3I=")</f>
        <v>#REF!</v>
      </c>
      <c r="DL191" t="e">
        <f>AND(Bills!G799,"AAAAAHO2L3M=")</f>
        <v>#VALUE!</v>
      </c>
      <c r="DM191" t="e">
        <f>AND(Bills!H799,"AAAAAHO2L3Q=")</f>
        <v>#VALUE!</v>
      </c>
      <c r="DN191" t="e">
        <f>AND(Bills!I799,"AAAAAHO2L3U=")</f>
        <v>#VALUE!</v>
      </c>
      <c r="DO191" t="e">
        <f>AND(Bills!J799,"AAAAAHO2L3Y=")</f>
        <v>#VALUE!</v>
      </c>
      <c r="DP191" t="e">
        <f>AND(Bills!K799,"AAAAAHO2L3c=")</f>
        <v>#VALUE!</v>
      </c>
      <c r="DQ191" t="e">
        <f>AND(Bills!L799,"AAAAAHO2L3g=")</f>
        <v>#VALUE!</v>
      </c>
      <c r="DR191" t="e">
        <f>AND(Bills!#REF!,"AAAAAHO2L3k=")</f>
        <v>#REF!</v>
      </c>
      <c r="DS191" t="e">
        <f>AND(Bills!M799,"AAAAAHO2L3o=")</f>
        <v>#VALUE!</v>
      </c>
      <c r="DT191" t="e">
        <f>AND(Bills!N799,"AAAAAHO2L3s=")</f>
        <v>#VALUE!</v>
      </c>
      <c r="DU191" t="e">
        <f>AND(Bills!O799,"AAAAAHO2L3w=")</f>
        <v>#VALUE!</v>
      </c>
      <c r="DV191" t="e">
        <f>AND(Bills!P799,"AAAAAHO2L30=")</f>
        <v>#VALUE!</v>
      </c>
      <c r="DW191" t="e">
        <f>AND(Bills!Q799,"AAAAAHO2L34=")</f>
        <v>#VALUE!</v>
      </c>
      <c r="DX191" t="e">
        <f>AND(Bills!R799,"AAAAAHO2L38=")</f>
        <v>#VALUE!</v>
      </c>
      <c r="DY191" t="e">
        <f>AND(Bills!S799,"AAAAAHO2L4A=")</f>
        <v>#VALUE!</v>
      </c>
      <c r="DZ191" t="e">
        <f>AND(Bills!T799,"AAAAAHO2L4E=")</f>
        <v>#VALUE!</v>
      </c>
      <c r="EA191" t="e">
        <f>AND(Bills!#REF!,"AAAAAHO2L4I=")</f>
        <v>#REF!</v>
      </c>
      <c r="EB191" t="e">
        <f>AND(Bills!U799,"AAAAAHO2L4M=")</f>
        <v>#VALUE!</v>
      </c>
      <c r="EC191" t="e">
        <f>AND(Bills!V799,"AAAAAHO2L4Q=")</f>
        <v>#VALUE!</v>
      </c>
      <c r="ED191" t="e">
        <f>AND(Bills!W799,"AAAAAHO2L4U=")</f>
        <v>#VALUE!</v>
      </c>
      <c r="EE191" t="e">
        <f>AND(Bills!#REF!,"AAAAAHO2L4Y=")</f>
        <v>#REF!</v>
      </c>
      <c r="EF191" t="e">
        <f>AND(Bills!#REF!,"AAAAAHO2L4c=")</f>
        <v>#REF!</v>
      </c>
      <c r="EG191" t="e">
        <f>AND(Bills!Y799,"AAAAAHO2L4g=")</f>
        <v>#VALUE!</v>
      </c>
      <c r="EH191" t="e">
        <f>AND(Bills!Z799,"AAAAAHO2L4k=")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AND(Bills!AA799,"AAAAAHO2L5M=")</f>
        <v>#VALUE!</v>
      </c>
      <c r="ES191" t="e">
        <f>AND(Bills!AB799,"AAAAAHO2L5Q=")</f>
        <v>#VALUE!</v>
      </c>
      <c r="ET191" t="e">
        <f>AND(Bills!#REF!,"AAAAAHO2L5U=")</f>
        <v>#REF!</v>
      </c>
      <c r="EU191" t="e">
        <f>AND(Bills!#REF!,"AAAAAHO2L5Y=")</f>
        <v>#REF!</v>
      </c>
      <c r="EV191" t="e">
        <f>AND(Bills!#REF!,"AAAAAHO2L5c=")</f>
        <v>#REF!</v>
      </c>
      <c r="EW191" t="e">
        <f>AND(Bills!AC799,"AAAAAHO2L5g=")</f>
        <v>#VALUE!</v>
      </c>
      <c r="EX191" t="e">
        <f>AND(Bills!AD799,"AAAAAHO2L5k=")</f>
        <v>#VALUE!</v>
      </c>
      <c r="EY191" t="e">
        <f>AND(Bills!#REF!,"AAAAAHO2L5o=")</f>
        <v>#REF!</v>
      </c>
      <c r="EZ191">
        <f>IF(Bills!800:800,"AAAAAHO2L5s=",0)</f>
        <v>0</v>
      </c>
      <c r="FA191" t="e">
        <f>AND(Bills!B800,"AAAAAHO2L5w=")</f>
        <v>#VALUE!</v>
      </c>
      <c r="FB191" t="e">
        <f>AND(Bills!#REF!,"AAAAAHO2L50=")</f>
        <v>#REF!</v>
      </c>
      <c r="FC191" t="e">
        <f>AND(Bills!C800,"AAAAAHO2L54=")</f>
        <v>#VALUE!</v>
      </c>
      <c r="FD191" t="e">
        <f>AND(Bills!D800,"AAAAAHO2L58=")</f>
        <v>#VALUE!</v>
      </c>
      <c r="FE191" t="e">
        <f>AND(Bills!E800,"AAAAAHO2L6A=")</f>
        <v>#VALUE!</v>
      </c>
      <c r="FF191" t="e">
        <f>AND(Bills!#REF!,"AAAAAHO2L6E=")</f>
        <v>#REF!</v>
      </c>
      <c r="FG191" t="e">
        <f>AND(Bills!#REF!,"AAAAAHO2L6I=")</f>
        <v>#REF!</v>
      </c>
      <c r="FH191" t="e">
        <f>AND(Bills!#REF!,"AAAAAHO2L6M=")</f>
        <v>#REF!</v>
      </c>
      <c r="FI191" t="e">
        <f>AND(Bills!F800,"AAAAAHO2L6Q=")</f>
        <v>#VALUE!</v>
      </c>
      <c r="FJ191" t="e">
        <f>AND(Bills!#REF!,"AAAAAHO2L6U=")</f>
        <v>#REF!</v>
      </c>
      <c r="FK191" t="e">
        <f>AND(Bills!G800,"AAAAAHO2L6Y=")</f>
        <v>#VALUE!</v>
      </c>
      <c r="FL191" t="e">
        <f>AND(Bills!H800,"AAAAAHO2L6c=")</f>
        <v>#VALUE!</v>
      </c>
      <c r="FM191" t="e">
        <f>AND(Bills!I800,"AAAAAHO2L6g=")</f>
        <v>#VALUE!</v>
      </c>
      <c r="FN191" t="e">
        <f>AND(Bills!J800,"AAAAAHO2L6k=")</f>
        <v>#VALUE!</v>
      </c>
      <c r="FO191" t="e">
        <f>AND(Bills!K800,"AAAAAHO2L6o=")</f>
        <v>#VALUE!</v>
      </c>
      <c r="FP191" t="e">
        <f>AND(Bills!L800,"AAAAAHO2L6s=")</f>
        <v>#VALUE!</v>
      </c>
      <c r="FQ191" t="e">
        <f>AND(Bills!#REF!,"AAAAAHO2L6w=")</f>
        <v>#REF!</v>
      </c>
      <c r="FR191" t="e">
        <f>AND(Bills!M800,"AAAAAHO2L60=")</f>
        <v>#VALUE!</v>
      </c>
      <c r="FS191" t="e">
        <f>AND(Bills!N800,"AAAAAHO2L64=")</f>
        <v>#VALUE!</v>
      </c>
      <c r="FT191" t="e">
        <f>AND(Bills!O800,"AAAAAHO2L68=")</f>
        <v>#VALUE!</v>
      </c>
      <c r="FU191" t="e">
        <f>AND(Bills!P800,"AAAAAHO2L7A=")</f>
        <v>#VALUE!</v>
      </c>
      <c r="FV191" t="e">
        <f>AND(Bills!Q800,"AAAAAHO2L7E=")</f>
        <v>#VALUE!</v>
      </c>
      <c r="FW191" t="e">
        <f>AND(Bills!R800,"AAAAAHO2L7I=")</f>
        <v>#VALUE!</v>
      </c>
      <c r="FX191" t="e">
        <f>AND(Bills!S800,"AAAAAHO2L7M=")</f>
        <v>#VALUE!</v>
      </c>
      <c r="FY191" t="e">
        <f>AND(Bills!T800,"AAAAAHO2L7Q=")</f>
        <v>#VALUE!</v>
      </c>
      <c r="FZ191" t="e">
        <f>AND(Bills!#REF!,"AAAAAHO2L7U=")</f>
        <v>#REF!</v>
      </c>
      <c r="GA191" t="e">
        <f>AND(Bills!U800,"AAAAAHO2L7Y=")</f>
        <v>#VALUE!</v>
      </c>
      <c r="GB191" t="e">
        <f>AND(Bills!V800,"AAAAAHO2L7c=")</f>
        <v>#VALUE!</v>
      </c>
      <c r="GC191" t="e">
        <f>AND(Bills!W800,"AAAAAHO2L7g=")</f>
        <v>#VALUE!</v>
      </c>
      <c r="GD191" t="e">
        <f>AND(Bills!#REF!,"AAAAAHO2L7k=")</f>
        <v>#REF!</v>
      </c>
      <c r="GE191" t="e">
        <f>AND(Bills!#REF!,"AAAAAHO2L7o=")</f>
        <v>#REF!</v>
      </c>
      <c r="GF191" t="e">
        <f>AND(Bills!Y800,"AAAAAHO2L7s=")</f>
        <v>#VALUE!</v>
      </c>
      <c r="GG191" t="e">
        <f>AND(Bills!Z800,"AAAAAHO2L7w=")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AND(Bills!AA800,"AAAAAHO2L8Y=")</f>
        <v>#VALUE!</v>
      </c>
      <c r="GR191" t="e">
        <f>AND(Bills!AB800,"AAAAAHO2L8c=")</f>
        <v>#VALUE!</v>
      </c>
      <c r="GS191" t="e">
        <f>AND(Bills!#REF!,"AAAAAHO2L8g=")</f>
        <v>#REF!</v>
      </c>
      <c r="GT191" t="e">
        <f>AND(Bills!#REF!,"AAAAAHO2L8k=")</f>
        <v>#REF!</v>
      </c>
      <c r="GU191" t="e">
        <f>AND(Bills!#REF!,"AAAAAHO2L8o=")</f>
        <v>#REF!</v>
      </c>
      <c r="GV191" t="e">
        <f>AND(Bills!AC800,"AAAAAHO2L8s=")</f>
        <v>#VALUE!</v>
      </c>
      <c r="GW191" t="e">
        <f>AND(Bills!AD800,"AAAAAHO2L8w=")</f>
        <v>#VALUE!</v>
      </c>
      <c r="GX191" t="e">
        <f>AND(Bills!#REF!,"AAAAAHO2L80=")</f>
        <v>#REF!</v>
      </c>
      <c r="GY191">
        <f>IF(Bills!801:801,"AAAAAHO2L84=",0)</f>
        <v>0</v>
      </c>
      <c r="GZ191" t="e">
        <f>AND(Bills!B801,"AAAAAHO2L88=")</f>
        <v>#VALUE!</v>
      </c>
      <c r="HA191" t="e">
        <f>AND(Bills!#REF!,"AAAAAHO2L9A=")</f>
        <v>#REF!</v>
      </c>
      <c r="HB191" t="e">
        <f>AND(Bills!C801,"AAAAAHO2L9E=")</f>
        <v>#VALUE!</v>
      </c>
      <c r="HC191" t="e">
        <f>AND(Bills!D801,"AAAAAHO2L9I=")</f>
        <v>#VALUE!</v>
      </c>
      <c r="HD191" t="e">
        <f>AND(Bills!E801,"AAAAAHO2L9M=")</f>
        <v>#VALUE!</v>
      </c>
      <c r="HE191" t="e">
        <f>AND(Bills!#REF!,"AAAAAHO2L9Q=")</f>
        <v>#REF!</v>
      </c>
      <c r="HF191" t="e">
        <f>AND(Bills!#REF!,"AAAAAHO2L9U=")</f>
        <v>#REF!</v>
      </c>
      <c r="HG191" t="e">
        <f>AND(Bills!#REF!,"AAAAAHO2L9Y=")</f>
        <v>#REF!</v>
      </c>
      <c r="HH191" t="e">
        <f>AND(Bills!F801,"AAAAAHO2L9c=")</f>
        <v>#VALUE!</v>
      </c>
      <c r="HI191" t="e">
        <f>AND(Bills!#REF!,"AAAAAHO2L9g=")</f>
        <v>#REF!</v>
      </c>
      <c r="HJ191" t="e">
        <f>AND(Bills!G801,"AAAAAHO2L9k=")</f>
        <v>#VALUE!</v>
      </c>
      <c r="HK191" t="e">
        <f>AND(Bills!H801,"AAAAAHO2L9o=")</f>
        <v>#VALUE!</v>
      </c>
      <c r="HL191" t="e">
        <f>AND(Bills!I801,"AAAAAHO2L9s=")</f>
        <v>#VALUE!</v>
      </c>
      <c r="HM191" t="e">
        <f>AND(Bills!J801,"AAAAAHO2L9w=")</f>
        <v>#VALUE!</v>
      </c>
      <c r="HN191" t="e">
        <f>AND(Bills!K801,"AAAAAHO2L90=")</f>
        <v>#VALUE!</v>
      </c>
      <c r="HO191" t="e">
        <f>AND(Bills!L801,"AAAAAHO2L94=")</f>
        <v>#VALUE!</v>
      </c>
      <c r="HP191" t="e">
        <f>AND(Bills!#REF!,"AAAAAHO2L98=")</f>
        <v>#REF!</v>
      </c>
      <c r="HQ191" t="e">
        <f>AND(Bills!M801,"AAAAAHO2L+A=")</f>
        <v>#VALUE!</v>
      </c>
      <c r="HR191" t="e">
        <f>AND(Bills!N801,"AAAAAHO2L+E=")</f>
        <v>#VALUE!</v>
      </c>
      <c r="HS191" t="e">
        <f>AND(Bills!O801,"AAAAAHO2L+I=")</f>
        <v>#VALUE!</v>
      </c>
      <c r="HT191" t="e">
        <f>AND(Bills!P801,"AAAAAHO2L+M=")</f>
        <v>#VALUE!</v>
      </c>
      <c r="HU191" t="e">
        <f>AND(Bills!Q801,"AAAAAHO2L+Q=")</f>
        <v>#VALUE!</v>
      </c>
      <c r="HV191" t="e">
        <f>AND(Bills!R801,"AAAAAHO2L+U=")</f>
        <v>#VALUE!</v>
      </c>
      <c r="HW191" t="e">
        <f>AND(Bills!S801,"AAAAAHO2L+Y=")</f>
        <v>#VALUE!</v>
      </c>
      <c r="HX191" t="e">
        <f>AND(Bills!T801,"AAAAAHO2L+c=")</f>
        <v>#VALUE!</v>
      </c>
      <c r="HY191" t="e">
        <f>AND(Bills!#REF!,"AAAAAHO2L+g=")</f>
        <v>#REF!</v>
      </c>
      <c r="HZ191" t="e">
        <f>AND(Bills!U801,"AAAAAHO2L+k=")</f>
        <v>#VALUE!</v>
      </c>
      <c r="IA191" t="e">
        <f>AND(Bills!V801,"AAAAAHO2L+o=")</f>
        <v>#VALUE!</v>
      </c>
      <c r="IB191" t="e">
        <f>AND(Bills!W801,"AAAAAHO2L+s=")</f>
        <v>#VALUE!</v>
      </c>
      <c r="IC191" t="e">
        <f>AND(Bills!#REF!,"AAAAAHO2L+w=")</f>
        <v>#REF!</v>
      </c>
      <c r="ID191" t="e">
        <f>AND(Bills!#REF!,"AAAAAHO2L+0=")</f>
        <v>#REF!</v>
      </c>
      <c r="IE191" t="e">
        <f>AND(Bills!Y801,"AAAAAHO2L+4=")</f>
        <v>#VALUE!</v>
      </c>
      <c r="IF191" t="e">
        <f>AND(Bills!Z801,"AAAAAHO2L+8=")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AND(Bills!AA801,"AAAAAHO2L/k=")</f>
        <v>#VALUE!</v>
      </c>
      <c r="IQ191" t="e">
        <f>AND(Bills!AB801,"AAAAAHO2L/o=")</f>
        <v>#VALUE!</v>
      </c>
      <c r="IR191" t="e">
        <f>AND(Bills!#REF!,"AAAAAHO2L/s=")</f>
        <v>#REF!</v>
      </c>
      <c r="IS191" t="e">
        <f>AND(Bills!#REF!,"AAAAAHO2L/w=")</f>
        <v>#REF!</v>
      </c>
      <c r="IT191" t="e">
        <f>AND(Bills!#REF!,"AAAAAHO2L/0=")</f>
        <v>#REF!</v>
      </c>
      <c r="IU191" t="e">
        <f>AND(Bills!AC801,"AAAAAHO2L/4=")</f>
        <v>#VALUE!</v>
      </c>
      <c r="IV191" t="e">
        <f>AND(Bills!AD801,"AAAAAHO2L/8=")</f>
        <v>#VALUE!</v>
      </c>
    </row>
    <row r="192" spans="1:256">
      <c r="A192" t="e">
        <f>AND(Bills!#REF!,"AAAAADtK9gA=")</f>
        <v>#REF!</v>
      </c>
      <c r="B192">
        <f>IF(Bills!802:802,"AAAAADtK9gE=",0)</f>
        <v>0</v>
      </c>
      <c r="C192" t="e">
        <f>AND(Bills!B802,"AAAAADtK9gI=")</f>
        <v>#VALUE!</v>
      </c>
      <c r="D192" t="e">
        <f>AND(Bills!#REF!,"AAAAADtK9gM=")</f>
        <v>#REF!</v>
      </c>
      <c r="E192" t="e">
        <f>AND(Bills!C802,"AAAAADtK9gQ=")</f>
        <v>#VALUE!</v>
      </c>
      <c r="F192" t="e">
        <f>AND(Bills!D802,"AAAAADtK9gU=")</f>
        <v>#VALUE!</v>
      </c>
      <c r="G192" t="e">
        <f>AND(Bills!E802,"AAAAADtK9gY=")</f>
        <v>#VALUE!</v>
      </c>
      <c r="H192" t="e">
        <f>AND(Bills!#REF!,"AAAAADtK9gc=")</f>
        <v>#REF!</v>
      </c>
      <c r="I192" t="e">
        <f>AND(Bills!#REF!,"AAAAADtK9gg=")</f>
        <v>#REF!</v>
      </c>
      <c r="J192" t="e">
        <f>AND(Bills!#REF!,"AAAAADtK9gk=")</f>
        <v>#REF!</v>
      </c>
      <c r="K192" t="e">
        <f>AND(Bills!F802,"AAAAADtK9go=")</f>
        <v>#VALUE!</v>
      </c>
      <c r="L192" t="e">
        <f>AND(Bills!#REF!,"AAAAADtK9gs=")</f>
        <v>#REF!</v>
      </c>
      <c r="M192" t="e">
        <f>AND(Bills!G802,"AAAAADtK9gw=")</f>
        <v>#VALUE!</v>
      </c>
      <c r="N192" t="e">
        <f>AND(Bills!H802,"AAAAADtK9g0=")</f>
        <v>#VALUE!</v>
      </c>
      <c r="O192" t="e">
        <f>AND(Bills!I802,"AAAAADtK9g4=")</f>
        <v>#VALUE!</v>
      </c>
      <c r="P192" t="e">
        <f>AND(Bills!J802,"AAAAADtK9g8=")</f>
        <v>#VALUE!</v>
      </c>
      <c r="Q192" t="e">
        <f>AND(Bills!K802,"AAAAADtK9hA=")</f>
        <v>#VALUE!</v>
      </c>
      <c r="R192" t="e">
        <f>AND(Bills!L802,"AAAAADtK9hE=")</f>
        <v>#VALUE!</v>
      </c>
      <c r="S192" t="e">
        <f>AND(Bills!#REF!,"AAAAADtK9hI=")</f>
        <v>#REF!</v>
      </c>
      <c r="T192" t="e">
        <f>AND(Bills!M802,"AAAAADtK9hM=")</f>
        <v>#VALUE!</v>
      </c>
      <c r="U192" t="e">
        <f>AND(Bills!N802,"AAAAADtK9hQ=")</f>
        <v>#VALUE!</v>
      </c>
      <c r="V192" t="e">
        <f>AND(Bills!O802,"AAAAADtK9hU=")</f>
        <v>#VALUE!</v>
      </c>
      <c r="W192" t="e">
        <f>AND(Bills!P802,"AAAAADtK9hY=")</f>
        <v>#VALUE!</v>
      </c>
      <c r="X192" t="e">
        <f>AND(Bills!Q802,"AAAAADtK9hc=")</f>
        <v>#VALUE!</v>
      </c>
      <c r="Y192" t="e">
        <f>AND(Bills!R802,"AAAAADtK9hg=")</f>
        <v>#VALUE!</v>
      </c>
      <c r="Z192" t="e">
        <f>AND(Bills!S802,"AAAAADtK9hk=")</f>
        <v>#VALUE!</v>
      </c>
      <c r="AA192" t="e">
        <f>AND(Bills!T802,"AAAAADtK9ho=")</f>
        <v>#VALUE!</v>
      </c>
      <c r="AB192" t="e">
        <f>AND(Bills!#REF!,"AAAAADtK9hs=")</f>
        <v>#REF!</v>
      </c>
      <c r="AC192" t="e">
        <f>AND(Bills!U802,"AAAAADtK9hw=")</f>
        <v>#VALUE!</v>
      </c>
      <c r="AD192" t="e">
        <f>AND(Bills!V802,"AAAAADtK9h0=")</f>
        <v>#VALUE!</v>
      </c>
      <c r="AE192" t="e">
        <f>AND(Bills!W802,"AAAAADtK9h4=")</f>
        <v>#VALUE!</v>
      </c>
      <c r="AF192" t="e">
        <f>AND(Bills!#REF!,"AAAAADtK9h8=")</f>
        <v>#REF!</v>
      </c>
      <c r="AG192" t="e">
        <f>AND(Bills!#REF!,"AAAAADtK9iA=")</f>
        <v>#REF!</v>
      </c>
      <c r="AH192" t="e">
        <f>AND(Bills!Y802,"AAAAADtK9iE=")</f>
        <v>#VALUE!</v>
      </c>
      <c r="AI192" t="e">
        <f>AND(Bills!Z802,"AAAAADtK9iI=")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AND(Bills!AA802,"AAAAADtK9iw=")</f>
        <v>#VALUE!</v>
      </c>
      <c r="AT192" t="e">
        <f>AND(Bills!AB802,"AAAAADtK9i0=")</f>
        <v>#VALUE!</v>
      </c>
      <c r="AU192" t="e">
        <f>AND(Bills!#REF!,"AAAAADtK9i4=")</f>
        <v>#REF!</v>
      </c>
      <c r="AV192" t="e">
        <f>AND(Bills!#REF!,"AAAAADtK9i8=")</f>
        <v>#REF!</v>
      </c>
      <c r="AW192" t="e">
        <f>AND(Bills!#REF!,"AAAAADtK9jA=")</f>
        <v>#REF!</v>
      </c>
      <c r="AX192" t="e">
        <f>AND(Bills!AC802,"AAAAADtK9jE=")</f>
        <v>#VALUE!</v>
      </c>
      <c r="AY192" t="e">
        <f>AND(Bills!AD802,"AAAAADtK9jI=")</f>
        <v>#VALUE!</v>
      </c>
      <c r="AZ192" t="e">
        <f>AND(Bills!#REF!,"AAAAADtK9jM=")</f>
        <v>#REF!</v>
      </c>
      <c r="BA192">
        <f>IF(Bills!803:803,"AAAAADtK9jQ=",0)</f>
        <v>0</v>
      </c>
      <c r="BB192" t="e">
        <f>AND(Bills!B803,"AAAAADtK9jU=")</f>
        <v>#VALUE!</v>
      </c>
      <c r="BC192" t="e">
        <f>AND(Bills!#REF!,"AAAAADtK9jY=")</f>
        <v>#REF!</v>
      </c>
      <c r="BD192" t="e">
        <f>AND(Bills!C803,"AAAAADtK9jc=")</f>
        <v>#VALUE!</v>
      </c>
      <c r="BE192" t="e">
        <f>AND(Bills!D803,"AAAAADtK9jg=")</f>
        <v>#VALUE!</v>
      </c>
      <c r="BF192" t="e">
        <f>AND(Bills!E803,"AAAAADtK9jk=")</f>
        <v>#VALUE!</v>
      </c>
      <c r="BG192" t="e">
        <f>AND(Bills!#REF!,"AAAAADtK9jo=")</f>
        <v>#REF!</v>
      </c>
      <c r="BH192" t="e">
        <f>AND(Bills!#REF!,"AAAAADtK9js=")</f>
        <v>#REF!</v>
      </c>
      <c r="BI192" t="e">
        <f>AND(Bills!#REF!,"AAAAADtK9jw=")</f>
        <v>#REF!</v>
      </c>
      <c r="BJ192" t="e">
        <f>AND(Bills!F803,"AAAAADtK9j0=")</f>
        <v>#VALUE!</v>
      </c>
      <c r="BK192" t="e">
        <f>AND(Bills!#REF!,"AAAAADtK9j4=")</f>
        <v>#REF!</v>
      </c>
      <c r="BL192" t="e">
        <f>AND(Bills!G803,"AAAAADtK9j8=")</f>
        <v>#VALUE!</v>
      </c>
      <c r="BM192" t="e">
        <f>AND(Bills!H803,"AAAAADtK9kA=")</f>
        <v>#VALUE!</v>
      </c>
      <c r="BN192" t="e">
        <f>AND(Bills!I803,"AAAAADtK9kE=")</f>
        <v>#VALUE!</v>
      </c>
      <c r="BO192" t="e">
        <f>AND(Bills!J803,"AAAAADtK9kI=")</f>
        <v>#VALUE!</v>
      </c>
      <c r="BP192" t="e">
        <f>AND(Bills!K803,"AAAAADtK9kM=")</f>
        <v>#VALUE!</v>
      </c>
      <c r="BQ192" t="e">
        <f>AND(Bills!L803,"AAAAADtK9kQ=")</f>
        <v>#VALUE!</v>
      </c>
      <c r="BR192" t="e">
        <f>AND(Bills!#REF!,"AAAAADtK9kU=")</f>
        <v>#REF!</v>
      </c>
      <c r="BS192" t="e">
        <f>AND(Bills!M803,"AAAAADtK9kY=")</f>
        <v>#VALUE!</v>
      </c>
      <c r="BT192" t="e">
        <f>AND(Bills!N803,"AAAAADtK9kc=")</f>
        <v>#VALUE!</v>
      </c>
      <c r="BU192" t="e">
        <f>AND(Bills!O803,"AAAAADtK9kg=")</f>
        <v>#VALUE!</v>
      </c>
      <c r="BV192" t="e">
        <f>AND(Bills!P803,"AAAAADtK9kk=")</f>
        <v>#VALUE!</v>
      </c>
      <c r="BW192" t="e">
        <f>AND(Bills!Q803,"AAAAADtK9ko=")</f>
        <v>#VALUE!</v>
      </c>
      <c r="BX192" t="e">
        <f>AND(Bills!R803,"AAAAADtK9ks=")</f>
        <v>#VALUE!</v>
      </c>
      <c r="BY192" t="e">
        <f>AND(Bills!S803,"AAAAADtK9kw=")</f>
        <v>#VALUE!</v>
      </c>
      <c r="BZ192" t="e">
        <f>AND(Bills!T803,"AAAAADtK9k0=")</f>
        <v>#VALUE!</v>
      </c>
      <c r="CA192" t="e">
        <f>AND(Bills!#REF!,"AAAAADtK9k4=")</f>
        <v>#REF!</v>
      </c>
      <c r="CB192" t="e">
        <f>AND(Bills!U803,"AAAAADtK9k8=")</f>
        <v>#VALUE!</v>
      </c>
      <c r="CC192" t="e">
        <f>AND(Bills!V803,"AAAAADtK9lA=")</f>
        <v>#VALUE!</v>
      </c>
      <c r="CD192" t="e">
        <f>AND(Bills!W803,"AAAAADtK9lE=")</f>
        <v>#VALUE!</v>
      </c>
      <c r="CE192" t="e">
        <f>AND(Bills!#REF!,"AAAAADtK9lI=")</f>
        <v>#REF!</v>
      </c>
      <c r="CF192" t="e">
        <f>AND(Bills!#REF!,"AAAAADtK9lM=")</f>
        <v>#REF!</v>
      </c>
      <c r="CG192" t="e">
        <f>AND(Bills!Y803,"AAAAADtK9lQ=")</f>
        <v>#VALUE!</v>
      </c>
      <c r="CH192" t="e">
        <f>AND(Bills!Z803,"AAAAADtK9lU=")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AND(Bills!AA803,"AAAAADtK9l8=")</f>
        <v>#VALUE!</v>
      </c>
      <c r="CS192" t="e">
        <f>AND(Bills!AB803,"AAAAADtK9mA=")</f>
        <v>#VALUE!</v>
      </c>
      <c r="CT192" t="e">
        <f>AND(Bills!#REF!,"AAAAADtK9mE=")</f>
        <v>#REF!</v>
      </c>
      <c r="CU192" t="e">
        <f>AND(Bills!#REF!,"AAAAADtK9mI=")</f>
        <v>#REF!</v>
      </c>
      <c r="CV192" t="e">
        <f>AND(Bills!#REF!,"AAAAADtK9mM=")</f>
        <v>#REF!</v>
      </c>
      <c r="CW192" t="e">
        <f>AND(Bills!AC803,"AAAAADtK9mQ=")</f>
        <v>#VALUE!</v>
      </c>
      <c r="CX192" t="e">
        <f>AND(Bills!AD803,"AAAAADtK9mU=")</f>
        <v>#VALUE!</v>
      </c>
      <c r="CY192" t="e">
        <f>AND(Bills!#REF!,"AAAAADtK9mY=")</f>
        <v>#REF!</v>
      </c>
      <c r="CZ192">
        <f>IF(Bills!804:804,"AAAAADtK9mc=",0)</f>
        <v>0</v>
      </c>
      <c r="DA192" t="e">
        <f>AND(Bills!B804,"AAAAADtK9mg=")</f>
        <v>#VALUE!</v>
      </c>
      <c r="DB192" t="e">
        <f>AND(Bills!#REF!,"AAAAADtK9mk=")</f>
        <v>#REF!</v>
      </c>
      <c r="DC192" t="e">
        <f>AND(Bills!C804,"AAAAADtK9mo=")</f>
        <v>#VALUE!</v>
      </c>
      <c r="DD192" t="e">
        <f>AND(Bills!D804,"AAAAADtK9ms=")</f>
        <v>#VALUE!</v>
      </c>
      <c r="DE192" t="e">
        <f>AND(Bills!E804,"AAAAADtK9mw=")</f>
        <v>#VALUE!</v>
      </c>
      <c r="DF192" t="e">
        <f>AND(Bills!#REF!,"AAAAADtK9m0=")</f>
        <v>#REF!</v>
      </c>
      <c r="DG192" t="e">
        <f>AND(Bills!#REF!,"AAAAADtK9m4=")</f>
        <v>#REF!</v>
      </c>
      <c r="DH192" t="e">
        <f>AND(Bills!#REF!,"AAAAADtK9m8=")</f>
        <v>#REF!</v>
      </c>
      <c r="DI192" t="e">
        <f>AND(Bills!F804,"AAAAADtK9nA=")</f>
        <v>#VALUE!</v>
      </c>
      <c r="DJ192" t="e">
        <f>AND(Bills!#REF!,"AAAAADtK9nE=")</f>
        <v>#REF!</v>
      </c>
      <c r="DK192" t="e">
        <f>AND(Bills!G804,"AAAAADtK9nI=")</f>
        <v>#VALUE!</v>
      </c>
      <c r="DL192" t="e">
        <f>AND(Bills!H804,"AAAAADtK9nM=")</f>
        <v>#VALUE!</v>
      </c>
      <c r="DM192" t="e">
        <f>AND(Bills!I804,"AAAAADtK9nQ=")</f>
        <v>#VALUE!</v>
      </c>
      <c r="DN192" t="e">
        <f>AND(Bills!J804,"AAAAADtK9nU=")</f>
        <v>#VALUE!</v>
      </c>
      <c r="DO192" t="e">
        <f>AND(Bills!K804,"AAAAADtK9nY=")</f>
        <v>#VALUE!</v>
      </c>
      <c r="DP192" t="e">
        <f>AND(Bills!L804,"AAAAADtK9nc=")</f>
        <v>#VALUE!</v>
      </c>
      <c r="DQ192" t="e">
        <f>AND(Bills!#REF!,"AAAAADtK9ng=")</f>
        <v>#REF!</v>
      </c>
      <c r="DR192" t="e">
        <f>AND(Bills!M804,"AAAAADtK9nk=")</f>
        <v>#VALUE!</v>
      </c>
      <c r="DS192" t="e">
        <f>AND(Bills!N804,"AAAAADtK9no=")</f>
        <v>#VALUE!</v>
      </c>
      <c r="DT192" t="e">
        <f>AND(Bills!O804,"AAAAADtK9ns=")</f>
        <v>#VALUE!</v>
      </c>
      <c r="DU192" t="e">
        <f>AND(Bills!P804,"AAAAADtK9nw=")</f>
        <v>#VALUE!</v>
      </c>
      <c r="DV192" t="e">
        <f>AND(Bills!Q804,"AAAAADtK9n0=")</f>
        <v>#VALUE!</v>
      </c>
      <c r="DW192" t="e">
        <f>AND(Bills!R804,"AAAAADtK9n4=")</f>
        <v>#VALUE!</v>
      </c>
      <c r="DX192" t="e">
        <f>AND(Bills!S804,"AAAAADtK9n8=")</f>
        <v>#VALUE!</v>
      </c>
      <c r="DY192" t="e">
        <f>AND(Bills!T804,"AAAAADtK9oA=")</f>
        <v>#VALUE!</v>
      </c>
      <c r="DZ192" t="e">
        <f>AND(Bills!#REF!,"AAAAADtK9oE=")</f>
        <v>#REF!</v>
      </c>
      <c r="EA192" t="e">
        <f>AND(Bills!U804,"AAAAADtK9oI=")</f>
        <v>#VALUE!</v>
      </c>
      <c r="EB192" t="e">
        <f>AND(Bills!V804,"AAAAADtK9oM=")</f>
        <v>#VALUE!</v>
      </c>
      <c r="EC192" t="e">
        <f>AND(Bills!W804,"AAAAADtK9oQ=")</f>
        <v>#VALUE!</v>
      </c>
      <c r="ED192" t="e">
        <f>AND(Bills!#REF!,"AAAAADtK9oU=")</f>
        <v>#REF!</v>
      </c>
      <c r="EE192" t="e">
        <f>AND(Bills!#REF!,"AAAAADtK9oY=")</f>
        <v>#REF!</v>
      </c>
      <c r="EF192" t="e">
        <f>AND(Bills!Y804,"AAAAADtK9oc=")</f>
        <v>#VALUE!</v>
      </c>
      <c r="EG192" t="e">
        <f>AND(Bills!Z804,"AAAAADtK9og=")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AND(Bills!AA804,"AAAAADtK9pI=")</f>
        <v>#VALUE!</v>
      </c>
      <c r="ER192" t="e">
        <f>AND(Bills!AB804,"AAAAADtK9pM=")</f>
        <v>#VALUE!</v>
      </c>
      <c r="ES192" t="e">
        <f>AND(Bills!#REF!,"AAAAADtK9pQ=")</f>
        <v>#REF!</v>
      </c>
      <c r="ET192" t="e">
        <f>AND(Bills!#REF!,"AAAAADtK9pU=")</f>
        <v>#REF!</v>
      </c>
      <c r="EU192" t="e">
        <f>AND(Bills!#REF!,"AAAAADtK9pY=")</f>
        <v>#REF!</v>
      </c>
      <c r="EV192" t="e">
        <f>AND(Bills!AC804,"AAAAADtK9pc=")</f>
        <v>#VALUE!</v>
      </c>
      <c r="EW192" t="e">
        <f>AND(Bills!AD804,"AAAAADtK9pg=")</f>
        <v>#VALUE!</v>
      </c>
      <c r="EX192" t="e">
        <f>AND(Bills!#REF!,"AAAAADtK9pk=")</f>
        <v>#REF!</v>
      </c>
      <c r="EY192">
        <f>IF(Bills!805:805,"AAAAADtK9po=",0)</f>
        <v>0</v>
      </c>
      <c r="EZ192" t="e">
        <f>AND(Bills!B805,"AAAAADtK9ps=")</f>
        <v>#VALUE!</v>
      </c>
      <c r="FA192" t="e">
        <f>AND(Bills!#REF!,"AAAAADtK9pw=")</f>
        <v>#REF!</v>
      </c>
      <c r="FB192" t="e">
        <f>AND(Bills!C805,"AAAAADtK9p0=")</f>
        <v>#VALUE!</v>
      </c>
      <c r="FC192" t="e">
        <f>AND(Bills!D805,"AAAAADtK9p4=")</f>
        <v>#VALUE!</v>
      </c>
      <c r="FD192" t="e">
        <f>AND(Bills!E805,"AAAAADtK9p8=")</f>
        <v>#VALUE!</v>
      </c>
      <c r="FE192" t="e">
        <f>AND(Bills!#REF!,"AAAAADtK9qA=")</f>
        <v>#REF!</v>
      </c>
      <c r="FF192" t="e">
        <f>AND(Bills!#REF!,"AAAAADtK9qE=")</f>
        <v>#REF!</v>
      </c>
      <c r="FG192" t="e">
        <f>AND(Bills!#REF!,"AAAAADtK9qI=")</f>
        <v>#REF!</v>
      </c>
      <c r="FH192" t="e">
        <f>AND(Bills!F805,"AAAAADtK9qM=")</f>
        <v>#VALUE!</v>
      </c>
      <c r="FI192" t="e">
        <f>AND(Bills!#REF!,"AAAAADtK9qQ=")</f>
        <v>#REF!</v>
      </c>
      <c r="FJ192" t="e">
        <f>AND(Bills!G805,"AAAAADtK9qU=")</f>
        <v>#VALUE!</v>
      </c>
      <c r="FK192" t="e">
        <f>AND(Bills!H805,"AAAAADtK9qY=")</f>
        <v>#VALUE!</v>
      </c>
      <c r="FL192" t="e">
        <f>AND(Bills!I805,"AAAAADtK9qc=")</f>
        <v>#VALUE!</v>
      </c>
      <c r="FM192" t="e">
        <f>AND(Bills!J805,"AAAAADtK9qg=")</f>
        <v>#VALUE!</v>
      </c>
      <c r="FN192" t="e">
        <f>AND(Bills!K805,"AAAAADtK9qk=")</f>
        <v>#VALUE!</v>
      </c>
      <c r="FO192" t="e">
        <f>AND(Bills!L805,"AAAAADtK9qo=")</f>
        <v>#VALUE!</v>
      </c>
      <c r="FP192" t="e">
        <f>AND(Bills!#REF!,"AAAAADtK9qs=")</f>
        <v>#REF!</v>
      </c>
      <c r="FQ192" t="e">
        <f>AND(Bills!M805,"AAAAADtK9qw=")</f>
        <v>#VALUE!</v>
      </c>
      <c r="FR192" t="e">
        <f>AND(Bills!N805,"AAAAADtK9q0=")</f>
        <v>#VALUE!</v>
      </c>
      <c r="FS192" t="e">
        <f>AND(Bills!O805,"AAAAADtK9q4=")</f>
        <v>#VALUE!</v>
      </c>
      <c r="FT192" t="e">
        <f>AND(Bills!P805,"AAAAADtK9q8=")</f>
        <v>#VALUE!</v>
      </c>
      <c r="FU192" t="e">
        <f>AND(Bills!Q805,"AAAAADtK9rA=")</f>
        <v>#VALUE!</v>
      </c>
      <c r="FV192" t="e">
        <f>AND(Bills!R805,"AAAAADtK9rE=")</f>
        <v>#VALUE!</v>
      </c>
      <c r="FW192" t="e">
        <f>AND(Bills!S805,"AAAAADtK9rI=")</f>
        <v>#VALUE!</v>
      </c>
      <c r="FX192" t="e">
        <f>AND(Bills!T805,"AAAAADtK9rM=")</f>
        <v>#VALUE!</v>
      </c>
      <c r="FY192" t="e">
        <f>AND(Bills!#REF!,"AAAAADtK9rQ=")</f>
        <v>#REF!</v>
      </c>
      <c r="FZ192" t="e">
        <f>AND(Bills!U805,"AAAAADtK9rU=")</f>
        <v>#VALUE!</v>
      </c>
      <c r="GA192" t="e">
        <f>AND(Bills!V805,"AAAAADtK9rY=")</f>
        <v>#VALUE!</v>
      </c>
      <c r="GB192" t="e">
        <f>AND(Bills!W805,"AAAAADtK9rc=")</f>
        <v>#VALUE!</v>
      </c>
      <c r="GC192" t="e">
        <f>AND(Bills!#REF!,"AAAAADtK9rg=")</f>
        <v>#REF!</v>
      </c>
      <c r="GD192" t="e">
        <f>AND(Bills!#REF!,"AAAAADtK9rk=")</f>
        <v>#REF!</v>
      </c>
      <c r="GE192" t="e">
        <f>AND(Bills!Y805,"AAAAADtK9ro=")</f>
        <v>#VALUE!</v>
      </c>
      <c r="GF192" t="e">
        <f>AND(Bills!Z805,"AAAAADtK9rs=")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AND(Bills!AA805,"AAAAADtK9sU=")</f>
        <v>#VALUE!</v>
      </c>
      <c r="GQ192" t="e">
        <f>AND(Bills!AB805,"AAAAADtK9sY=")</f>
        <v>#VALUE!</v>
      </c>
      <c r="GR192" t="e">
        <f>AND(Bills!#REF!,"AAAAADtK9sc=")</f>
        <v>#REF!</v>
      </c>
      <c r="GS192" t="e">
        <f>AND(Bills!#REF!,"AAAAADtK9sg=")</f>
        <v>#REF!</v>
      </c>
      <c r="GT192" t="e">
        <f>AND(Bills!#REF!,"AAAAADtK9sk=")</f>
        <v>#REF!</v>
      </c>
      <c r="GU192" t="e">
        <f>AND(Bills!AC805,"AAAAADtK9so=")</f>
        <v>#VALUE!</v>
      </c>
      <c r="GV192" t="e">
        <f>AND(Bills!AD805,"AAAAADtK9ss=")</f>
        <v>#VALUE!</v>
      </c>
      <c r="GW192" t="e">
        <f>AND(Bills!#REF!,"AAAAADtK9sw=")</f>
        <v>#REF!</v>
      </c>
      <c r="GX192">
        <f>IF(Bills!806:806,"AAAAADtK9s0=",0)</f>
        <v>0</v>
      </c>
      <c r="GY192" t="e">
        <f>AND(Bills!B806,"AAAAADtK9s4=")</f>
        <v>#VALUE!</v>
      </c>
      <c r="GZ192" t="e">
        <f>AND(Bills!#REF!,"AAAAADtK9s8=")</f>
        <v>#REF!</v>
      </c>
      <c r="HA192" t="e">
        <f>AND(Bills!C806,"AAAAADtK9tA=")</f>
        <v>#VALUE!</v>
      </c>
      <c r="HB192" t="e">
        <f>AND(Bills!D806,"AAAAADtK9tE=")</f>
        <v>#VALUE!</v>
      </c>
      <c r="HC192" t="e">
        <f>AND(Bills!E806,"AAAAADtK9tI=")</f>
        <v>#VALUE!</v>
      </c>
      <c r="HD192" t="e">
        <f>AND(Bills!#REF!,"AAAAADtK9tM=")</f>
        <v>#REF!</v>
      </c>
      <c r="HE192" t="e">
        <f>AND(Bills!#REF!,"AAAAADtK9tQ=")</f>
        <v>#REF!</v>
      </c>
      <c r="HF192" t="e">
        <f>AND(Bills!#REF!,"AAAAADtK9tU=")</f>
        <v>#REF!</v>
      </c>
      <c r="HG192" t="e">
        <f>AND(Bills!F806,"AAAAADtK9tY=")</f>
        <v>#VALUE!</v>
      </c>
      <c r="HH192" t="e">
        <f>AND(Bills!#REF!,"AAAAADtK9tc=")</f>
        <v>#REF!</v>
      </c>
      <c r="HI192" t="e">
        <f>AND(Bills!G806,"AAAAADtK9tg=")</f>
        <v>#VALUE!</v>
      </c>
      <c r="HJ192" t="e">
        <f>AND(Bills!H806,"AAAAADtK9tk=")</f>
        <v>#VALUE!</v>
      </c>
      <c r="HK192" t="e">
        <f>AND(Bills!I806,"AAAAADtK9to=")</f>
        <v>#VALUE!</v>
      </c>
      <c r="HL192" t="e">
        <f>AND(Bills!J806,"AAAAADtK9ts=")</f>
        <v>#VALUE!</v>
      </c>
      <c r="HM192" t="e">
        <f>AND(Bills!K806,"AAAAADtK9tw=")</f>
        <v>#VALUE!</v>
      </c>
      <c r="HN192" t="e">
        <f>AND(Bills!L806,"AAAAADtK9t0=")</f>
        <v>#VALUE!</v>
      </c>
      <c r="HO192" t="e">
        <f>AND(Bills!#REF!,"AAAAADtK9t4=")</f>
        <v>#REF!</v>
      </c>
      <c r="HP192" t="e">
        <f>AND(Bills!M806,"AAAAADtK9t8=")</f>
        <v>#VALUE!</v>
      </c>
      <c r="HQ192" t="e">
        <f>AND(Bills!N806,"AAAAADtK9uA=")</f>
        <v>#VALUE!</v>
      </c>
      <c r="HR192" t="e">
        <f>AND(Bills!O806,"AAAAADtK9uE=")</f>
        <v>#VALUE!</v>
      </c>
      <c r="HS192" t="e">
        <f>AND(Bills!P806,"AAAAADtK9uI=")</f>
        <v>#VALUE!</v>
      </c>
      <c r="HT192" t="e">
        <f>AND(Bills!Q806,"AAAAADtK9uM=")</f>
        <v>#VALUE!</v>
      </c>
      <c r="HU192" t="e">
        <f>AND(Bills!R806,"AAAAADtK9uQ=")</f>
        <v>#VALUE!</v>
      </c>
      <c r="HV192" t="e">
        <f>AND(Bills!S806,"AAAAADtK9uU=")</f>
        <v>#VALUE!</v>
      </c>
      <c r="HW192" t="e">
        <f>AND(Bills!T806,"AAAAADtK9uY=")</f>
        <v>#VALUE!</v>
      </c>
      <c r="HX192" t="e">
        <f>AND(Bills!#REF!,"AAAAADtK9uc=")</f>
        <v>#REF!</v>
      </c>
      <c r="HY192" t="e">
        <f>AND(Bills!U806,"AAAAADtK9ug=")</f>
        <v>#VALUE!</v>
      </c>
      <c r="HZ192" t="e">
        <f>AND(Bills!V806,"AAAAADtK9uk=")</f>
        <v>#VALUE!</v>
      </c>
      <c r="IA192" t="e">
        <f>AND(Bills!W806,"AAAAADtK9uo=")</f>
        <v>#VALUE!</v>
      </c>
      <c r="IB192" t="e">
        <f>AND(Bills!#REF!,"AAAAADtK9us=")</f>
        <v>#REF!</v>
      </c>
      <c r="IC192" t="e">
        <f>AND(Bills!#REF!,"AAAAADtK9uw=")</f>
        <v>#REF!</v>
      </c>
      <c r="ID192" t="e">
        <f>AND(Bills!Y806,"AAAAADtK9u0=")</f>
        <v>#VALUE!</v>
      </c>
      <c r="IE192" t="e">
        <f>AND(Bills!Z806,"AAAAADtK9u4=")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AND(Bills!AA806,"AAAAADtK9vg=")</f>
        <v>#VALUE!</v>
      </c>
      <c r="IP192" t="e">
        <f>AND(Bills!AB806,"AAAAADtK9vk=")</f>
        <v>#VALUE!</v>
      </c>
      <c r="IQ192" t="e">
        <f>AND(Bills!#REF!,"AAAAADtK9vo=")</f>
        <v>#REF!</v>
      </c>
      <c r="IR192" t="e">
        <f>AND(Bills!#REF!,"AAAAADtK9vs=")</f>
        <v>#REF!</v>
      </c>
      <c r="IS192" t="e">
        <f>AND(Bills!#REF!,"AAAAADtK9vw=")</f>
        <v>#REF!</v>
      </c>
      <c r="IT192" t="e">
        <f>AND(Bills!AC806,"AAAAADtK9v0=")</f>
        <v>#VALUE!</v>
      </c>
      <c r="IU192" t="e">
        <f>AND(Bills!AD806,"AAAAADtK9v4=")</f>
        <v>#VALUE!</v>
      </c>
      <c r="IV192" t="e">
        <f>AND(Bills!#REF!,"AAAAADtK9v8=")</f>
        <v>#REF!</v>
      </c>
    </row>
    <row r="193" spans="1:256">
      <c r="A193">
        <f>IF(Bills!807:807,"AAAAAHl+fQA=",0)</f>
        <v>0</v>
      </c>
      <c r="B193" t="e">
        <f>AND(Bills!B807,"AAAAAHl+fQE=")</f>
        <v>#VALUE!</v>
      </c>
      <c r="C193" t="e">
        <f>AND(Bills!#REF!,"AAAAAHl+fQI=")</f>
        <v>#REF!</v>
      </c>
      <c r="D193" t="e">
        <f>AND(Bills!C807,"AAAAAHl+fQM=")</f>
        <v>#VALUE!</v>
      </c>
      <c r="E193" t="e">
        <f>AND(Bills!D807,"AAAAAHl+fQQ=")</f>
        <v>#VALUE!</v>
      </c>
      <c r="F193" t="e">
        <f>AND(Bills!E807,"AAAAAHl+fQU=")</f>
        <v>#VALUE!</v>
      </c>
      <c r="G193" t="e">
        <f>AND(Bills!#REF!,"AAAAAHl+fQY=")</f>
        <v>#REF!</v>
      </c>
      <c r="H193" t="e">
        <f>AND(Bills!#REF!,"AAAAAHl+fQc=")</f>
        <v>#REF!</v>
      </c>
      <c r="I193" t="e">
        <f>AND(Bills!#REF!,"AAAAAHl+fQg=")</f>
        <v>#REF!</v>
      </c>
      <c r="J193" t="e">
        <f>AND(Bills!F807,"AAAAAHl+fQk=")</f>
        <v>#VALUE!</v>
      </c>
      <c r="K193" t="e">
        <f>AND(Bills!#REF!,"AAAAAHl+fQo=")</f>
        <v>#REF!</v>
      </c>
      <c r="L193" t="e">
        <f>AND(Bills!G807,"AAAAAHl+fQs=")</f>
        <v>#VALUE!</v>
      </c>
      <c r="M193" t="e">
        <f>AND(Bills!H807,"AAAAAHl+fQw=")</f>
        <v>#VALUE!</v>
      </c>
      <c r="N193" t="e">
        <f>AND(Bills!I807,"AAAAAHl+fQ0=")</f>
        <v>#VALUE!</v>
      </c>
      <c r="O193" t="e">
        <f>AND(Bills!J807,"AAAAAHl+fQ4=")</f>
        <v>#VALUE!</v>
      </c>
      <c r="P193" t="e">
        <f>AND(Bills!K807,"AAAAAHl+fQ8=")</f>
        <v>#VALUE!</v>
      </c>
      <c r="Q193" t="e">
        <f>AND(Bills!L807,"AAAAAHl+fRA=")</f>
        <v>#VALUE!</v>
      </c>
      <c r="R193" t="e">
        <f>AND(Bills!#REF!,"AAAAAHl+fRE=")</f>
        <v>#REF!</v>
      </c>
      <c r="S193" t="e">
        <f>AND(Bills!M807,"AAAAAHl+fRI=")</f>
        <v>#VALUE!</v>
      </c>
      <c r="T193" t="e">
        <f>AND(Bills!N807,"AAAAAHl+fRM=")</f>
        <v>#VALUE!</v>
      </c>
      <c r="U193" t="e">
        <f>AND(Bills!O807,"AAAAAHl+fRQ=")</f>
        <v>#VALUE!</v>
      </c>
      <c r="V193" t="e">
        <f>AND(Bills!P807,"AAAAAHl+fRU=")</f>
        <v>#VALUE!</v>
      </c>
      <c r="W193" t="e">
        <f>AND(Bills!Q807,"AAAAAHl+fRY=")</f>
        <v>#VALUE!</v>
      </c>
      <c r="X193" t="e">
        <f>AND(Bills!R807,"AAAAAHl+fRc=")</f>
        <v>#VALUE!</v>
      </c>
      <c r="Y193" t="e">
        <f>AND(Bills!S807,"AAAAAHl+fRg=")</f>
        <v>#VALUE!</v>
      </c>
      <c r="Z193" t="e">
        <f>AND(Bills!T807,"AAAAAHl+fRk=")</f>
        <v>#VALUE!</v>
      </c>
      <c r="AA193" t="e">
        <f>AND(Bills!#REF!,"AAAAAHl+fRo=")</f>
        <v>#REF!</v>
      </c>
      <c r="AB193" t="e">
        <f>AND(Bills!U807,"AAAAAHl+fRs=")</f>
        <v>#VALUE!</v>
      </c>
      <c r="AC193" t="e">
        <f>AND(Bills!V807,"AAAAAHl+fRw=")</f>
        <v>#VALUE!</v>
      </c>
      <c r="AD193" t="e">
        <f>AND(Bills!W807,"AAAAAHl+fR0=")</f>
        <v>#VALUE!</v>
      </c>
      <c r="AE193" t="e">
        <f>AND(Bills!#REF!,"AAAAAHl+fR4=")</f>
        <v>#REF!</v>
      </c>
      <c r="AF193" t="e">
        <f>AND(Bills!#REF!,"AAAAAHl+fR8=")</f>
        <v>#REF!</v>
      </c>
      <c r="AG193" t="e">
        <f>AND(Bills!Y807,"AAAAAHl+fSA=")</f>
        <v>#VALUE!</v>
      </c>
      <c r="AH193" t="e">
        <f>AND(Bills!Z807,"AAAAAHl+fSE=")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AND(Bills!AA807,"AAAAAHl+fSs=")</f>
        <v>#VALUE!</v>
      </c>
      <c r="AS193" t="e">
        <f>AND(Bills!AB807,"AAAAAHl+fSw=")</f>
        <v>#VALUE!</v>
      </c>
      <c r="AT193" t="e">
        <f>AND(Bills!#REF!,"AAAAAHl+fS0=")</f>
        <v>#REF!</v>
      </c>
      <c r="AU193" t="e">
        <f>AND(Bills!#REF!,"AAAAAHl+fS4=")</f>
        <v>#REF!</v>
      </c>
      <c r="AV193" t="e">
        <f>AND(Bills!#REF!,"AAAAAHl+fS8=")</f>
        <v>#REF!</v>
      </c>
      <c r="AW193" t="e">
        <f>AND(Bills!AC807,"AAAAAHl+fTA=")</f>
        <v>#VALUE!</v>
      </c>
      <c r="AX193" t="e">
        <f>AND(Bills!AD807,"AAAAAHl+fTE=")</f>
        <v>#VALUE!</v>
      </c>
      <c r="AY193" t="e">
        <f>AND(Bills!#REF!,"AAAAAHl+fTI=")</f>
        <v>#REF!</v>
      </c>
      <c r="AZ193">
        <f>IF(Bills!808:808,"AAAAAHl+fTM=",0)</f>
        <v>0</v>
      </c>
      <c r="BA193" t="e">
        <f>AND(Bills!B808,"AAAAAHl+fTQ=")</f>
        <v>#VALUE!</v>
      </c>
      <c r="BB193" t="e">
        <f>AND(Bills!#REF!,"AAAAAHl+fTU=")</f>
        <v>#REF!</v>
      </c>
      <c r="BC193" t="e">
        <f>AND(Bills!C808,"AAAAAHl+fTY=")</f>
        <v>#VALUE!</v>
      </c>
      <c r="BD193" t="e">
        <f>AND(Bills!D808,"AAAAAHl+fTc=")</f>
        <v>#VALUE!</v>
      </c>
      <c r="BE193" t="e">
        <f>AND(Bills!E808,"AAAAAHl+fTg=")</f>
        <v>#VALUE!</v>
      </c>
      <c r="BF193" t="e">
        <f>AND(Bills!#REF!,"AAAAAHl+fTk=")</f>
        <v>#REF!</v>
      </c>
      <c r="BG193" t="e">
        <f>AND(Bills!#REF!,"AAAAAHl+fTo=")</f>
        <v>#REF!</v>
      </c>
      <c r="BH193" t="e">
        <f>AND(Bills!#REF!,"AAAAAHl+fTs=")</f>
        <v>#REF!</v>
      </c>
      <c r="BI193" t="e">
        <f>AND(Bills!F808,"AAAAAHl+fTw=")</f>
        <v>#VALUE!</v>
      </c>
      <c r="BJ193" t="e">
        <f>AND(Bills!#REF!,"AAAAAHl+fT0=")</f>
        <v>#REF!</v>
      </c>
      <c r="BK193" t="e">
        <f>AND(Bills!G808,"AAAAAHl+fT4=")</f>
        <v>#VALUE!</v>
      </c>
      <c r="BL193" t="e">
        <f>AND(Bills!H808,"AAAAAHl+fT8=")</f>
        <v>#VALUE!</v>
      </c>
      <c r="BM193" t="e">
        <f>AND(Bills!I808,"AAAAAHl+fUA=")</f>
        <v>#VALUE!</v>
      </c>
      <c r="BN193" t="e">
        <f>AND(Bills!J808,"AAAAAHl+fUE=")</f>
        <v>#VALUE!</v>
      </c>
      <c r="BO193" t="e">
        <f>AND(Bills!K808,"AAAAAHl+fUI=")</f>
        <v>#VALUE!</v>
      </c>
      <c r="BP193" t="e">
        <f>AND(Bills!L808,"AAAAAHl+fUM=")</f>
        <v>#VALUE!</v>
      </c>
      <c r="BQ193" t="e">
        <f>AND(Bills!#REF!,"AAAAAHl+fUQ=")</f>
        <v>#REF!</v>
      </c>
      <c r="BR193" t="e">
        <f>AND(Bills!M808,"AAAAAHl+fUU=")</f>
        <v>#VALUE!</v>
      </c>
      <c r="BS193" t="e">
        <f>AND(Bills!N808,"AAAAAHl+fUY=")</f>
        <v>#VALUE!</v>
      </c>
      <c r="BT193" t="e">
        <f>AND(Bills!O808,"AAAAAHl+fUc=")</f>
        <v>#VALUE!</v>
      </c>
      <c r="BU193" t="e">
        <f>AND(Bills!P808,"AAAAAHl+fUg=")</f>
        <v>#VALUE!</v>
      </c>
      <c r="BV193" t="e">
        <f>AND(Bills!Q808,"AAAAAHl+fUk=")</f>
        <v>#VALUE!</v>
      </c>
      <c r="BW193" t="e">
        <f>AND(Bills!R808,"AAAAAHl+fUo=")</f>
        <v>#VALUE!</v>
      </c>
      <c r="BX193" t="e">
        <f>AND(Bills!S808,"AAAAAHl+fUs=")</f>
        <v>#VALUE!</v>
      </c>
      <c r="BY193" t="e">
        <f>AND(Bills!T808,"AAAAAHl+fUw=")</f>
        <v>#VALUE!</v>
      </c>
      <c r="BZ193" t="e">
        <f>AND(Bills!#REF!,"AAAAAHl+fU0=")</f>
        <v>#REF!</v>
      </c>
      <c r="CA193" t="e">
        <f>AND(Bills!U808,"AAAAAHl+fU4=")</f>
        <v>#VALUE!</v>
      </c>
      <c r="CB193" t="e">
        <f>AND(Bills!V808,"AAAAAHl+fU8=")</f>
        <v>#VALUE!</v>
      </c>
      <c r="CC193" t="e">
        <f>AND(Bills!W808,"AAAAAHl+fVA=")</f>
        <v>#VALUE!</v>
      </c>
      <c r="CD193" t="e">
        <f>AND(Bills!#REF!,"AAAAAHl+fVE=")</f>
        <v>#REF!</v>
      </c>
      <c r="CE193" t="e">
        <f>AND(Bills!#REF!,"AAAAAHl+fVI=")</f>
        <v>#REF!</v>
      </c>
      <c r="CF193" t="e">
        <f>AND(Bills!Y808,"AAAAAHl+fVM=")</f>
        <v>#VALUE!</v>
      </c>
      <c r="CG193" t="e">
        <f>AND(Bills!Z808,"AAAAAHl+fVQ=")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AND(Bills!AA808,"AAAAAHl+fV4=")</f>
        <v>#VALUE!</v>
      </c>
      <c r="CR193" t="e">
        <f>AND(Bills!AB808,"AAAAAHl+fV8=")</f>
        <v>#VALUE!</v>
      </c>
      <c r="CS193" t="e">
        <f>AND(Bills!#REF!,"AAAAAHl+fWA=")</f>
        <v>#REF!</v>
      </c>
      <c r="CT193" t="e">
        <f>AND(Bills!#REF!,"AAAAAHl+fWE=")</f>
        <v>#REF!</v>
      </c>
      <c r="CU193" t="e">
        <f>AND(Bills!#REF!,"AAAAAHl+fWI=")</f>
        <v>#REF!</v>
      </c>
      <c r="CV193" t="e">
        <f>AND(Bills!AC808,"AAAAAHl+fWM=")</f>
        <v>#VALUE!</v>
      </c>
      <c r="CW193" t="e">
        <f>AND(Bills!AD808,"AAAAAHl+fWQ=")</f>
        <v>#VALUE!</v>
      </c>
      <c r="CX193" t="e">
        <f>AND(Bills!#REF!,"AAAAAHl+fWU=")</f>
        <v>#REF!</v>
      </c>
      <c r="CY193">
        <f>IF(Bills!809:809,"AAAAAHl+fWY=",0)</f>
        <v>0</v>
      </c>
      <c r="CZ193" t="e">
        <f>AND(Bills!B809,"AAAAAHl+fWc=")</f>
        <v>#VALUE!</v>
      </c>
      <c r="DA193" t="e">
        <f>AND(Bills!#REF!,"AAAAAHl+fWg=")</f>
        <v>#REF!</v>
      </c>
      <c r="DB193" t="e">
        <f>AND(Bills!C809,"AAAAAHl+fWk=")</f>
        <v>#VALUE!</v>
      </c>
      <c r="DC193" t="e">
        <f>AND(Bills!D809,"AAAAAHl+fWo=")</f>
        <v>#VALUE!</v>
      </c>
      <c r="DD193" t="e">
        <f>AND(Bills!E809,"AAAAAHl+fWs=")</f>
        <v>#VALUE!</v>
      </c>
      <c r="DE193" t="e">
        <f>AND(Bills!#REF!,"AAAAAHl+fWw=")</f>
        <v>#REF!</v>
      </c>
      <c r="DF193" t="e">
        <f>AND(Bills!#REF!,"AAAAAHl+fW0=")</f>
        <v>#REF!</v>
      </c>
      <c r="DG193" t="e">
        <f>AND(Bills!#REF!,"AAAAAHl+fW4=")</f>
        <v>#REF!</v>
      </c>
      <c r="DH193" t="e">
        <f>AND(Bills!F809,"AAAAAHl+fW8=")</f>
        <v>#VALUE!</v>
      </c>
      <c r="DI193" t="e">
        <f>AND(Bills!#REF!,"AAAAAHl+fXA=")</f>
        <v>#REF!</v>
      </c>
      <c r="DJ193" t="e">
        <f>AND(Bills!G809,"AAAAAHl+fXE=")</f>
        <v>#VALUE!</v>
      </c>
      <c r="DK193" t="e">
        <f>AND(Bills!H809,"AAAAAHl+fXI=")</f>
        <v>#VALUE!</v>
      </c>
      <c r="DL193" t="e">
        <f>AND(Bills!I809,"AAAAAHl+fXM=")</f>
        <v>#VALUE!</v>
      </c>
      <c r="DM193" t="e">
        <f>AND(Bills!J809,"AAAAAHl+fXQ=")</f>
        <v>#VALUE!</v>
      </c>
      <c r="DN193" t="e">
        <f>AND(Bills!K809,"AAAAAHl+fXU=")</f>
        <v>#VALUE!</v>
      </c>
      <c r="DO193" t="e">
        <f>AND(Bills!L809,"AAAAAHl+fXY=")</f>
        <v>#VALUE!</v>
      </c>
      <c r="DP193" t="e">
        <f>AND(Bills!#REF!,"AAAAAHl+fXc=")</f>
        <v>#REF!</v>
      </c>
      <c r="DQ193" t="e">
        <f>AND(Bills!M809,"AAAAAHl+fXg=")</f>
        <v>#VALUE!</v>
      </c>
      <c r="DR193" t="e">
        <f>AND(Bills!N809,"AAAAAHl+fXk=")</f>
        <v>#VALUE!</v>
      </c>
      <c r="DS193" t="e">
        <f>AND(Bills!O809,"AAAAAHl+fXo=")</f>
        <v>#VALUE!</v>
      </c>
      <c r="DT193" t="e">
        <f>AND(Bills!P809,"AAAAAHl+fXs=")</f>
        <v>#VALUE!</v>
      </c>
      <c r="DU193" t="e">
        <f>AND(Bills!Q809,"AAAAAHl+fXw=")</f>
        <v>#VALUE!</v>
      </c>
      <c r="DV193" t="e">
        <f>AND(Bills!R809,"AAAAAHl+fX0=")</f>
        <v>#VALUE!</v>
      </c>
      <c r="DW193" t="e">
        <f>AND(Bills!S809,"AAAAAHl+fX4=")</f>
        <v>#VALUE!</v>
      </c>
      <c r="DX193" t="e">
        <f>AND(Bills!T809,"AAAAAHl+fX8=")</f>
        <v>#VALUE!</v>
      </c>
      <c r="DY193" t="e">
        <f>AND(Bills!#REF!,"AAAAAHl+fYA=")</f>
        <v>#REF!</v>
      </c>
      <c r="DZ193" t="e">
        <f>AND(Bills!U809,"AAAAAHl+fYE=")</f>
        <v>#VALUE!</v>
      </c>
      <c r="EA193" t="e">
        <f>AND(Bills!V809,"AAAAAHl+fYI=")</f>
        <v>#VALUE!</v>
      </c>
      <c r="EB193" t="e">
        <f>AND(Bills!W809,"AAAAAHl+fYM=")</f>
        <v>#VALUE!</v>
      </c>
      <c r="EC193" t="e">
        <f>AND(Bills!#REF!,"AAAAAHl+fYQ=")</f>
        <v>#REF!</v>
      </c>
      <c r="ED193" t="e">
        <f>AND(Bills!#REF!,"AAAAAHl+fYU=")</f>
        <v>#REF!</v>
      </c>
      <c r="EE193" t="e">
        <f>AND(Bills!Y809,"AAAAAHl+fYY=")</f>
        <v>#VALUE!</v>
      </c>
      <c r="EF193" t="e">
        <f>AND(Bills!Z809,"AAAAAHl+fYc=")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AND(Bills!AA809,"AAAAAHl+fZE=")</f>
        <v>#VALUE!</v>
      </c>
      <c r="EQ193" t="e">
        <f>AND(Bills!AB809,"AAAAAHl+fZI=")</f>
        <v>#VALUE!</v>
      </c>
      <c r="ER193" t="e">
        <f>AND(Bills!#REF!,"AAAAAHl+fZM=")</f>
        <v>#REF!</v>
      </c>
      <c r="ES193" t="e">
        <f>AND(Bills!#REF!,"AAAAAHl+fZQ=")</f>
        <v>#REF!</v>
      </c>
      <c r="ET193" t="e">
        <f>AND(Bills!#REF!,"AAAAAHl+fZU=")</f>
        <v>#REF!</v>
      </c>
      <c r="EU193" t="e">
        <f>AND(Bills!AC809,"AAAAAHl+fZY=")</f>
        <v>#VALUE!</v>
      </c>
      <c r="EV193" t="e">
        <f>AND(Bills!AD809,"AAAAAHl+fZc=")</f>
        <v>#VALUE!</v>
      </c>
      <c r="EW193" t="e">
        <f>AND(Bills!#REF!,"AAAAAHl+fZg=")</f>
        <v>#REF!</v>
      </c>
      <c r="EX193">
        <f>IF(Bills!810:810,"AAAAAHl+fZk=",0)</f>
        <v>0</v>
      </c>
      <c r="EY193" t="e">
        <f>AND(Bills!B810,"AAAAAHl+fZo=")</f>
        <v>#VALUE!</v>
      </c>
      <c r="EZ193" t="e">
        <f>AND(Bills!#REF!,"AAAAAHl+fZs=")</f>
        <v>#REF!</v>
      </c>
      <c r="FA193" t="e">
        <f>AND(Bills!C810,"AAAAAHl+fZw=")</f>
        <v>#VALUE!</v>
      </c>
      <c r="FB193" t="e">
        <f>AND(Bills!D810,"AAAAAHl+fZ0=")</f>
        <v>#VALUE!</v>
      </c>
      <c r="FC193" t="e">
        <f>AND(Bills!E810,"AAAAAHl+fZ4=")</f>
        <v>#VALUE!</v>
      </c>
      <c r="FD193" t="e">
        <f>AND(Bills!#REF!,"AAAAAHl+fZ8=")</f>
        <v>#REF!</v>
      </c>
      <c r="FE193" t="e">
        <f>AND(Bills!#REF!,"AAAAAHl+faA=")</f>
        <v>#REF!</v>
      </c>
      <c r="FF193" t="e">
        <f>AND(Bills!#REF!,"AAAAAHl+faE=")</f>
        <v>#REF!</v>
      </c>
      <c r="FG193" t="e">
        <f>AND(Bills!F810,"AAAAAHl+faI=")</f>
        <v>#VALUE!</v>
      </c>
      <c r="FH193" t="e">
        <f>AND(Bills!#REF!,"AAAAAHl+faM=")</f>
        <v>#REF!</v>
      </c>
      <c r="FI193" t="e">
        <f>AND(Bills!G810,"AAAAAHl+faQ=")</f>
        <v>#VALUE!</v>
      </c>
      <c r="FJ193" t="e">
        <f>AND(Bills!H810,"AAAAAHl+faU=")</f>
        <v>#VALUE!</v>
      </c>
      <c r="FK193" t="e">
        <f>AND(Bills!I810,"AAAAAHl+faY=")</f>
        <v>#VALUE!</v>
      </c>
      <c r="FL193" t="e">
        <f>AND(Bills!J810,"AAAAAHl+fac=")</f>
        <v>#VALUE!</v>
      </c>
      <c r="FM193" t="e">
        <f>AND(Bills!K810,"AAAAAHl+fag=")</f>
        <v>#VALUE!</v>
      </c>
      <c r="FN193" t="e">
        <f>AND(Bills!L810,"AAAAAHl+fak=")</f>
        <v>#VALUE!</v>
      </c>
      <c r="FO193" t="e">
        <f>AND(Bills!#REF!,"AAAAAHl+fao=")</f>
        <v>#REF!</v>
      </c>
      <c r="FP193" t="e">
        <f>AND(Bills!M810,"AAAAAHl+fas=")</f>
        <v>#VALUE!</v>
      </c>
      <c r="FQ193" t="e">
        <f>AND(Bills!N810,"AAAAAHl+faw=")</f>
        <v>#VALUE!</v>
      </c>
      <c r="FR193" t="e">
        <f>AND(Bills!O810,"AAAAAHl+fa0=")</f>
        <v>#VALUE!</v>
      </c>
      <c r="FS193" t="e">
        <f>AND(Bills!P810,"AAAAAHl+fa4=")</f>
        <v>#VALUE!</v>
      </c>
      <c r="FT193" t="e">
        <f>AND(Bills!Q810,"AAAAAHl+fa8=")</f>
        <v>#VALUE!</v>
      </c>
      <c r="FU193" t="e">
        <f>AND(Bills!R810,"AAAAAHl+fbA=")</f>
        <v>#VALUE!</v>
      </c>
      <c r="FV193" t="e">
        <f>AND(Bills!S810,"AAAAAHl+fbE=")</f>
        <v>#VALUE!</v>
      </c>
      <c r="FW193" t="e">
        <f>AND(Bills!T810,"AAAAAHl+fbI=")</f>
        <v>#VALUE!</v>
      </c>
      <c r="FX193" t="e">
        <f>AND(Bills!#REF!,"AAAAAHl+fbM=")</f>
        <v>#REF!</v>
      </c>
      <c r="FY193" t="e">
        <f>AND(Bills!U810,"AAAAAHl+fbQ=")</f>
        <v>#VALUE!</v>
      </c>
      <c r="FZ193" t="e">
        <f>AND(Bills!V810,"AAAAAHl+fbU=")</f>
        <v>#VALUE!</v>
      </c>
      <c r="GA193" t="e">
        <f>AND(Bills!W810,"AAAAAHl+fbY=")</f>
        <v>#VALUE!</v>
      </c>
      <c r="GB193" t="e">
        <f>AND(Bills!#REF!,"AAAAAHl+fbc=")</f>
        <v>#REF!</v>
      </c>
      <c r="GC193" t="e">
        <f>AND(Bills!#REF!,"AAAAAHl+fbg=")</f>
        <v>#REF!</v>
      </c>
      <c r="GD193" t="e">
        <f>AND(Bills!Y810,"AAAAAHl+fbk=")</f>
        <v>#VALUE!</v>
      </c>
      <c r="GE193" t="e">
        <f>AND(Bills!Z810,"AAAAAHl+fbo=")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AND(Bills!AA810,"AAAAAHl+fcQ=")</f>
        <v>#VALUE!</v>
      </c>
      <c r="GP193" t="e">
        <f>AND(Bills!AB810,"AAAAAHl+fcU=")</f>
        <v>#VALUE!</v>
      </c>
      <c r="GQ193" t="e">
        <f>AND(Bills!#REF!,"AAAAAHl+fcY=")</f>
        <v>#REF!</v>
      </c>
      <c r="GR193" t="e">
        <f>AND(Bills!#REF!,"AAAAAHl+fcc=")</f>
        <v>#REF!</v>
      </c>
      <c r="GS193" t="e">
        <f>AND(Bills!#REF!,"AAAAAHl+fcg=")</f>
        <v>#REF!</v>
      </c>
      <c r="GT193" t="e">
        <f>AND(Bills!AC810,"AAAAAHl+fck=")</f>
        <v>#VALUE!</v>
      </c>
      <c r="GU193" t="e">
        <f>AND(Bills!AD810,"AAAAAHl+fco=")</f>
        <v>#VALUE!</v>
      </c>
      <c r="GV193" t="e">
        <f>AND(Bills!#REF!,"AAAAAHl+fcs=")</f>
        <v>#REF!</v>
      </c>
      <c r="GW193">
        <f>IF(Bills!811:811,"AAAAAHl+fcw=",0)</f>
        <v>0</v>
      </c>
      <c r="GX193" t="e">
        <f>AND(Bills!B811,"AAAAAHl+fc0=")</f>
        <v>#VALUE!</v>
      </c>
      <c r="GY193" t="e">
        <f>AND(Bills!#REF!,"AAAAAHl+fc4=")</f>
        <v>#REF!</v>
      </c>
      <c r="GZ193" t="e">
        <f>AND(Bills!C811,"AAAAAHl+fc8=")</f>
        <v>#VALUE!</v>
      </c>
      <c r="HA193" t="e">
        <f>AND(Bills!D811,"AAAAAHl+fdA=")</f>
        <v>#VALUE!</v>
      </c>
      <c r="HB193" t="e">
        <f>AND(Bills!E811,"AAAAAHl+fdE=")</f>
        <v>#VALUE!</v>
      </c>
      <c r="HC193" t="e">
        <f>AND(Bills!#REF!,"AAAAAHl+fdI=")</f>
        <v>#REF!</v>
      </c>
      <c r="HD193" t="e">
        <f>AND(Bills!#REF!,"AAAAAHl+fdM=")</f>
        <v>#REF!</v>
      </c>
      <c r="HE193" t="e">
        <f>AND(Bills!#REF!,"AAAAAHl+fdQ=")</f>
        <v>#REF!</v>
      </c>
      <c r="HF193" t="e">
        <f>AND(Bills!F811,"AAAAAHl+fdU=")</f>
        <v>#VALUE!</v>
      </c>
      <c r="HG193" t="e">
        <f>AND(Bills!#REF!,"AAAAAHl+fdY=")</f>
        <v>#REF!</v>
      </c>
      <c r="HH193" t="e">
        <f>AND(Bills!G811,"AAAAAHl+fdc=")</f>
        <v>#VALUE!</v>
      </c>
      <c r="HI193" t="e">
        <f>AND(Bills!H811,"AAAAAHl+fdg=")</f>
        <v>#VALUE!</v>
      </c>
      <c r="HJ193" t="e">
        <f>AND(Bills!I811,"AAAAAHl+fdk=")</f>
        <v>#VALUE!</v>
      </c>
      <c r="HK193" t="e">
        <f>AND(Bills!J811,"AAAAAHl+fdo=")</f>
        <v>#VALUE!</v>
      </c>
      <c r="HL193" t="e">
        <f>AND(Bills!K811,"AAAAAHl+fds=")</f>
        <v>#VALUE!</v>
      </c>
      <c r="HM193" t="e">
        <f>AND(Bills!L811,"AAAAAHl+fdw=")</f>
        <v>#VALUE!</v>
      </c>
      <c r="HN193" t="e">
        <f>AND(Bills!#REF!,"AAAAAHl+fd0=")</f>
        <v>#REF!</v>
      </c>
      <c r="HO193" t="e">
        <f>AND(Bills!M811,"AAAAAHl+fd4=")</f>
        <v>#VALUE!</v>
      </c>
      <c r="HP193" t="e">
        <f>AND(Bills!N811,"AAAAAHl+fd8=")</f>
        <v>#VALUE!</v>
      </c>
      <c r="HQ193" t="e">
        <f>AND(Bills!O811,"AAAAAHl+feA=")</f>
        <v>#VALUE!</v>
      </c>
      <c r="HR193" t="e">
        <f>AND(Bills!P811,"AAAAAHl+feE=")</f>
        <v>#VALUE!</v>
      </c>
      <c r="HS193" t="e">
        <f>AND(Bills!Q811,"AAAAAHl+feI=")</f>
        <v>#VALUE!</v>
      </c>
      <c r="HT193" t="e">
        <f>AND(Bills!R811,"AAAAAHl+feM=")</f>
        <v>#VALUE!</v>
      </c>
      <c r="HU193" t="e">
        <f>AND(Bills!S811,"AAAAAHl+feQ=")</f>
        <v>#VALUE!</v>
      </c>
      <c r="HV193" t="e">
        <f>AND(Bills!T811,"AAAAAHl+feU=")</f>
        <v>#VALUE!</v>
      </c>
      <c r="HW193" t="e">
        <f>AND(Bills!#REF!,"AAAAAHl+feY=")</f>
        <v>#REF!</v>
      </c>
      <c r="HX193" t="e">
        <f>AND(Bills!U811,"AAAAAHl+fec=")</f>
        <v>#VALUE!</v>
      </c>
      <c r="HY193" t="e">
        <f>AND(Bills!V811,"AAAAAHl+feg=")</f>
        <v>#VALUE!</v>
      </c>
      <c r="HZ193" t="e">
        <f>AND(Bills!W811,"AAAAAHl+fek=")</f>
        <v>#VALUE!</v>
      </c>
      <c r="IA193" t="e">
        <f>AND(Bills!#REF!,"AAAAAHl+feo=")</f>
        <v>#REF!</v>
      </c>
      <c r="IB193" t="e">
        <f>AND(Bills!#REF!,"AAAAAHl+fes=")</f>
        <v>#REF!</v>
      </c>
      <c r="IC193" t="e">
        <f>AND(Bills!Y811,"AAAAAHl+few=")</f>
        <v>#VALUE!</v>
      </c>
      <c r="ID193" t="e">
        <f>AND(Bills!Z811,"AAAAAHl+fe0=")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AND(Bills!AA811,"AAAAAHl+ffc=")</f>
        <v>#VALUE!</v>
      </c>
      <c r="IO193" t="e">
        <f>AND(Bills!AB811,"AAAAAHl+ffg=")</f>
        <v>#VALUE!</v>
      </c>
      <c r="IP193" t="e">
        <f>AND(Bills!#REF!,"AAAAAHl+ffk=")</f>
        <v>#REF!</v>
      </c>
      <c r="IQ193" t="e">
        <f>AND(Bills!#REF!,"AAAAAHl+ffo=")</f>
        <v>#REF!</v>
      </c>
      <c r="IR193" t="e">
        <f>AND(Bills!#REF!,"AAAAAHl+ffs=")</f>
        <v>#REF!</v>
      </c>
      <c r="IS193" t="e">
        <f>AND(Bills!AC811,"AAAAAHl+ffw=")</f>
        <v>#VALUE!</v>
      </c>
      <c r="IT193" t="e">
        <f>AND(Bills!AD811,"AAAAAHl+ff0=")</f>
        <v>#VALUE!</v>
      </c>
      <c r="IU193" t="e">
        <f>AND(Bills!#REF!,"AAAAAHl+ff4=")</f>
        <v>#REF!</v>
      </c>
      <c r="IV193">
        <f>IF(Bills!812:812,"AAAAAHl+ff8=",0)</f>
        <v>0</v>
      </c>
    </row>
    <row r="194" spans="1:256">
      <c r="A194" t="e">
        <f>AND(Bills!B812,"AAAAAD/wzgA=")</f>
        <v>#VALUE!</v>
      </c>
      <c r="B194" t="e">
        <f>AND(Bills!#REF!,"AAAAAD/wzgE=")</f>
        <v>#REF!</v>
      </c>
      <c r="C194" t="e">
        <f>AND(Bills!C812,"AAAAAD/wzgI=")</f>
        <v>#VALUE!</v>
      </c>
      <c r="D194" t="e">
        <f>AND(Bills!D812,"AAAAAD/wzgM=")</f>
        <v>#VALUE!</v>
      </c>
      <c r="E194" t="e">
        <f>AND(Bills!E812,"AAAAAD/wzgQ=")</f>
        <v>#VALUE!</v>
      </c>
      <c r="F194" t="e">
        <f>AND(Bills!#REF!,"AAAAAD/wzgU=")</f>
        <v>#REF!</v>
      </c>
      <c r="G194" t="e">
        <f>AND(Bills!#REF!,"AAAAAD/wzgY=")</f>
        <v>#REF!</v>
      </c>
      <c r="H194" t="e">
        <f>AND(Bills!#REF!,"AAAAAD/wzgc=")</f>
        <v>#REF!</v>
      </c>
      <c r="I194" t="e">
        <f>AND(Bills!F812,"AAAAAD/wzgg=")</f>
        <v>#VALUE!</v>
      </c>
      <c r="J194" t="e">
        <f>AND(Bills!#REF!,"AAAAAD/wzgk=")</f>
        <v>#REF!</v>
      </c>
      <c r="K194" t="e">
        <f>AND(Bills!G812,"AAAAAD/wzgo=")</f>
        <v>#VALUE!</v>
      </c>
      <c r="L194" t="e">
        <f>AND(Bills!H812,"AAAAAD/wzgs=")</f>
        <v>#VALUE!</v>
      </c>
      <c r="M194" t="e">
        <f>AND(Bills!I812,"AAAAAD/wzgw=")</f>
        <v>#VALUE!</v>
      </c>
      <c r="N194" t="e">
        <f>AND(Bills!J812,"AAAAAD/wzg0=")</f>
        <v>#VALUE!</v>
      </c>
      <c r="O194" t="e">
        <f>AND(Bills!K812,"AAAAAD/wzg4=")</f>
        <v>#VALUE!</v>
      </c>
      <c r="P194" t="e">
        <f>AND(Bills!L812,"AAAAAD/wzg8=")</f>
        <v>#VALUE!</v>
      </c>
      <c r="Q194" t="e">
        <f>AND(Bills!#REF!,"AAAAAD/wzhA=")</f>
        <v>#REF!</v>
      </c>
      <c r="R194" t="e">
        <f>AND(Bills!M812,"AAAAAD/wzhE=")</f>
        <v>#VALUE!</v>
      </c>
      <c r="S194" t="e">
        <f>AND(Bills!N812,"AAAAAD/wzhI=")</f>
        <v>#VALUE!</v>
      </c>
      <c r="T194" t="e">
        <f>AND(Bills!O812,"AAAAAD/wzhM=")</f>
        <v>#VALUE!</v>
      </c>
      <c r="U194" t="e">
        <f>AND(Bills!P812,"AAAAAD/wzhQ=")</f>
        <v>#VALUE!</v>
      </c>
      <c r="V194" t="e">
        <f>AND(Bills!Q812,"AAAAAD/wzhU=")</f>
        <v>#VALUE!</v>
      </c>
      <c r="W194" t="e">
        <f>AND(Bills!R812,"AAAAAD/wzhY=")</f>
        <v>#VALUE!</v>
      </c>
      <c r="X194" t="e">
        <f>AND(Bills!S812,"AAAAAD/wzhc=")</f>
        <v>#VALUE!</v>
      </c>
      <c r="Y194" t="e">
        <f>AND(Bills!T812,"AAAAAD/wzhg=")</f>
        <v>#VALUE!</v>
      </c>
      <c r="Z194" t="e">
        <f>AND(Bills!#REF!,"AAAAAD/wzhk=")</f>
        <v>#REF!</v>
      </c>
      <c r="AA194" t="e">
        <f>AND(Bills!U812,"AAAAAD/wzho=")</f>
        <v>#VALUE!</v>
      </c>
      <c r="AB194" t="e">
        <f>AND(Bills!V812,"AAAAAD/wzhs=")</f>
        <v>#VALUE!</v>
      </c>
      <c r="AC194" t="e">
        <f>AND(Bills!W812,"AAAAAD/wzhw=")</f>
        <v>#VALUE!</v>
      </c>
      <c r="AD194" t="e">
        <f>AND(Bills!#REF!,"AAAAAD/wzh0=")</f>
        <v>#REF!</v>
      </c>
      <c r="AE194" t="e">
        <f>AND(Bills!#REF!,"AAAAAD/wzh4=")</f>
        <v>#REF!</v>
      </c>
      <c r="AF194" t="e">
        <f>AND(Bills!Y812,"AAAAAD/wzh8=")</f>
        <v>#VALUE!</v>
      </c>
      <c r="AG194" t="e">
        <f>AND(Bills!Z812,"AAAAAD/wziA=")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AND(Bills!AA812,"AAAAAD/wzio=")</f>
        <v>#VALUE!</v>
      </c>
      <c r="AR194" t="e">
        <f>AND(Bills!AB812,"AAAAAD/wzis=")</f>
        <v>#VALUE!</v>
      </c>
      <c r="AS194" t="e">
        <f>AND(Bills!#REF!,"AAAAAD/wziw=")</f>
        <v>#REF!</v>
      </c>
      <c r="AT194" t="e">
        <f>AND(Bills!#REF!,"AAAAAD/wzi0=")</f>
        <v>#REF!</v>
      </c>
      <c r="AU194" t="e">
        <f>AND(Bills!#REF!,"AAAAAD/wzi4=")</f>
        <v>#REF!</v>
      </c>
      <c r="AV194" t="e">
        <f>AND(Bills!AC812,"AAAAAD/wzi8=")</f>
        <v>#VALUE!</v>
      </c>
      <c r="AW194" t="e">
        <f>AND(Bills!AD812,"AAAAAD/wzjA=")</f>
        <v>#VALUE!</v>
      </c>
      <c r="AX194" t="e">
        <f>AND(Bills!#REF!,"AAAAAD/wzjE=")</f>
        <v>#REF!</v>
      </c>
      <c r="AY194">
        <f>IF(Bills!813:813,"AAAAAD/wzjI=",0)</f>
        <v>0</v>
      </c>
      <c r="AZ194" t="e">
        <f>AND(Bills!B813,"AAAAAD/wzjM=")</f>
        <v>#VALUE!</v>
      </c>
      <c r="BA194" t="e">
        <f>AND(Bills!#REF!,"AAAAAD/wzjQ=")</f>
        <v>#REF!</v>
      </c>
      <c r="BB194" t="e">
        <f>AND(Bills!C813,"AAAAAD/wzjU=")</f>
        <v>#VALUE!</v>
      </c>
      <c r="BC194" t="e">
        <f>AND(Bills!D813,"AAAAAD/wzjY=")</f>
        <v>#VALUE!</v>
      </c>
      <c r="BD194" t="e">
        <f>AND(Bills!E813,"AAAAAD/wzjc=")</f>
        <v>#VALUE!</v>
      </c>
      <c r="BE194" t="e">
        <f>AND(Bills!#REF!,"AAAAAD/wzjg=")</f>
        <v>#REF!</v>
      </c>
      <c r="BF194" t="e">
        <f>AND(Bills!#REF!,"AAAAAD/wzjk=")</f>
        <v>#REF!</v>
      </c>
      <c r="BG194" t="e">
        <f>AND(Bills!#REF!,"AAAAAD/wzjo=")</f>
        <v>#REF!</v>
      </c>
      <c r="BH194" t="e">
        <f>AND(Bills!F813,"AAAAAD/wzjs=")</f>
        <v>#VALUE!</v>
      </c>
      <c r="BI194" t="e">
        <f>AND(Bills!#REF!,"AAAAAD/wzjw=")</f>
        <v>#REF!</v>
      </c>
      <c r="BJ194" t="e">
        <f>AND(Bills!G813,"AAAAAD/wzj0=")</f>
        <v>#VALUE!</v>
      </c>
      <c r="BK194" t="e">
        <f>AND(Bills!H813,"AAAAAD/wzj4=")</f>
        <v>#VALUE!</v>
      </c>
      <c r="BL194" t="e">
        <f>AND(Bills!I813,"AAAAAD/wzj8=")</f>
        <v>#VALUE!</v>
      </c>
      <c r="BM194" t="e">
        <f>AND(Bills!J813,"AAAAAD/wzkA=")</f>
        <v>#VALUE!</v>
      </c>
      <c r="BN194" t="e">
        <f>AND(Bills!K813,"AAAAAD/wzkE=")</f>
        <v>#VALUE!</v>
      </c>
      <c r="BO194" t="e">
        <f>AND(Bills!L813,"AAAAAD/wzkI=")</f>
        <v>#VALUE!</v>
      </c>
      <c r="BP194" t="e">
        <f>AND(Bills!#REF!,"AAAAAD/wzkM=")</f>
        <v>#REF!</v>
      </c>
      <c r="BQ194" t="e">
        <f>AND(Bills!M813,"AAAAAD/wzkQ=")</f>
        <v>#VALUE!</v>
      </c>
      <c r="BR194" t="e">
        <f>AND(Bills!N813,"AAAAAD/wzkU=")</f>
        <v>#VALUE!</v>
      </c>
      <c r="BS194" t="e">
        <f>AND(Bills!O813,"AAAAAD/wzkY=")</f>
        <v>#VALUE!</v>
      </c>
      <c r="BT194" t="e">
        <f>AND(Bills!P813,"AAAAAD/wzkc=")</f>
        <v>#VALUE!</v>
      </c>
      <c r="BU194" t="e">
        <f>AND(Bills!Q813,"AAAAAD/wzkg=")</f>
        <v>#VALUE!</v>
      </c>
      <c r="BV194" t="e">
        <f>AND(Bills!R813,"AAAAAD/wzkk=")</f>
        <v>#VALUE!</v>
      </c>
      <c r="BW194" t="e">
        <f>AND(Bills!S813,"AAAAAD/wzko=")</f>
        <v>#VALUE!</v>
      </c>
      <c r="BX194" t="e">
        <f>AND(Bills!T813,"AAAAAD/wzks=")</f>
        <v>#VALUE!</v>
      </c>
      <c r="BY194" t="e">
        <f>AND(Bills!#REF!,"AAAAAD/wzkw=")</f>
        <v>#REF!</v>
      </c>
      <c r="BZ194" t="e">
        <f>AND(Bills!U813,"AAAAAD/wzk0=")</f>
        <v>#VALUE!</v>
      </c>
      <c r="CA194" t="e">
        <f>AND(Bills!V813,"AAAAAD/wzk4=")</f>
        <v>#VALUE!</v>
      </c>
      <c r="CB194" t="e">
        <f>AND(Bills!W813,"AAAAAD/wzk8=")</f>
        <v>#VALUE!</v>
      </c>
      <c r="CC194" t="e">
        <f>AND(Bills!#REF!,"AAAAAD/wzlA=")</f>
        <v>#REF!</v>
      </c>
      <c r="CD194" t="e">
        <f>AND(Bills!#REF!,"AAAAAD/wzlE=")</f>
        <v>#REF!</v>
      </c>
      <c r="CE194" t="e">
        <f>AND(Bills!Y813,"AAAAAD/wzlI=")</f>
        <v>#VALUE!</v>
      </c>
      <c r="CF194" t="e">
        <f>AND(Bills!Z813,"AAAAAD/wzlM=")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AND(Bills!AA813,"AAAAAD/wzl0=")</f>
        <v>#VALUE!</v>
      </c>
      <c r="CQ194" t="e">
        <f>AND(Bills!AB813,"AAAAAD/wzl4=")</f>
        <v>#VALUE!</v>
      </c>
      <c r="CR194" t="e">
        <f>AND(Bills!#REF!,"AAAAAD/wzl8=")</f>
        <v>#REF!</v>
      </c>
      <c r="CS194" t="e">
        <f>AND(Bills!#REF!,"AAAAAD/wzmA=")</f>
        <v>#REF!</v>
      </c>
      <c r="CT194" t="e">
        <f>AND(Bills!#REF!,"AAAAAD/wzmE=")</f>
        <v>#REF!</v>
      </c>
      <c r="CU194" t="e">
        <f>AND(Bills!AC813,"AAAAAD/wzmI=")</f>
        <v>#VALUE!</v>
      </c>
      <c r="CV194" t="e">
        <f>AND(Bills!AD813,"AAAAAD/wzmM=")</f>
        <v>#VALUE!</v>
      </c>
      <c r="CW194" t="e">
        <f>AND(Bills!#REF!,"AAAAAD/wzmQ=")</f>
        <v>#REF!</v>
      </c>
      <c r="CX194">
        <f>IF(Bills!814:814,"AAAAAD/wzmU=",0)</f>
        <v>0</v>
      </c>
      <c r="CY194" t="e">
        <f>AND(Bills!B814,"AAAAAD/wzmY=")</f>
        <v>#VALUE!</v>
      </c>
      <c r="CZ194" t="e">
        <f>AND(Bills!#REF!,"AAAAAD/wzmc=")</f>
        <v>#REF!</v>
      </c>
      <c r="DA194" t="e">
        <f>AND(Bills!C814,"AAAAAD/wzmg=")</f>
        <v>#VALUE!</v>
      </c>
      <c r="DB194" t="e">
        <f>AND(Bills!D814,"AAAAAD/wzmk=")</f>
        <v>#VALUE!</v>
      </c>
      <c r="DC194" t="e">
        <f>AND(Bills!E814,"AAAAAD/wzmo=")</f>
        <v>#VALUE!</v>
      </c>
      <c r="DD194" t="e">
        <f>AND(Bills!#REF!,"AAAAAD/wzms=")</f>
        <v>#REF!</v>
      </c>
      <c r="DE194" t="e">
        <f>AND(Bills!#REF!,"AAAAAD/wzmw=")</f>
        <v>#REF!</v>
      </c>
      <c r="DF194" t="e">
        <f>AND(Bills!#REF!,"AAAAAD/wzm0=")</f>
        <v>#REF!</v>
      </c>
      <c r="DG194" t="e">
        <f>AND(Bills!F814,"AAAAAD/wzm4=")</f>
        <v>#VALUE!</v>
      </c>
      <c r="DH194" t="e">
        <f>AND(Bills!#REF!,"AAAAAD/wzm8=")</f>
        <v>#REF!</v>
      </c>
      <c r="DI194" t="e">
        <f>AND(Bills!G814,"AAAAAD/wznA=")</f>
        <v>#VALUE!</v>
      </c>
      <c r="DJ194" t="e">
        <f>AND(Bills!H814,"AAAAAD/wznE=")</f>
        <v>#VALUE!</v>
      </c>
      <c r="DK194" t="e">
        <f>AND(Bills!I814,"AAAAAD/wznI=")</f>
        <v>#VALUE!</v>
      </c>
      <c r="DL194" t="e">
        <f>AND(Bills!J814,"AAAAAD/wznM=")</f>
        <v>#VALUE!</v>
      </c>
      <c r="DM194" t="e">
        <f>AND(Bills!K814,"AAAAAD/wznQ=")</f>
        <v>#VALUE!</v>
      </c>
      <c r="DN194" t="e">
        <f>AND(Bills!L814,"AAAAAD/wznU=")</f>
        <v>#VALUE!</v>
      </c>
      <c r="DO194" t="e">
        <f>AND(Bills!#REF!,"AAAAAD/wznY=")</f>
        <v>#REF!</v>
      </c>
      <c r="DP194" t="e">
        <f>AND(Bills!M814,"AAAAAD/wznc=")</f>
        <v>#VALUE!</v>
      </c>
      <c r="DQ194" t="e">
        <f>AND(Bills!N814,"AAAAAD/wzng=")</f>
        <v>#VALUE!</v>
      </c>
      <c r="DR194" t="e">
        <f>AND(Bills!O814,"AAAAAD/wznk=")</f>
        <v>#VALUE!</v>
      </c>
      <c r="DS194" t="e">
        <f>AND(Bills!P814,"AAAAAD/wzno=")</f>
        <v>#VALUE!</v>
      </c>
      <c r="DT194" t="e">
        <f>AND(Bills!Q814,"AAAAAD/wzns=")</f>
        <v>#VALUE!</v>
      </c>
      <c r="DU194" t="e">
        <f>AND(Bills!R814,"AAAAAD/wznw=")</f>
        <v>#VALUE!</v>
      </c>
      <c r="DV194" t="e">
        <f>AND(Bills!S814,"AAAAAD/wzn0=")</f>
        <v>#VALUE!</v>
      </c>
      <c r="DW194" t="e">
        <f>AND(Bills!T814,"AAAAAD/wzn4=")</f>
        <v>#VALUE!</v>
      </c>
      <c r="DX194" t="e">
        <f>AND(Bills!#REF!,"AAAAAD/wzn8=")</f>
        <v>#REF!</v>
      </c>
      <c r="DY194" t="e">
        <f>AND(Bills!U814,"AAAAAD/wzoA=")</f>
        <v>#VALUE!</v>
      </c>
      <c r="DZ194" t="e">
        <f>AND(Bills!V814,"AAAAAD/wzoE=")</f>
        <v>#VALUE!</v>
      </c>
      <c r="EA194" t="e">
        <f>AND(Bills!W814,"AAAAAD/wzoI=")</f>
        <v>#VALUE!</v>
      </c>
      <c r="EB194" t="e">
        <f>AND(Bills!#REF!,"AAAAAD/wzoM=")</f>
        <v>#REF!</v>
      </c>
      <c r="EC194" t="e">
        <f>AND(Bills!#REF!,"AAAAAD/wzoQ=")</f>
        <v>#REF!</v>
      </c>
      <c r="ED194" t="e">
        <f>AND(Bills!Y814,"AAAAAD/wzoU=")</f>
        <v>#VALUE!</v>
      </c>
      <c r="EE194" t="e">
        <f>AND(Bills!Z814,"AAAAAD/wzoY=")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AND(Bills!AA814,"AAAAAD/wzpA=")</f>
        <v>#VALUE!</v>
      </c>
      <c r="EP194" t="e">
        <f>AND(Bills!AB814,"AAAAAD/wzpE=")</f>
        <v>#VALUE!</v>
      </c>
      <c r="EQ194" t="e">
        <f>AND(Bills!#REF!,"AAAAAD/wzpI=")</f>
        <v>#REF!</v>
      </c>
      <c r="ER194" t="e">
        <f>AND(Bills!#REF!,"AAAAAD/wzpM=")</f>
        <v>#REF!</v>
      </c>
      <c r="ES194" t="e">
        <f>AND(Bills!#REF!,"AAAAAD/wzpQ=")</f>
        <v>#REF!</v>
      </c>
      <c r="ET194" t="e">
        <f>AND(Bills!AC814,"AAAAAD/wzpU=")</f>
        <v>#VALUE!</v>
      </c>
      <c r="EU194" t="e">
        <f>AND(Bills!AD814,"AAAAAD/wzpY=")</f>
        <v>#VALUE!</v>
      </c>
      <c r="EV194" t="e">
        <f>AND(Bills!#REF!,"AAAAAD/wzpc=")</f>
        <v>#REF!</v>
      </c>
      <c r="EW194">
        <f>IF(Bills!815:815,"AAAAAD/wzpg=",0)</f>
        <v>0</v>
      </c>
      <c r="EX194" t="e">
        <f>AND(Bills!B815,"AAAAAD/wzpk=")</f>
        <v>#VALUE!</v>
      </c>
      <c r="EY194" t="e">
        <f>AND(Bills!#REF!,"AAAAAD/wzpo=")</f>
        <v>#REF!</v>
      </c>
      <c r="EZ194" t="e">
        <f>AND(Bills!C815,"AAAAAD/wzps=")</f>
        <v>#VALUE!</v>
      </c>
      <c r="FA194" t="e">
        <f>AND(Bills!D815,"AAAAAD/wzpw=")</f>
        <v>#VALUE!</v>
      </c>
      <c r="FB194" t="e">
        <f>AND(Bills!E815,"AAAAAD/wzp0=")</f>
        <v>#VALUE!</v>
      </c>
      <c r="FC194" t="e">
        <f>AND(Bills!#REF!,"AAAAAD/wzp4=")</f>
        <v>#REF!</v>
      </c>
      <c r="FD194" t="e">
        <f>AND(Bills!#REF!,"AAAAAD/wzp8=")</f>
        <v>#REF!</v>
      </c>
      <c r="FE194" t="e">
        <f>AND(Bills!#REF!,"AAAAAD/wzqA=")</f>
        <v>#REF!</v>
      </c>
      <c r="FF194" t="e">
        <f>AND(Bills!F815,"AAAAAD/wzqE=")</f>
        <v>#VALUE!</v>
      </c>
      <c r="FG194" t="e">
        <f>AND(Bills!#REF!,"AAAAAD/wzqI=")</f>
        <v>#REF!</v>
      </c>
      <c r="FH194" t="e">
        <f>AND(Bills!G815,"AAAAAD/wzqM=")</f>
        <v>#VALUE!</v>
      </c>
      <c r="FI194" t="e">
        <f>AND(Bills!H815,"AAAAAD/wzqQ=")</f>
        <v>#VALUE!</v>
      </c>
      <c r="FJ194" t="e">
        <f>AND(Bills!I815,"AAAAAD/wzqU=")</f>
        <v>#VALUE!</v>
      </c>
      <c r="FK194" t="e">
        <f>AND(Bills!J815,"AAAAAD/wzqY=")</f>
        <v>#VALUE!</v>
      </c>
      <c r="FL194" t="e">
        <f>AND(Bills!K815,"AAAAAD/wzqc=")</f>
        <v>#VALUE!</v>
      </c>
      <c r="FM194" t="e">
        <f>AND(Bills!L815,"AAAAAD/wzqg=")</f>
        <v>#VALUE!</v>
      </c>
      <c r="FN194" t="e">
        <f>AND(Bills!#REF!,"AAAAAD/wzqk=")</f>
        <v>#REF!</v>
      </c>
      <c r="FO194" t="e">
        <f>AND(Bills!M815,"AAAAAD/wzqo=")</f>
        <v>#VALUE!</v>
      </c>
      <c r="FP194" t="e">
        <f>AND(Bills!N815,"AAAAAD/wzqs=")</f>
        <v>#VALUE!</v>
      </c>
      <c r="FQ194" t="e">
        <f>AND(Bills!O815,"AAAAAD/wzqw=")</f>
        <v>#VALUE!</v>
      </c>
      <c r="FR194" t="e">
        <f>AND(Bills!P815,"AAAAAD/wzq0=")</f>
        <v>#VALUE!</v>
      </c>
      <c r="FS194" t="e">
        <f>AND(Bills!Q815,"AAAAAD/wzq4=")</f>
        <v>#VALUE!</v>
      </c>
      <c r="FT194" t="e">
        <f>AND(Bills!R815,"AAAAAD/wzq8=")</f>
        <v>#VALUE!</v>
      </c>
      <c r="FU194" t="e">
        <f>AND(Bills!S815,"AAAAAD/wzrA=")</f>
        <v>#VALUE!</v>
      </c>
      <c r="FV194" t="e">
        <f>AND(Bills!T815,"AAAAAD/wzrE=")</f>
        <v>#VALUE!</v>
      </c>
      <c r="FW194" t="e">
        <f>AND(Bills!#REF!,"AAAAAD/wzrI=")</f>
        <v>#REF!</v>
      </c>
      <c r="FX194" t="e">
        <f>AND(Bills!U815,"AAAAAD/wzrM=")</f>
        <v>#VALUE!</v>
      </c>
      <c r="FY194" t="e">
        <f>AND(Bills!V815,"AAAAAD/wzrQ=")</f>
        <v>#VALUE!</v>
      </c>
      <c r="FZ194" t="e">
        <f>AND(Bills!W815,"AAAAAD/wzrU=")</f>
        <v>#VALUE!</v>
      </c>
      <c r="GA194" t="e">
        <f>AND(Bills!#REF!,"AAAAAD/wzrY=")</f>
        <v>#REF!</v>
      </c>
      <c r="GB194" t="e">
        <f>AND(Bills!#REF!,"AAAAAD/wzrc=")</f>
        <v>#REF!</v>
      </c>
      <c r="GC194" t="e">
        <f>AND(Bills!Y815,"AAAAAD/wzrg=")</f>
        <v>#VALUE!</v>
      </c>
      <c r="GD194" t="e">
        <f>AND(Bills!Z815,"AAAAAD/wzrk=")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AND(Bills!AA815,"AAAAAD/wzsM=")</f>
        <v>#VALUE!</v>
      </c>
      <c r="GO194" t="e">
        <f>AND(Bills!AB815,"AAAAAD/wzsQ=")</f>
        <v>#VALUE!</v>
      </c>
      <c r="GP194" t="e">
        <f>AND(Bills!#REF!,"AAAAAD/wzsU=")</f>
        <v>#REF!</v>
      </c>
      <c r="GQ194" t="e">
        <f>AND(Bills!#REF!,"AAAAAD/wzsY=")</f>
        <v>#REF!</v>
      </c>
      <c r="GR194" t="e">
        <f>AND(Bills!#REF!,"AAAAAD/wzsc=")</f>
        <v>#REF!</v>
      </c>
      <c r="GS194" t="e">
        <f>AND(Bills!AC815,"AAAAAD/wzsg=")</f>
        <v>#VALUE!</v>
      </c>
      <c r="GT194" t="e">
        <f>AND(Bills!AD815,"AAAAAD/wzsk=")</f>
        <v>#VALUE!</v>
      </c>
      <c r="GU194" t="e">
        <f>AND(Bills!#REF!,"AAAAAD/wzso=")</f>
        <v>#REF!</v>
      </c>
      <c r="GV194">
        <f>IF(Bills!816:816,"AAAAAD/wzss=",0)</f>
        <v>0</v>
      </c>
      <c r="GW194" t="e">
        <f>AND(Bills!B816,"AAAAAD/wzsw=")</f>
        <v>#VALUE!</v>
      </c>
      <c r="GX194" t="e">
        <f>AND(Bills!#REF!,"AAAAAD/wzs0=")</f>
        <v>#REF!</v>
      </c>
      <c r="GY194" t="e">
        <f>AND(Bills!C816,"AAAAAD/wzs4=")</f>
        <v>#VALUE!</v>
      </c>
      <c r="GZ194" t="e">
        <f>AND(Bills!D816,"AAAAAD/wzs8=")</f>
        <v>#VALUE!</v>
      </c>
      <c r="HA194" t="e">
        <f>AND(Bills!E816,"AAAAAD/wztA=")</f>
        <v>#VALUE!</v>
      </c>
      <c r="HB194" t="e">
        <f>AND(Bills!#REF!,"AAAAAD/wztE=")</f>
        <v>#REF!</v>
      </c>
      <c r="HC194" t="e">
        <f>AND(Bills!#REF!,"AAAAAD/wztI=")</f>
        <v>#REF!</v>
      </c>
      <c r="HD194" t="e">
        <f>AND(Bills!#REF!,"AAAAAD/wztM=")</f>
        <v>#REF!</v>
      </c>
      <c r="HE194" t="e">
        <f>AND(Bills!F816,"AAAAAD/wztQ=")</f>
        <v>#VALUE!</v>
      </c>
      <c r="HF194" t="e">
        <f>AND(Bills!#REF!,"AAAAAD/wztU=")</f>
        <v>#REF!</v>
      </c>
      <c r="HG194" t="e">
        <f>AND(Bills!G816,"AAAAAD/wztY=")</f>
        <v>#VALUE!</v>
      </c>
      <c r="HH194" t="e">
        <f>AND(Bills!H816,"AAAAAD/wztc=")</f>
        <v>#VALUE!</v>
      </c>
      <c r="HI194" t="e">
        <f>AND(Bills!I816,"AAAAAD/wztg=")</f>
        <v>#VALUE!</v>
      </c>
      <c r="HJ194" t="e">
        <f>AND(Bills!J816,"AAAAAD/wztk=")</f>
        <v>#VALUE!</v>
      </c>
      <c r="HK194" t="e">
        <f>AND(Bills!K816,"AAAAAD/wzto=")</f>
        <v>#VALUE!</v>
      </c>
      <c r="HL194" t="e">
        <f>AND(Bills!L816,"AAAAAD/wzts=")</f>
        <v>#VALUE!</v>
      </c>
      <c r="HM194" t="e">
        <f>AND(Bills!#REF!,"AAAAAD/wztw=")</f>
        <v>#REF!</v>
      </c>
      <c r="HN194" t="e">
        <f>AND(Bills!M816,"AAAAAD/wzt0=")</f>
        <v>#VALUE!</v>
      </c>
      <c r="HO194" t="e">
        <f>AND(Bills!N816,"AAAAAD/wzt4=")</f>
        <v>#VALUE!</v>
      </c>
      <c r="HP194" t="e">
        <f>AND(Bills!O816,"AAAAAD/wzt8=")</f>
        <v>#VALUE!</v>
      </c>
      <c r="HQ194" t="e">
        <f>AND(Bills!P816,"AAAAAD/wzuA=")</f>
        <v>#VALUE!</v>
      </c>
      <c r="HR194" t="e">
        <f>AND(Bills!Q816,"AAAAAD/wzuE=")</f>
        <v>#VALUE!</v>
      </c>
      <c r="HS194" t="e">
        <f>AND(Bills!R816,"AAAAAD/wzuI=")</f>
        <v>#VALUE!</v>
      </c>
      <c r="HT194" t="e">
        <f>AND(Bills!S816,"AAAAAD/wzuM=")</f>
        <v>#VALUE!</v>
      </c>
      <c r="HU194" t="e">
        <f>AND(Bills!T816,"AAAAAD/wzuQ=")</f>
        <v>#VALUE!</v>
      </c>
      <c r="HV194" t="e">
        <f>AND(Bills!#REF!,"AAAAAD/wzuU=")</f>
        <v>#REF!</v>
      </c>
      <c r="HW194" t="e">
        <f>AND(Bills!U816,"AAAAAD/wzuY=")</f>
        <v>#VALUE!</v>
      </c>
      <c r="HX194" t="e">
        <f>AND(Bills!V816,"AAAAAD/wzuc=")</f>
        <v>#VALUE!</v>
      </c>
      <c r="HY194" t="e">
        <f>AND(Bills!W816,"AAAAAD/wzug=")</f>
        <v>#VALUE!</v>
      </c>
      <c r="HZ194" t="e">
        <f>AND(Bills!#REF!,"AAAAAD/wzuk=")</f>
        <v>#REF!</v>
      </c>
      <c r="IA194" t="e">
        <f>AND(Bills!#REF!,"AAAAAD/wzuo=")</f>
        <v>#REF!</v>
      </c>
      <c r="IB194" t="e">
        <f>AND(Bills!Y816,"AAAAAD/wzus=")</f>
        <v>#VALUE!</v>
      </c>
      <c r="IC194" t="e">
        <f>AND(Bills!Z816,"AAAAAD/wzuw=")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AND(Bills!AA816,"AAAAAD/wzvY=")</f>
        <v>#VALUE!</v>
      </c>
      <c r="IN194" t="e">
        <f>AND(Bills!AB816,"AAAAAD/wzvc=")</f>
        <v>#VALUE!</v>
      </c>
      <c r="IO194" t="e">
        <f>AND(Bills!#REF!,"AAAAAD/wzvg=")</f>
        <v>#REF!</v>
      </c>
      <c r="IP194" t="e">
        <f>AND(Bills!#REF!,"AAAAAD/wzvk=")</f>
        <v>#REF!</v>
      </c>
      <c r="IQ194" t="e">
        <f>AND(Bills!#REF!,"AAAAAD/wzvo=")</f>
        <v>#REF!</v>
      </c>
      <c r="IR194" t="e">
        <f>AND(Bills!AC816,"AAAAAD/wzvs=")</f>
        <v>#VALUE!</v>
      </c>
      <c r="IS194" t="e">
        <f>AND(Bills!AD816,"AAAAAD/wzvw=")</f>
        <v>#VALUE!</v>
      </c>
      <c r="IT194" t="e">
        <f>AND(Bills!#REF!,"AAAAAD/wzv0=")</f>
        <v>#REF!</v>
      </c>
      <c r="IU194">
        <f>IF(Bills!817:817,"AAAAAD/wzv4=",0)</f>
        <v>0</v>
      </c>
      <c r="IV194" t="e">
        <f>AND(Bills!B817,"AAAAAD/wzv8=")</f>
        <v>#VALUE!</v>
      </c>
    </row>
    <row r="195" spans="1:256">
      <c r="A195" t="e">
        <f>AND(Bills!#REF!,"AAAAAF7q/wA=")</f>
        <v>#REF!</v>
      </c>
      <c r="B195" t="e">
        <f>AND(Bills!C817,"AAAAAF7q/wE=")</f>
        <v>#VALUE!</v>
      </c>
      <c r="C195" t="e">
        <f>AND(Bills!D817,"AAAAAF7q/wI=")</f>
        <v>#VALUE!</v>
      </c>
      <c r="D195" t="e">
        <f>AND(Bills!E817,"AAAAAF7q/wM=")</f>
        <v>#VALUE!</v>
      </c>
      <c r="E195" t="e">
        <f>AND(Bills!#REF!,"AAAAAF7q/wQ=")</f>
        <v>#REF!</v>
      </c>
      <c r="F195" t="e">
        <f>AND(Bills!#REF!,"AAAAAF7q/wU=")</f>
        <v>#REF!</v>
      </c>
      <c r="G195" t="e">
        <f>AND(Bills!#REF!,"AAAAAF7q/wY=")</f>
        <v>#REF!</v>
      </c>
      <c r="H195" t="e">
        <f>AND(Bills!F817,"AAAAAF7q/wc=")</f>
        <v>#VALUE!</v>
      </c>
      <c r="I195" t="e">
        <f>AND(Bills!#REF!,"AAAAAF7q/wg=")</f>
        <v>#REF!</v>
      </c>
      <c r="J195" t="e">
        <f>AND(Bills!G817,"AAAAAF7q/wk=")</f>
        <v>#VALUE!</v>
      </c>
      <c r="K195" t="e">
        <f>AND(Bills!H817,"AAAAAF7q/wo=")</f>
        <v>#VALUE!</v>
      </c>
      <c r="L195" t="e">
        <f>AND(Bills!I817,"AAAAAF7q/ws=")</f>
        <v>#VALUE!</v>
      </c>
      <c r="M195" t="e">
        <f>AND(Bills!J817,"AAAAAF7q/ww=")</f>
        <v>#VALUE!</v>
      </c>
      <c r="N195" t="e">
        <f>AND(Bills!K817,"AAAAAF7q/w0=")</f>
        <v>#VALUE!</v>
      </c>
      <c r="O195" t="e">
        <f>AND(Bills!L817,"AAAAAF7q/w4=")</f>
        <v>#VALUE!</v>
      </c>
      <c r="P195" t="e">
        <f>AND(Bills!#REF!,"AAAAAF7q/w8=")</f>
        <v>#REF!</v>
      </c>
      <c r="Q195" t="e">
        <f>AND(Bills!M817,"AAAAAF7q/xA=")</f>
        <v>#VALUE!</v>
      </c>
      <c r="R195" t="e">
        <f>AND(Bills!N817,"AAAAAF7q/xE=")</f>
        <v>#VALUE!</v>
      </c>
      <c r="S195" t="e">
        <f>AND(Bills!O817,"AAAAAF7q/xI=")</f>
        <v>#VALUE!</v>
      </c>
      <c r="T195" t="e">
        <f>AND(Bills!P817,"AAAAAF7q/xM=")</f>
        <v>#VALUE!</v>
      </c>
      <c r="U195" t="e">
        <f>AND(Bills!Q817,"AAAAAF7q/xQ=")</f>
        <v>#VALUE!</v>
      </c>
      <c r="V195" t="e">
        <f>AND(Bills!R817,"AAAAAF7q/xU=")</f>
        <v>#VALUE!</v>
      </c>
      <c r="W195" t="e">
        <f>AND(Bills!S817,"AAAAAF7q/xY=")</f>
        <v>#VALUE!</v>
      </c>
      <c r="X195" t="e">
        <f>AND(Bills!T817,"AAAAAF7q/xc=")</f>
        <v>#VALUE!</v>
      </c>
      <c r="Y195" t="e">
        <f>AND(Bills!#REF!,"AAAAAF7q/xg=")</f>
        <v>#REF!</v>
      </c>
      <c r="Z195" t="e">
        <f>AND(Bills!U817,"AAAAAF7q/xk=")</f>
        <v>#VALUE!</v>
      </c>
      <c r="AA195" t="e">
        <f>AND(Bills!V817,"AAAAAF7q/xo=")</f>
        <v>#VALUE!</v>
      </c>
      <c r="AB195" t="e">
        <f>AND(Bills!W817,"AAAAAF7q/xs=")</f>
        <v>#VALUE!</v>
      </c>
      <c r="AC195" t="e">
        <f>AND(Bills!#REF!,"AAAAAF7q/xw=")</f>
        <v>#REF!</v>
      </c>
      <c r="AD195" t="e">
        <f>AND(Bills!#REF!,"AAAAAF7q/x0=")</f>
        <v>#REF!</v>
      </c>
      <c r="AE195" t="e">
        <f>AND(Bills!Y817,"AAAAAF7q/x4=")</f>
        <v>#VALUE!</v>
      </c>
      <c r="AF195" t="e">
        <f>AND(Bills!Z817,"AAAAAF7q/x8=")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AND(Bills!AA817,"AAAAAF7q/yk=")</f>
        <v>#VALUE!</v>
      </c>
      <c r="AQ195" t="e">
        <f>AND(Bills!AB817,"AAAAAF7q/yo=")</f>
        <v>#VALUE!</v>
      </c>
      <c r="AR195" t="e">
        <f>AND(Bills!#REF!,"AAAAAF7q/ys=")</f>
        <v>#REF!</v>
      </c>
      <c r="AS195" t="e">
        <f>AND(Bills!#REF!,"AAAAAF7q/yw=")</f>
        <v>#REF!</v>
      </c>
      <c r="AT195" t="e">
        <f>AND(Bills!#REF!,"AAAAAF7q/y0=")</f>
        <v>#REF!</v>
      </c>
      <c r="AU195" t="e">
        <f>AND(Bills!AC817,"AAAAAF7q/y4=")</f>
        <v>#VALUE!</v>
      </c>
      <c r="AV195" t="e">
        <f>AND(Bills!AD817,"AAAAAF7q/y8=")</f>
        <v>#VALUE!</v>
      </c>
      <c r="AW195" t="e">
        <f>AND(Bills!#REF!,"AAAAAF7q/zA=")</f>
        <v>#REF!</v>
      </c>
      <c r="AX195">
        <f>IF(Bills!818:818,"AAAAAF7q/zE=",0)</f>
        <v>0</v>
      </c>
      <c r="AY195" t="e">
        <f>AND(Bills!B818,"AAAAAF7q/zI=")</f>
        <v>#VALUE!</v>
      </c>
      <c r="AZ195" t="e">
        <f>AND(Bills!#REF!,"AAAAAF7q/zM=")</f>
        <v>#REF!</v>
      </c>
      <c r="BA195" t="e">
        <f>AND(Bills!C818,"AAAAAF7q/zQ=")</f>
        <v>#VALUE!</v>
      </c>
      <c r="BB195" t="e">
        <f>AND(Bills!D818,"AAAAAF7q/zU=")</f>
        <v>#VALUE!</v>
      </c>
      <c r="BC195" t="e">
        <f>AND(Bills!E818,"AAAAAF7q/zY=")</f>
        <v>#VALUE!</v>
      </c>
      <c r="BD195" t="e">
        <f>AND(Bills!#REF!,"AAAAAF7q/zc=")</f>
        <v>#REF!</v>
      </c>
      <c r="BE195" t="e">
        <f>AND(Bills!#REF!,"AAAAAF7q/zg=")</f>
        <v>#REF!</v>
      </c>
      <c r="BF195" t="e">
        <f>AND(Bills!#REF!,"AAAAAF7q/zk=")</f>
        <v>#REF!</v>
      </c>
      <c r="BG195" t="e">
        <f>AND(Bills!F818,"AAAAAF7q/zo=")</f>
        <v>#VALUE!</v>
      </c>
      <c r="BH195" t="e">
        <f>AND(Bills!#REF!,"AAAAAF7q/zs=")</f>
        <v>#REF!</v>
      </c>
      <c r="BI195" t="e">
        <f>AND(Bills!G818,"AAAAAF7q/zw=")</f>
        <v>#VALUE!</v>
      </c>
      <c r="BJ195" t="e">
        <f>AND(Bills!H818,"AAAAAF7q/z0=")</f>
        <v>#VALUE!</v>
      </c>
      <c r="BK195" t="e">
        <f>AND(Bills!I818,"AAAAAF7q/z4=")</f>
        <v>#VALUE!</v>
      </c>
      <c r="BL195" t="e">
        <f>AND(Bills!J818,"AAAAAF7q/z8=")</f>
        <v>#VALUE!</v>
      </c>
      <c r="BM195" t="e">
        <f>AND(Bills!K818,"AAAAAF7q/0A=")</f>
        <v>#VALUE!</v>
      </c>
      <c r="BN195" t="e">
        <f>AND(Bills!L818,"AAAAAF7q/0E=")</f>
        <v>#VALUE!</v>
      </c>
      <c r="BO195" t="e">
        <f>AND(Bills!#REF!,"AAAAAF7q/0I=")</f>
        <v>#REF!</v>
      </c>
      <c r="BP195" t="e">
        <f>AND(Bills!M818,"AAAAAF7q/0M=")</f>
        <v>#VALUE!</v>
      </c>
      <c r="BQ195" t="e">
        <f>AND(Bills!N818,"AAAAAF7q/0Q=")</f>
        <v>#VALUE!</v>
      </c>
      <c r="BR195" t="e">
        <f>AND(Bills!O818,"AAAAAF7q/0U=")</f>
        <v>#VALUE!</v>
      </c>
      <c r="BS195" t="e">
        <f>AND(Bills!P818,"AAAAAF7q/0Y=")</f>
        <v>#VALUE!</v>
      </c>
      <c r="BT195" t="e">
        <f>AND(Bills!Q818,"AAAAAF7q/0c=")</f>
        <v>#VALUE!</v>
      </c>
      <c r="BU195" t="e">
        <f>AND(Bills!R818,"AAAAAF7q/0g=")</f>
        <v>#VALUE!</v>
      </c>
      <c r="BV195" t="e">
        <f>AND(Bills!S818,"AAAAAF7q/0k=")</f>
        <v>#VALUE!</v>
      </c>
      <c r="BW195" t="e">
        <f>AND(Bills!T818,"AAAAAF7q/0o=")</f>
        <v>#VALUE!</v>
      </c>
      <c r="BX195" t="e">
        <f>AND(Bills!#REF!,"AAAAAF7q/0s=")</f>
        <v>#REF!</v>
      </c>
      <c r="BY195" t="e">
        <f>AND(Bills!U818,"AAAAAF7q/0w=")</f>
        <v>#VALUE!</v>
      </c>
      <c r="BZ195" t="e">
        <f>AND(Bills!V818,"AAAAAF7q/00=")</f>
        <v>#VALUE!</v>
      </c>
      <c r="CA195" t="e">
        <f>AND(Bills!W818,"AAAAAF7q/04=")</f>
        <v>#VALUE!</v>
      </c>
      <c r="CB195" t="e">
        <f>AND(Bills!#REF!,"AAAAAF7q/08=")</f>
        <v>#REF!</v>
      </c>
      <c r="CC195" t="e">
        <f>AND(Bills!#REF!,"AAAAAF7q/1A=")</f>
        <v>#REF!</v>
      </c>
      <c r="CD195" t="e">
        <f>AND(Bills!Y818,"AAAAAF7q/1E=")</f>
        <v>#VALUE!</v>
      </c>
      <c r="CE195" t="e">
        <f>AND(Bills!Z818,"AAAAAF7q/1I=")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AND(Bills!AA818,"AAAAAF7q/1w=")</f>
        <v>#VALUE!</v>
      </c>
      <c r="CP195" t="e">
        <f>AND(Bills!AB818,"AAAAAF7q/10=")</f>
        <v>#VALUE!</v>
      </c>
      <c r="CQ195" t="e">
        <f>AND(Bills!#REF!,"AAAAAF7q/14=")</f>
        <v>#REF!</v>
      </c>
      <c r="CR195" t="e">
        <f>AND(Bills!#REF!,"AAAAAF7q/18=")</f>
        <v>#REF!</v>
      </c>
      <c r="CS195" t="e">
        <f>AND(Bills!#REF!,"AAAAAF7q/2A=")</f>
        <v>#REF!</v>
      </c>
      <c r="CT195" t="e">
        <f>AND(Bills!AC818,"AAAAAF7q/2E=")</f>
        <v>#VALUE!</v>
      </c>
      <c r="CU195" t="e">
        <f>AND(Bills!AD818,"AAAAAF7q/2I=")</f>
        <v>#VALUE!</v>
      </c>
      <c r="CV195" t="e">
        <f>AND(Bills!#REF!,"AAAAAF7q/2M=")</f>
        <v>#REF!</v>
      </c>
      <c r="CW195">
        <f>IF(Bills!819:819,"AAAAAF7q/2Q=",0)</f>
        <v>0</v>
      </c>
      <c r="CX195" t="e">
        <f>AND(Bills!B819,"AAAAAF7q/2U=")</f>
        <v>#VALUE!</v>
      </c>
      <c r="CY195" t="e">
        <f>AND(Bills!#REF!,"AAAAAF7q/2Y=")</f>
        <v>#REF!</v>
      </c>
      <c r="CZ195" t="e">
        <f>AND(Bills!C819,"AAAAAF7q/2c=")</f>
        <v>#VALUE!</v>
      </c>
      <c r="DA195" t="e">
        <f>AND(Bills!D819,"AAAAAF7q/2g=")</f>
        <v>#VALUE!</v>
      </c>
      <c r="DB195" t="e">
        <f>AND(Bills!E819,"AAAAAF7q/2k=")</f>
        <v>#VALUE!</v>
      </c>
      <c r="DC195" t="e">
        <f>AND(Bills!#REF!,"AAAAAF7q/2o=")</f>
        <v>#REF!</v>
      </c>
      <c r="DD195" t="e">
        <f>AND(Bills!#REF!,"AAAAAF7q/2s=")</f>
        <v>#REF!</v>
      </c>
      <c r="DE195" t="e">
        <f>AND(Bills!#REF!,"AAAAAF7q/2w=")</f>
        <v>#REF!</v>
      </c>
      <c r="DF195" t="e">
        <f>AND(Bills!F819,"AAAAAF7q/20=")</f>
        <v>#VALUE!</v>
      </c>
      <c r="DG195" t="e">
        <f>AND(Bills!#REF!,"AAAAAF7q/24=")</f>
        <v>#REF!</v>
      </c>
      <c r="DH195" t="e">
        <f>AND(Bills!G819,"AAAAAF7q/28=")</f>
        <v>#VALUE!</v>
      </c>
      <c r="DI195" t="e">
        <f>AND(Bills!H819,"AAAAAF7q/3A=")</f>
        <v>#VALUE!</v>
      </c>
      <c r="DJ195" t="e">
        <f>AND(Bills!I819,"AAAAAF7q/3E=")</f>
        <v>#VALUE!</v>
      </c>
      <c r="DK195" t="e">
        <f>AND(Bills!J819,"AAAAAF7q/3I=")</f>
        <v>#VALUE!</v>
      </c>
      <c r="DL195" t="e">
        <f>AND(Bills!K819,"AAAAAF7q/3M=")</f>
        <v>#VALUE!</v>
      </c>
      <c r="DM195" t="e">
        <f>AND(Bills!L819,"AAAAAF7q/3Q=")</f>
        <v>#VALUE!</v>
      </c>
      <c r="DN195" t="e">
        <f>AND(Bills!#REF!,"AAAAAF7q/3U=")</f>
        <v>#REF!</v>
      </c>
      <c r="DO195" t="e">
        <f>AND(Bills!M819,"AAAAAF7q/3Y=")</f>
        <v>#VALUE!</v>
      </c>
      <c r="DP195" t="e">
        <f>AND(Bills!N819,"AAAAAF7q/3c=")</f>
        <v>#VALUE!</v>
      </c>
      <c r="DQ195" t="e">
        <f>AND(Bills!O819,"AAAAAF7q/3g=")</f>
        <v>#VALUE!</v>
      </c>
      <c r="DR195" t="e">
        <f>AND(Bills!P819,"AAAAAF7q/3k=")</f>
        <v>#VALUE!</v>
      </c>
      <c r="DS195" t="e">
        <f>AND(Bills!Q819,"AAAAAF7q/3o=")</f>
        <v>#VALUE!</v>
      </c>
      <c r="DT195" t="e">
        <f>AND(Bills!R819,"AAAAAF7q/3s=")</f>
        <v>#VALUE!</v>
      </c>
      <c r="DU195" t="e">
        <f>AND(Bills!S819,"AAAAAF7q/3w=")</f>
        <v>#VALUE!</v>
      </c>
      <c r="DV195" t="e">
        <f>AND(Bills!T819,"AAAAAF7q/30=")</f>
        <v>#VALUE!</v>
      </c>
      <c r="DW195" t="e">
        <f>AND(Bills!#REF!,"AAAAAF7q/34=")</f>
        <v>#REF!</v>
      </c>
      <c r="DX195" t="e">
        <f>AND(Bills!U819,"AAAAAF7q/38=")</f>
        <v>#VALUE!</v>
      </c>
      <c r="DY195" t="e">
        <f>AND(Bills!V819,"AAAAAF7q/4A=")</f>
        <v>#VALUE!</v>
      </c>
      <c r="DZ195" t="e">
        <f>AND(Bills!W819,"AAAAAF7q/4E=")</f>
        <v>#VALUE!</v>
      </c>
      <c r="EA195" t="e">
        <f>AND(Bills!#REF!,"AAAAAF7q/4I=")</f>
        <v>#REF!</v>
      </c>
      <c r="EB195" t="e">
        <f>AND(Bills!#REF!,"AAAAAF7q/4M=")</f>
        <v>#REF!</v>
      </c>
      <c r="EC195" t="e">
        <f>AND(Bills!Y819,"AAAAAF7q/4Q=")</f>
        <v>#VALUE!</v>
      </c>
      <c r="ED195" t="e">
        <f>AND(Bills!Z819,"AAAAAF7q/4U=")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AND(Bills!AA819,"AAAAAF7q/48=")</f>
        <v>#VALUE!</v>
      </c>
      <c r="EO195" t="e">
        <f>AND(Bills!AB819,"AAAAAF7q/5A=")</f>
        <v>#VALUE!</v>
      </c>
      <c r="EP195" t="e">
        <f>AND(Bills!#REF!,"AAAAAF7q/5E=")</f>
        <v>#REF!</v>
      </c>
      <c r="EQ195" t="e">
        <f>AND(Bills!#REF!,"AAAAAF7q/5I=")</f>
        <v>#REF!</v>
      </c>
      <c r="ER195" t="e">
        <f>AND(Bills!#REF!,"AAAAAF7q/5M=")</f>
        <v>#REF!</v>
      </c>
      <c r="ES195" t="e">
        <f>AND(Bills!AC819,"AAAAAF7q/5Q=")</f>
        <v>#VALUE!</v>
      </c>
      <c r="ET195" t="e">
        <f>AND(Bills!AD819,"AAAAAF7q/5U=")</f>
        <v>#VALUE!</v>
      </c>
      <c r="EU195" t="e">
        <f>AND(Bills!#REF!,"AAAAAF7q/5Y=")</f>
        <v>#REF!</v>
      </c>
      <c r="EV195">
        <f>IF(Bills!820:820,"AAAAAF7q/5c=",0)</f>
        <v>0</v>
      </c>
      <c r="EW195" t="e">
        <f>AND(Bills!B820,"AAAAAF7q/5g=")</f>
        <v>#VALUE!</v>
      </c>
      <c r="EX195" t="e">
        <f>AND(Bills!#REF!,"AAAAAF7q/5k=")</f>
        <v>#REF!</v>
      </c>
      <c r="EY195" t="e">
        <f>AND(Bills!C820,"AAAAAF7q/5o=")</f>
        <v>#VALUE!</v>
      </c>
      <c r="EZ195" t="e">
        <f>AND(Bills!D820,"AAAAAF7q/5s=")</f>
        <v>#VALUE!</v>
      </c>
      <c r="FA195" t="e">
        <f>AND(Bills!E820,"AAAAAF7q/5w=")</f>
        <v>#VALUE!</v>
      </c>
      <c r="FB195" t="e">
        <f>AND(Bills!#REF!,"AAAAAF7q/50=")</f>
        <v>#REF!</v>
      </c>
      <c r="FC195" t="e">
        <f>AND(Bills!#REF!,"AAAAAF7q/54=")</f>
        <v>#REF!</v>
      </c>
      <c r="FD195" t="e">
        <f>AND(Bills!#REF!,"AAAAAF7q/58=")</f>
        <v>#REF!</v>
      </c>
      <c r="FE195" t="e">
        <f>AND(Bills!F820,"AAAAAF7q/6A=")</f>
        <v>#VALUE!</v>
      </c>
      <c r="FF195" t="e">
        <f>AND(Bills!#REF!,"AAAAAF7q/6E=")</f>
        <v>#REF!</v>
      </c>
      <c r="FG195" t="e">
        <f>AND(Bills!G820,"AAAAAF7q/6I=")</f>
        <v>#VALUE!</v>
      </c>
      <c r="FH195" t="e">
        <f>AND(Bills!H820,"AAAAAF7q/6M=")</f>
        <v>#VALUE!</v>
      </c>
      <c r="FI195" t="e">
        <f>AND(Bills!I820,"AAAAAF7q/6Q=")</f>
        <v>#VALUE!</v>
      </c>
      <c r="FJ195" t="e">
        <f>AND(Bills!J820,"AAAAAF7q/6U=")</f>
        <v>#VALUE!</v>
      </c>
      <c r="FK195" t="e">
        <f>AND(Bills!K820,"AAAAAF7q/6Y=")</f>
        <v>#VALUE!</v>
      </c>
      <c r="FL195" t="e">
        <f>AND(Bills!L820,"AAAAAF7q/6c=")</f>
        <v>#VALUE!</v>
      </c>
      <c r="FM195" t="e">
        <f>AND(Bills!#REF!,"AAAAAF7q/6g=")</f>
        <v>#REF!</v>
      </c>
      <c r="FN195" t="e">
        <f>AND(Bills!M820,"AAAAAF7q/6k=")</f>
        <v>#VALUE!</v>
      </c>
      <c r="FO195" t="e">
        <f>AND(Bills!N820,"AAAAAF7q/6o=")</f>
        <v>#VALUE!</v>
      </c>
      <c r="FP195" t="e">
        <f>AND(Bills!O820,"AAAAAF7q/6s=")</f>
        <v>#VALUE!</v>
      </c>
      <c r="FQ195" t="e">
        <f>AND(Bills!P820,"AAAAAF7q/6w=")</f>
        <v>#VALUE!</v>
      </c>
      <c r="FR195" t="e">
        <f>AND(Bills!Q820,"AAAAAF7q/60=")</f>
        <v>#VALUE!</v>
      </c>
      <c r="FS195" t="e">
        <f>AND(Bills!R820,"AAAAAF7q/64=")</f>
        <v>#VALUE!</v>
      </c>
      <c r="FT195" t="e">
        <f>AND(Bills!S820,"AAAAAF7q/68=")</f>
        <v>#VALUE!</v>
      </c>
      <c r="FU195" t="e">
        <f>AND(Bills!T820,"AAAAAF7q/7A=")</f>
        <v>#VALUE!</v>
      </c>
      <c r="FV195" t="e">
        <f>AND(Bills!#REF!,"AAAAAF7q/7E=")</f>
        <v>#REF!</v>
      </c>
      <c r="FW195" t="e">
        <f>AND(Bills!U820,"AAAAAF7q/7I=")</f>
        <v>#VALUE!</v>
      </c>
      <c r="FX195" t="e">
        <f>AND(Bills!V820,"AAAAAF7q/7M=")</f>
        <v>#VALUE!</v>
      </c>
      <c r="FY195" t="e">
        <f>AND(Bills!W820,"AAAAAF7q/7Q=")</f>
        <v>#VALUE!</v>
      </c>
      <c r="FZ195" t="e">
        <f>AND(Bills!#REF!,"AAAAAF7q/7U=")</f>
        <v>#REF!</v>
      </c>
      <c r="GA195" t="e">
        <f>AND(Bills!#REF!,"AAAAAF7q/7Y=")</f>
        <v>#REF!</v>
      </c>
      <c r="GB195" t="e">
        <f>AND(Bills!Y820,"AAAAAF7q/7c=")</f>
        <v>#VALUE!</v>
      </c>
      <c r="GC195" t="e">
        <f>AND(Bills!Z820,"AAAAAF7q/7g=")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AND(Bills!AA820,"AAAAAF7q/8I=")</f>
        <v>#VALUE!</v>
      </c>
      <c r="GN195" t="e">
        <f>AND(Bills!AB820,"AAAAAF7q/8M=")</f>
        <v>#VALUE!</v>
      </c>
      <c r="GO195" t="e">
        <f>AND(Bills!#REF!,"AAAAAF7q/8Q=")</f>
        <v>#REF!</v>
      </c>
      <c r="GP195" t="e">
        <f>AND(Bills!#REF!,"AAAAAF7q/8U=")</f>
        <v>#REF!</v>
      </c>
      <c r="GQ195" t="e">
        <f>AND(Bills!#REF!,"AAAAAF7q/8Y=")</f>
        <v>#REF!</v>
      </c>
      <c r="GR195" t="e">
        <f>AND(Bills!AC820,"AAAAAF7q/8c=")</f>
        <v>#VALUE!</v>
      </c>
      <c r="GS195" t="e">
        <f>AND(Bills!AD820,"AAAAAF7q/8g=")</f>
        <v>#VALUE!</v>
      </c>
      <c r="GT195" t="e">
        <f>AND(Bills!#REF!,"AAAAAF7q/8k=")</f>
        <v>#REF!</v>
      </c>
      <c r="GU195">
        <f>IF(Bills!821:821,"AAAAAF7q/8o=",0)</f>
        <v>0</v>
      </c>
      <c r="GV195" t="e">
        <f>AND(Bills!B821,"AAAAAF7q/8s=")</f>
        <v>#VALUE!</v>
      </c>
      <c r="GW195" t="e">
        <f>AND(Bills!#REF!,"AAAAAF7q/8w=")</f>
        <v>#REF!</v>
      </c>
      <c r="GX195" t="e">
        <f>AND(Bills!C821,"AAAAAF7q/80=")</f>
        <v>#VALUE!</v>
      </c>
      <c r="GY195" t="e">
        <f>AND(Bills!D821,"AAAAAF7q/84=")</f>
        <v>#VALUE!</v>
      </c>
      <c r="GZ195" t="e">
        <f>AND(Bills!E821,"AAAAAF7q/88=")</f>
        <v>#VALUE!</v>
      </c>
      <c r="HA195" t="e">
        <f>AND(Bills!#REF!,"AAAAAF7q/9A=")</f>
        <v>#REF!</v>
      </c>
      <c r="HB195" t="e">
        <f>AND(Bills!#REF!,"AAAAAF7q/9E=")</f>
        <v>#REF!</v>
      </c>
      <c r="HC195" t="e">
        <f>AND(Bills!#REF!,"AAAAAF7q/9I=")</f>
        <v>#REF!</v>
      </c>
      <c r="HD195" t="e">
        <f>AND(Bills!F821,"AAAAAF7q/9M=")</f>
        <v>#VALUE!</v>
      </c>
      <c r="HE195" t="e">
        <f>AND(Bills!#REF!,"AAAAAF7q/9Q=")</f>
        <v>#REF!</v>
      </c>
      <c r="HF195" t="e">
        <f>AND(Bills!G821,"AAAAAF7q/9U=")</f>
        <v>#VALUE!</v>
      </c>
      <c r="HG195" t="e">
        <f>AND(Bills!H821,"AAAAAF7q/9Y=")</f>
        <v>#VALUE!</v>
      </c>
      <c r="HH195" t="e">
        <f>AND(Bills!I821,"AAAAAF7q/9c=")</f>
        <v>#VALUE!</v>
      </c>
      <c r="HI195" t="e">
        <f>AND(Bills!J821,"AAAAAF7q/9g=")</f>
        <v>#VALUE!</v>
      </c>
      <c r="HJ195" t="e">
        <f>AND(Bills!K821,"AAAAAF7q/9k=")</f>
        <v>#VALUE!</v>
      </c>
      <c r="HK195" t="e">
        <f>AND(Bills!L821,"AAAAAF7q/9o=")</f>
        <v>#VALUE!</v>
      </c>
      <c r="HL195" t="e">
        <f>AND(Bills!#REF!,"AAAAAF7q/9s=")</f>
        <v>#REF!</v>
      </c>
      <c r="HM195" t="e">
        <f>AND(Bills!M821,"AAAAAF7q/9w=")</f>
        <v>#VALUE!</v>
      </c>
      <c r="HN195" t="e">
        <f>AND(Bills!N821,"AAAAAF7q/90=")</f>
        <v>#VALUE!</v>
      </c>
      <c r="HO195" t="e">
        <f>AND(Bills!O821,"AAAAAF7q/94=")</f>
        <v>#VALUE!</v>
      </c>
      <c r="HP195" t="e">
        <f>AND(Bills!P821,"AAAAAF7q/98=")</f>
        <v>#VALUE!</v>
      </c>
      <c r="HQ195" t="e">
        <f>AND(Bills!Q821,"AAAAAF7q/+A=")</f>
        <v>#VALUE!</v>
      </c>
      <c r="HR195" t="e">
        <f>AND(Bills!R821,"AAAAAF7q/+E=")</f>
        <v>#VALUE!</v>
      </c>
      <c r="HS195" t="e">
        <f>AND(Bills!S821,"AAAAAF7q/+I=")</f>
        <v>#VALUE!</v>
      </c>
      <c r="HT195" t="e">
        <f>AND(Bills!T821,"AAAAAF7q/+M=")</f>
        <v>#VALUE!</v>
      </c>
      <c r="HU195" t="e">
        <f>AND(Bills!#REF!,"AAAAAF7q/+Q=")</f>
        <v>#REF!</v>
      </c>
      <c r="HV195" t="e">
        <f>AND(Bills!U821,"AAAAAF7q/+U=")</f>
        <v>#VALUE!</v>
      </c>
      <c r="HW195" t="e">
        <f>AND(Bills!V821,"AAAAAF7q/+Y=")</f>
        <v>#VALUE!</v>
      </c>
      <c r="HX195" t="e">
        <f>AND(Bills!W821,"AAAAAF7q/+c=")</f>
        <v>#VALUE!</v>
      </c>
      <c r="HY195" t="e">
        <f>AND(Bills!#REF!,"AAAAAF7q/+g=")</f>
        <v>#REF!</v>
      </c>
      <c r="HZ195" t="e">
        <f>AND(Bills!#REF!,"AAAAAF7q/+k=")</f>
        <v>#REF!</v>
      </c>
      <c r="IA195" t="e">
        <f>AND(Bills!Y821,"AAAAAF7q/+o=")</f>
        <v>#VALUE!</v>
      </c>
      <c r="IB195" t="e">
        <f>AND(Bills!Z821,"AAAAAF7q/+s=")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AND(Bills!AA821,"AAAAAF7q//U=")</f>
        <v>#VALUE!</v>
      </c>
      <c r="IM195" t="e">
        <f>AND(Bills!AB821,"AAAAAF7q//Y=")</f>
        <v>#VALUE!</v>
      </c>
      <c r="IN195" t="e">
        <f>AND(Bills!#REF!,"AAAAAF7q//c=")</f>
        <v>#REF!</v>
      </c>
      <c r="IO195" t="e">
        <f>AND(Bills!#REF!,"AAAAAF7q//g=")</f>
        <v>#REF!</v>
      </c>
      <c r="IP195" t="e">
        <f>AND(Bills!#REF!,"AAAAAF7q//k=")</f>
        <v>#REF!</v>
      </c>
      <c r="IQ195" t="e">
        <f>AND(Bills!AC821,"AAAAAF7q//o=")</f>
        <v>#VALUE!</v>
      </c>
      <c r="IR195" t="e">
        <f>AND(Bills!AD821,"AAAAAF7q//s=")</f>
        <v>#VALUE!</v>
      </c>
      <c r="IS195" t="e">
        <f>AND(Bills!#REF!,"AAAAAF7q//w=")</f>
        <v>#REF!</v>
      </c>
      <c r="IT195">
        <f>IF(Bills!822:822,"AAAAAF7q//0=",0)</f>
        <v>0</v>
      </c>
      <c r="IU195" t="e">
        <f>AND(Bills!B822,"AAAAAF7q//4=")</f>
        <v>#VALUE!</v>
      </c>
      <c r="IV195" t="e">
        <f>AND(Bills!#REF!,"AAAAAF7q//8=")</f>
        <v>#REF!</v>
      </c>
    </row>
    <row r="196" spans="1:256">
      <c r="A196" t="e">
        <f>AND(Bills!C822,"AAAAAGfYXwA=")</f>
        <v>#VALUE!</v>
      </c>
      <c r="B196" t="e">
        <f>AND(Bills!D822,"AAAAAGfYXwE=")</f>
        <v>#VALUE!</v>
      </c>
      <c r="C196" t="e">
        <f>AND(Bills!E822,"AAAAAGfYXwI=")</f>
        <v>#VALUE!</v>
      </c>
      <c r="D196" t="e">
        <f>AND(Bills!#REF!,"AAAAAGfYXwM=")</f>
        <v>#REF!</v>
      </c>
      <c r="E196" t="e">
        <f>AND(Bills!#REF!,"AAAAAGfYXwQ=")</f>
        <v>#REF!</v>
      </c>
      <c r="F196" t="e">
        <f>AND(Bills!#REF!,"AAAAAGfYXwU=")</f>
        <v>#REF!</v>
      </c>
      <c r="G196" t="e">
        <f>AND(Bills!F822,"AAAAAGfYXwY=")</f>
        <v>#VALUE!</v>
      </c>
      <c r="H196" t="e">
        <f>AND(Bills!#REF!,"AAAAAGfYXwc=")</f>
        <v>#REF!</v>
      </c>
      <c r="I196" t="e">
        <f>AND(Bills!G822,"AAAAAGfYXwg=")</f>
        <v>#VALUE!</v>
      </c>
      <c r="J196" t="e">
        <f>AND(Bills!H822,"AAAAAGfYXwk=")</f>
        <v>#VALUE!</v>
      </c>
      <c r="K196" t="e">
        <f>AND(Bills!I822,"AAAAAGfYXwo=")</f>
        <v>#VALUE!</v>
      </c>
      <c r="L196" t="e">
        <f>AND(Bills!J822,"AAAAAGfYXws=")</f>
        <v>#VALUE!</v>
      </c>
      <c r="M196" t="e">
        <f>AND(Bills!K822,"AAAAAGfYXww=")</f>
        <v>#VALUE!</v>
      </c>
      <c r="N196" t="e">
        <f>AND(Bills!L822,"AAAAAGfYXw0=")</f>
        <v>#VALUE!</v>
      </c>
      <c r="O196" t="e">
        <f>AND(Bills!#REF!,"AAAAAGfYXw4=")</f>
        <v>#REF!</v>
      </c>
      <c r="P196" t="e">
        <f>AND(Bills!M822,"AAAAAGfYXw8=")</f>
        <v>#VALUE!</v>
      </c>
      <c r="Q196" t="e">
        <f>AND(Bills!N822,"AAAAAGfYXxA=")</f>
        <v>#VALUE!</v>
      </c>
      <c r="R196" t="e">
        <f>AND(Bills!O822,"AAAAAGfYXxE=")</f>
        <v>#VALUE!</v>
      </c>
      <c r="S196" t="e">
        <f>AND(Bills!P822,"AAAAAGfYXxI=")</f>
        <v>#VALUE!</v>
      </c>
      <c r="T196" t="e">
        <f>AND(Bills!Q822,"AAAAAGfYXxM=")</f>
        <v>#VALUE!</v>
      </c>
      <c r="U196" t="e">
        <f>AND(Bills!R822,"AAAAAGfYXxQ=")</f>
        <v>#VALUE!</v>
      </c>
      <c r="V196" t="e">
        <f>AND(Bills!S822,"AAAAAGfYXxU=")</f>
        <v>#VALUE!</v>
      </c>
      <c r="W196" t="e">
        <f>AND(Bills!T822,"AAAAAGfYXxY=")</f>
        <v>#VALUE!</v>
      </c>
      <c r="X196" t="e">
        <f>AND(Bills!#REF!,"AAAAAGfYXxc=")</f>
        <v>#REF!</v>
      </c>
      <c r="Y196" t="e">
        <f>AND(Bills!U822,"AAAAAGfYXxg=")</f>
        <v>#VALUE!</v>
      </c>
      <c r="Z196" t="e">
        <f>AND(Bills!V822,"AAAAAGfYXxk=")</f>
        <v>#VALUE!</v>
      </c>
      <c r="AA196" t="e">
        <f>AND(Bills!W822,"AAAAAGfYXxo=")</f>
        <v>#VALUE!</v>
      </c>
      <c r="AB196" t="e">
        <f>AND(Bills!#REF!,"AAAAAGfYXxs=")</f>
        <v>#REF!</v>
      </c>
      <c r="AC196" t="e">
        <f>AND(Bills!#REF!,"AAAAAGfYXxw=")</f>
        <v>#REF!</v>
      </c>
      <c r="AD196" t="e">
        <f>AND(Bills!Y822,"AAAAAGfYXx0=")</f>
        <v>#VALUE!</v>
      </c>
      <c r="AE196" t="e">
        <f>AND(Bills!Z822,"AAAAAGfYXx4=")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AND(Bills!AA822,"AAAAAGfYXyg=")</f>
        <v>#VALUE!</v>
      </c>
      <c r="AP196" t="e">
        <f>AND(Bills!AB822,"AAAAAGfYXyk=")</f>
        <v>#VALUE!</v>
      </c>
      <c r="AQ196" t="e">
        <f>AND(Bills!#REF!,"AAAAAGfYXyo=")</f>
        <v>#REF!</v>
      </c>
      <c r="AR196" t="e">
        <f>AND(Bills!#REF!,"AAAAAGfYXys=")</f>
        <v>#REF!</v>
      </c>
      <c r="AS196" t="e">
        <f>AND(Bills!#REF!,"AAAAAGfYXyw=")</f>
        <v>#REF!</v>
      </c>
      <c r="AT196" t="e">
        <f>AND(Bills!AC822,"AAAAAGfYXy0=")</f>
        <v>#VALUE!</v>
      </c>
      <c r="AU196" t="e">
        <f>AND(Bills!AD822,"AAAAAGfYXy4=")</f>
        <v>#VALUE!</v>
      </c>
      <c r="AV196" t="e">
        <f>AND(Bills!#REF!,"AAAAAGfYXy8=")</f>
        <v>#REF!</v>
      </c>
      <c r="AW196">
        <f>IF(Bills!823:823,"AAAAAGfYXzA=",0)</f>
        <v>0</v>
      </c>
      <c r="AX196" t="e">
        <f>AND(Bills!B823,"AAAAAGfYXzE=")</f>
        <v>#VALUE!</v>
      </c>
      <c r="AY196" t="e">
        <f>AND(Bills!#REF!,"AAAAAGfYXzI=")</f>
        <v>#REF!</v>
      </c>
      <c r="AZ196" t="e">
        <f>AND(Bills!C823,"AAAAAGfYXzM=")</f>
        <v>#VALUE!</v>
      </c>
      <c r="BA196" t="e">
        <f>AND(Bills!D823,"AAAAAGfYXzQ=")</f>
        <v>#VALUE!</v>
      </c>
      <c r="BB196" t="e">
        <f>AND(Bills!E823,"AAAAAGfYXzU=")</f>
        <v>#VALUE!</v>
      </c>
      <c r="BC196" t="e">
        <f>AND(Bills!#REF!,"AAAAAGfYXzY=")</f>
        <v>#REF!</v>
      </c>
      <c r="BD196" t="e">
        <f>AND(Bills!#REF!,"AAAAAGfYXzc=")</f>
        <v>#REF!</v>
      </c>
      <c r="BE196" t="e">
        <f>AND(Bills!#REF!,"AAAAAGfYXzg=")</f>
        <v>#REF!</v>
      </c>
      <c r="BF196" t="e">
        <f>AND(Bills!F823,"AAAAAGfYXzk=")</f>
        <v>#VALUE!</v>
      </c>
      <c r="BG196" t="e">
        <f>AND(Bills!#REF!,"AAAAAGfYXzo=")</f>
        <v>#REF!</v>
      </c>
      <c r="BH196" t="e">
        <f>AND(Bills!G823,"AAAAAGfYXzs=")</f>
        <v>#VALUE!</v>
      </c>
      <c r="BI196" t="e">
        <f>AND(Bills!H823,"AAAAAGfYXzw=")</f>
        <v>#VALUE!</v>
      </c>
      <c r="BJ196" t="e">
        <f>AND(Bills!I823,"AAAAAGfYXz0=")</f>
        <v>#VALUE!</v>
      </c>
      <c r="BK196" t="e">
        <f>AND(Bills!J823,"AAAAAGfYXz4=")</f>
        <v>#VALUE!</v>
      </c>
      <c r="BL196" t="e">
        <f>AND(Bills!K823,"AAAAAGfYXz8=")</f>
        <v>#VALUE!</v>
      </c>
      <c r="BM196" t="e">
        <f>AND(Bills!L823,"AAAAAGfYX0A=")</f>
        <v>#VALUE!</v>
      </c>
      <c r="BN196" t="e">
        <f>AND(Bills!#REF!,"AAAAAGfYX0E=")</f>
        <v>#REF!</v>
      </c>
      <c r="BO196" t="e">
        <f>AND(Bills!M823,"AAAAAGfYX0I=")</f>
        <v>#VALUE!</v>
      </c>
      <c r="BP196" t="e">
        <f>AND(Bills!N823,"AAAAAGfYX0M=")</f>
        <v>#VALUE!</v>
      </c>
      <c r="BQ196" t="e">
        <f>AND(Bills!O823,"AAAAAGfYX0Q=")</f>
        <v>#VALUE!</v>
      </c>
      <c r="BR196" t="e">
        <f>AND(Bills!P823,"AAAAAGfYX0U=")</f>
        <v>#VALUE!</v>
      </c>
      <c r="BS196" t="e">
        <f>AND(Bills!Q823,"AAAAAGfYX0Y=")</f>
        <v>#VALUE!</v>
      </c>
      <c r="BT196" t="e">
        <f>AND(Bills!R823,"AAAAAGfYX0c=")</f>
        <v>#VALUE!</v>
      </c>
      <c r="BU196" t="e">
        <f>AND(Bills!S823,"AAAAAGfYX0g=")</f>
        <v>#VALUE!</v>
      </c>
      <c r="BV196" t="e">
        <f>AND(Bills!T823,"AAAAAGfYX0k=")</f>
        <v>#VALUE!</v>
      </c>
      <c r="BW196" t="e">
        <f>AND(Bills!#REF!,"AAAAAGfYX0o=")</f>
        <v>#REF!</v>
      </c>
      <c r="BX196" t="e">
        <f>AND(Bills!U823,"AAAAAGfYX0s=")</f>
        <v>#VALUE!</v>
      </c>
      <c r="BY196" t="e">
        <f>AND(Bills!V823,"AAAAAGfYX0w=")</f>
        <v>#VALUE!</v>
      </c>
      <c r="BZ196" t="e">
        <f>AND(Bills!W823,"AAAAAGfYX00=")</f>
        <v>#VALUE!</v>
      </c>
      <c r="CA196" t="e">
        <f>AND(Bills!#REF!,"AAAAAGfYX04=")</f>
        <v>#REF!</v>
      </c>
      <c r="CB196" t="e">
        <f>AND(Bills!#REF!,"AAAAAGfYX08=")</f>
        <v>#REF!</v>
      </c>
      <c r="CC196" t="e">
        <f>AND(Bills!Y823,"AAAAAGfYX1A=")</f>
        <v>#VALUE!</v>
      </c>
      <c r="CD196" t="e">
        <f>AND(Bills!Z823,"AAAAAGfYX1E=")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AND(Bills!AA823,"AAAAAGfYX1s=")</f>
        <v>#VALUE!</v>
      </c>
      <c r="CO196" t="e">
        <f>AND(Bills!AB823,"AAAAAGfYX1w=")</f>
        <v>#VALUE!</v>
      </c>
      <c r="CP196" t="e">
        <f>AND(Bills!#REF!,"AAAAAGfYX10=")</f>
        <v>#REF!</v>
      </c>
      <c r="CQ196" t="e">
        <f>AND(Bills!#REF!,"AAAAAGfYX14=")</f>
        <v>#REF!</v>
      </c>
      <c r="CR196" t="e">
        <f>AND(Bills!#REF!,"AAAAAGfYX18=")</f>
        <v>#REF!</v>
      </c>
      <c r="CS196" t="e">
        <f>AND(Bills!AC823,"AAAAAGfYX2A=")</f>
        <v>#VALUE!</v>
      </c>
      <c r="CT196" t="e">
        <f>AND(Bills!AD823,"AAAAAGfYX2E=")</f>
        <v>#VALUE!</v>
      </c>
      <c r="CU196" t="e">
        <f>AND(Bills!#REF!,"AAAAAGfYX2I=")</f>
        <v>#REF!</v>
      </c>
      <c r="CV196">
        <f>IF(Bills!824:824,"AAAAAGfYX2M=",0)</f>
        <v>0</v>
      </c>
      <c r="CW196" t="e">
        <f>AND(Bills!B824,"AAAAAGfYX2Q=")</f>
        <v>#VALUE!</v>
      </c>
      <c r="CX196" t="e">
        <f>AND(Bills!#REF!,"AAAAAGfYX2U=")</f>
        <v>#REF!</v>
      </c>
      <c r="CY196" t="e">
        <f>AND(Bills!C824,"AAAAAGfYX2Y=")</f>
        <v>#VALUE!</v>
      </c>
      <c r="CZ196" t="e">
        <f>AND(Bills!D824,"AAAAAGfYX2c=")</f>
        <v>#VALUE!</v>
      </c>
      <c r="DA196" t="e">
        <f>AND(Bills!E824,"AAAAAGfYX2g=")</f>
        <v>#VALUE!</v>
      </c>
      <c r="DB196" t="e">
        <f>AND(Bills!#REF!,"AAAAAGfYX2k=")</f>
        <v>#REF!</v>
      </c>
      <c r="DC196" t="e">
        <f>AND(Bills!#REF!,"AAAAAGfYX2o=")</f>
        <v>#REF!</v>
      </c>
      <c r="DD196" t="e">
        <f>AND(Bills!#REF!,"AAAAAGfYX2s=")</f>
        <v>#REF!</v>
      </c>
      <c r="DE196" t="e">
        <f>AND(Bills!F824,"AAAAAGfYX2w=")</f>
        <v>#VALUE!</v>
      </c>
      <c r="DF196" t="e">
        <f>AND(Bills!#REF!,"AAAAAGfYX20=")</f>
        <v>#REF!</v>
      </c>
      <c r="DG196" t="e">
        <f>AND(Bills!G824,"AAAAAGfYX24=")</f>
        <v>#VALUE!</v>
      </c>
      <c r="DH196" t="e">
        <f>AND(Bills!H824,"AAAAAGfYX28=")</f>
        <v>#VALUE!</v>
      </c>
      <c r="DI196" t="e">
        <f>AND(Bills!I824,"AAAAAGfYX3A=")</f>
        <v>#VALUE!</v>
      </c>
      <c r="DJ196" t="e">
        <f>AND(Bills!J824,"AAAAAGfYX3E=")</f>
        <v>#VALUE!</v>
      </c>
      <c r="DK196" t="e">
        <f>AND(Bills!K824,"AAAAAGfYX3I=")</f>
        <v>#VALUE!</v>
      </c>
      <c r="DL196" t="e">
        <f>AND(Bills!L824,"AAAAAGfYX3M=")</f>
        <v>#VALUE!</v>
      </c>
      <c r="DM196" t="e">
        <f>AND(Bills!#REF!,"AAAAAGfYX3Q=")</f>
        <v>#REF!</v>
      </c>
      <c r="DN196" t="e">
        <f>AND(Bills!M824,"AAAAAGfYX3U=")</f>
        <v>#VALUE!</v>
      </c>
      <c r="DO196" t="e">
        <f>AND(Bills!N824,"AAAAAGfYX3Y=")</f>
        <v>#VALUE!</v>
      </c>
      <c r="DP196" t="e">
        <f>AND(Bills!O824,"AAAAAGfYX3c=")</f>
        <v>#VALUE!</v>
      </c>
      <c r="DQ196" t="e">
        <f>AND(Bills!P824,"AAAAAGfYX3g=")</f>
        <v>#VALUE!</v>
      </c>
      <c r="DR196" t="e">
        <f>AND(Bills!Q824,"AAAAAGfYX3k=")</f>
        <v>#VALUE!</v>
      </c>
      <c r="DS196" t="e">
        <f>AND(Bills!R824,"AAAAAGfYX3o=")</f>
        <v>#VALUE!</v>
      </c>
      <c r="DT196" t="e">
        <f>AND(Bills!S824,"AAAAAGfYX3s=")</f>
        <v>#VALUE!</v>
      </c>
      <c r="DU196" t="e">
        <f>AND(Bills!T824,"AAAAAGfYX3w=")</f>
        <v>#VALUE!</v>
      </c>
      <c r="DV196" t="e">
        <f>AND(Bills!#REF!,"AAAAAGfYX30=")</f>
        <v>#REF!</v>
      </c>
      <c r="DW196" t="e">
        <f>AND(Bills!U824,"AAAAAGfYX34=")</f>
        <v>#VALUE!</v>
      </c>
      <c r="DX196" t="e">
        <f>AND(Bills!V824,"AAAAAGfYX38=")</f>
        <v>#VALUE!</v>
      </c>
      <c r="DY196" t="e">
        <f>AND(Bills!W824,"AAAAAGfYX4A=")</f>
        <v>#VALUE!</v>
      </c>
      <c r="DZ196" t="e">
        <f>AND(Bills!#REF!,"AAAAAGfYX4E=")</f>
        <v>#REF!</v>
      </c>
      <c r="EA196" t="e">
        <f>AND(Bills!#REF!,"AAAAAGfYX4I=")</f>
        <v>#REF!</v>
      </c>
      <c r="EB196" t="e">
        <f>AND(Bills!Y824,"AAAAAGfYX4M=")</f>
        <v>#VALUE!</v>
      </c>
      <c r="EC196" t="e">
        <f>AND(Bills!Z824,"AAAAAGfYX4Q=")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AND(Bills!AA824,"AAAAAGfYX44=")</f>
        <v>#VALUE!</v>
      </c>
      <c r="EN196" t="e">
        <f>AND(Bills!AB824,"AAAAAGfYX48=")</f>
        <v>#VALUE!</v>
      </c>
      <c r="EO196" t="e">
        <f>AND(Bills!#REF!,"AAAAAGfYX5A=")</f>
        <v>#REF!</v>
      </c>
      <c r="EP196" t="e">
        <f>AND(Bills!#REF!,"AAAAAGfYX5E=")</f>
        <v>#REF!</v>
      </c>
      <c r="EQ196" t="e">
        <f>AND(Bills!#REF!,"AAAAAGfYX5I=")</f>
        <v>#REF!</v>
      </c>
      <c r="ER196" t="e">
        <f>AND(Bills!AC824,"AAAAAGfYX5M=")</f>
        <v>#VALUE!</v>
      </c>
      <c r="ES196" t="e">
        <f>AND(Bills!AD824,"AAAAAGfYX5Q=")</f>
        <v>#VALUE!</v>
      </c>
      <c r="ET196" t="e">
        <f>AND(Bills!#REF!,"AAAAAGfYX5U=")</f>
        <v>#REF!</v>
      </c>
      <c r="EU196">
        <f>IF(Bills!825:825,"AAAAAGfYX5Y=",0)</f>
        <v>0</v>
      </c>
      <c r="EV196" t="e">
        <f>AND(Bills!B825,"AAAAAGfYX5c=")</f>
        <v>#VALUE!</v>
      </c>
      <c r="EW196" t="e">
        <f>AND(Bills!#REF!,"AAAAAGfYX5g=")</f>
        <v>#REF!</v>
      </c>
      <c r="EX196" t="e">
        <f>AND(Bills!C825,"AAAAAGfYX5k=")</f>
        <v>#VALUE!</v>
      </c>
      <c r="EY196" t="e">
        <f>AND(Bills!D825,"AAAAAGfYX5o=")</f>
        <v>#VALUE!</v>
      </c>
      <c r="EZ196" t="e">
        <f>AND(Bills!E825,"AAAAAGfYX5s=")</f>
        <v>#VALUE!</v>
      </c>
      <c r="FA196" t="e">
        <f>AND(Bills!#REF!,"AAAAAGfYX5w=")</f>
        <v>#REF!</v>
      </c>
      <c r="FB196" t="e">
        <f>AND(Bills!#REF!,"AAAAAGfYX50=")</f>
        <v>#REF!</v>
      </c>
      <c r="FC196" t="e">
        <f>AND(Bills!#REF!,"AAAAAGfYX54=")</f>
        <v>#REF!</v>
      </c>
      <c r="FD196" t="e">
        <f>AND(Bills!F825,"AAAAAGfYX58=")</f>
        <v>#VALUE!</v>
      </c>
      <c r="FE196" t="e">
        <f>AND(Bills!#REF!,"AAAAAGfYX6A=")</f>
        <v>#REF!</v>
      </c>
      <c r="FF196" t="e">
        <f>AND(Bills!G825,"AAAAAGfYX6E=")</f>
        <v>#VALUE!</v>
      </c>
      <c r="FG196" t="e">
        <f>AND(Bills!H825,"AAAAAGfYX6I=")</f>
        <v>#VALUE!</v>
      </c>
      <c r="FH196" t="e">
        <f>AND(Bills!I825,"AAAAAGfYX6M=")</f>
        <v>#VALUE!</v>
      </c>
      <c r="FI196" t="e">
        <f>AND(Bills!J825,"AAAAAGfYX6Q=")</f>
        <v>#VALUE!</v>
      </c>
      <c r="FJ196" t="e">
        <f>AND(Bills!K825,"AAAAAGfYX6U=")</f>
        <v>#VALUE!</v>
      </c>
      <c r="FK196" t="e">
        <f>AND(Bills!L825,"AAAAAGfYX6Y=")</f>
        <v>#VALUE!</v>
      </c>
      <c r="FL196" t="e">
        <f>AND(Bills!#REF!,"AAAAAGfYX6c=")</f>
        <v>#REF!</v>
      </c>
      <c r="FM196" t="e">
        <f>AND(Bills!M825,"AAAAAGfYX6g=")</f>
        <v>#VALUE!</v>
      </c>
      <c r="FN196" t="e">
        <f>AND(Bills!N825,"AAAAAGfYX6k=")</f>
        <v>#VALUE!</v>
      </c>
      <c r="FO196" t="e">
        <f>AND(Bills!O825,"AAAAAGfYX6o=")</f>
        <v>#VALUE!</v>
      </c>
      <c r="FP196" t="e">
        <f>AND(Bills!P825,"AAAAAGfYX6s=")</f>
        <v>#VALUE!</v>
      </c>
      <c r="FQ196" t="e">
        <f>AND(Bills!Q825,"AAAAAGfYX6w=")</f>
        <v>#VALUE!</v>
      </c>
      <c r="FR196" t="e">
        <f>AND(Bills!R825,"AAAAAGfYX60=")</f>
        <v>#VALUE!</v>
      </c>
      <c r="FS196" t="e">
        <f>AND(Bills!S825,"AAAAAGfYX64=")</f>
        <v>#VALUE!</v>
      </c>
      <c r="FT196" t="e">
        <f>AND(Bills!T825,"AAAAAGfYX68=")</f>
        <v>#VALUE!</v>
      </c>
      <c r="FU196" t="e">
        <f>AND(Bills!#REF!,"AAAAAGfYX7A=")</f>
        <v>#REF!</v>
      </c>
      <c r="FV196" t="e">
        <f>AND(Bills!U825,"AAAAAGfYX7E=")</f>
        <v>#VALUE!</v>
      </c>
      <c r="FW196" t="e">
        <f>AND(Bills!V825,"AAAAAGfYX7I=")</f>
        <v>#VALUE!</v>
      </c>
      <c r="FX196" t="e">
        <f>AND(Bills!W825,"AAAAAGfYX7M=")</f>
        <v>#VALUE!</v>
      </c>
      <c r="FY196" t="e">
        <f>AND(Bills!#REF!,"AAAAAGfYX7Q=")</f>
        <v>#REF!</v>
      </c>
      <c r="FZ196" t="e">
        <f>AND(Bills!#REF!,"AAAAAGfYX7U=")</f>
        <v>#REF!</v>
      </c>
      <c r="GA196" t="e">
        <f>AND(Bills!Y825,"AAAAAGfYX7Y=")</f>
        <v>#VALUE!</v>
      </c>
      <c r="GB196" t="e">
        <f>AND(Bills!Z825,"AAAAAGfYX7c=")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AND(Bills!AA825,"AAAAAGfYX8E=")</f>
        <v>#VALUE!</v>
      </c>
      <c r="GM196" t="e">
        <f>AND(Bills!AB825,"AAAAAGfYX8I=")</f>
        <v>#VALUE!</v>
      </c>
      <c r="GN196" t="e">
        <f>AND(Bills!#REF!,"AAAAAGfYX8M=")</f>
        <v>#REF!</v>
      </c>
      <c r="GO196" t="e">
        <f>AND(Bills!#REF!,"AAAAAGfYX8Q=")</f>
        <v>#REF!</v>
      </c>
      <c r="GP196" t="e">
        <f>AND(Bills!#REF!,"AAAAAGfYX8U=")</f>
        <v>#REF!</v>
      </c>
      <c r="GQ196" t="e">
        <f>AND(Bills!AC825,"AAAAAGfYX8Y=")</f>
        <v>#VALUE!</v>
      </c>
      <c r="GR196" t="e">
        <f>AND(Bills!AD825,"AAAAAGfYX8c=")</f>
        <v>#VALUE!</v>
      </c>
      <c r="GS196" t="e">
        <f>AND(Bills!#REF!,"AAAAAGfYX8g=")</f>
        <v>#REF!</v>
      </c>
      <c r="GT196">
        <f>IF(Bills!826:826,"AAAAAGfYX8k=",0)</f>
        <v>0</v>
      </c>
      <c r="GU196" t="e">
        <f>AND(Bills!B826,"AAAAAGfYX8o=")</f>
        <v>#VALUE!</v>
      </c>
      <c r="GV196" t="e">
        <f>AND(Bills!#REF!,"AAAAAGfYX8s=")</f>
        <v>#REF!</v>
      </c>
      <c r="GW196" t="e">
        <f>AND(Bills!C826,"AAAAAGfYX8w=")</f>
        <v>#VALUE!</v>
      </c>
      <c r="GX196" t="e">
        <f>AND(Bills!D826,"AAAAAGfYX80=")</f>
        <v>#VALUE!</v>
      </c>
      <c r="GY196" t="e">
        <f>AND(Bills!E826,"AAAAAGfYX84=")</f>
        <v>#VALUE!</v>
      </c>
      <c r="GZ196" t="e">
        <f>AND(Bills!#REF!,"AAAAAGfYX88=")</f>
        <v>#REF!</v>
      </c>
      <c r="HA196" t="e">
        <f>AND(Bills!#REF!,"AAAAAGfYX9A=")</f>
        <v>#REF!</v>
      </c>
      <c r="HB196" t="e">
        <f>AND(Bills!#REF!,"AAAAAGfYX9E=")</f>
        <v>#REF!</v>
      </c>
      <c r="HC196" t="e">
        <f>AND(Bills!F826,"AAAAAGfYX9I=")</f>
        <v>#VALUE!</v>
      </c>
      <c r="HD196" t="e">
        <f>AND(Bills!#REF!,"AAAAAGfYX9M=")</f>
        <v>#REF!</v>
      </c>
      <c r="HE196" t="e">
        <f>AND(Bills!G826,"AAAAAGfYX9Q=")</f>
        <v>#VALUE!</v>
      </c>
      <c r="HF196" t="e">
        <f>AND(Bills!H826,"AAAAAGfYX9U=")</f>
        <v>#VALUE!</v>
      </c>
      <c r="HG196" t="e">
        <f>AND(Bills!I826,"AAAAAGfYX9Y=")</f>
        <v>#VALUE!</v>
      </c>
      <c r="HH196" t="e">
        <f>AND(Bills!J826,"AAAAAGfYX9c=")</f>
        <v>#VALUE!</v>
      </c>
      <c r="HI196" t="e">
        <f>AND(Bills!K826,"AAAAAGfYX9g=")</f>
        <v>#VALUE!</v>
      </c>
      <c r="HJ196" t="e">
        <f>AND(Bills!L826,"AAAAAGfYX9k=")</f>
        <v>#VALUE!</v>
      </c>
      <c r="HK196" t="e">
        <f>AND(Bills!#REF!,"AAAAAGfYX9o=")</f>
        <v>#REF!</v>
      </c>
      <c r="HL196" t="e">
        <f>AND(Bills!M826,"AAAAAGfYX9s=")</f>
        <v>#VALUE!</v>
      </c>
      <c r="HM196" t="e">
        <f>AND(Bills!N826,"AAAAAGfYX9w=")</f>
        <v>#VALUE!</v>
      </c>
      <c r="HN196" t="e">
        <f>AND(Bills!O826,"AAAAAGfYX90=")</f>
        <v>#VALUE!</v>
      </c>
      <c r="HO196" t="e">
        <f>AND(Bills!P826,"AAAAAGfYX94=")</f>
        <v>#VALUE!</v>
      </c>
      <c r="HP196" t="e">
        <f>AND(Bills!Q826,"AAAAAGfYX98=")</f>
        <v>#VALUE!</v>
      </c>
      <c r="HQ196" t="e">
        <f>AND(Bills!R826,"AAAAAGfYX+A=")</f>
        <v>#VALUE!</v>
      </c>
      <c r="HR196" t="e">
        <f>AND(Bills!S826,"AAAAAGfYX+E=")</f>
        <v>#VALUE!</v>
      </c>
      <c r="HS196" t="e">
        <f>AND(Bills!T826,"AAAAAGfYX+I=")</f>
        <v>#VALUE!</v>
      </c>
      <c r="HT196" t="e">
        <f>AND(Bills!#REF!,"AAAAAGfYX+M=")</f>
        <v>#REF!</v>
      </c>
      <c r="HU196" t="e">
        <f>AND(Bills!U826,"AAAAAGfYX+Q=")</f>
        <v>#VALUE!</v>
      </c>
      <c r="HV196" t="e">
        <f>AND(Bills!V826,"AAAAAGfYX+U=")</f>
        <v>#VALUE!</v>
      </c>
      <c r="HW196" t="e">
        <f>AND(Bills!W826,"AAAAAGfYX+Y=")</f>
        <v>#VALUE!</v>
      </c>
      <c r="HX196" t="e">
        <f>AND(Bills!#REF!,"AAAAAGfYX+c=")</f>
        <v>#REF!</v>
      </c>
      <c r="HY196" t="e">
        <f>AND(Bills!#REF!,"AAAAAGfYX+g=")</f>
        <v>#REF!</v>
      </c>
      <c r="HZ196" t="e">
        <f>AND(Bills!Y826,"AAAAAGfYX+k=")</f>
        <v>#VALUE!</v>
      </c>
      <c r="IA196" t="e">
        <f>AND(Bills!Z826,"AAAAAGfYX+o=")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AND(Bills!AA826,"AAAAAGfYX/Q=")</f>
        <v>#VALUE!</v>
      </c>
      <c r="IL196" t="e">
        <f>AND(Bills!AB826,"AAAAAGfYX/U=")</f>
        <v>#VALUE!</v>
      </c>
      <c r="IM196" t="e">
        <f>AND(Bills!#REF!,"AAAAAGfYX/Y=")</f>
        <v>#REF!</v>
      </c>
      <c r="IN196" t="e">
        <f>AND(Bills!#REF!,"AAAAAGfYX/c=")</f>
        <v>#REF!</v>
      </c>
      <c r="IO196" t="e">
        <f>AND(Bills!#REF!,"AAAAAGfYX/g=")</f>
        <v>#REF!</v>
      </c>
      <c r="IP196" t="e">
        <f>AND(Bills!AC826,"AAAAAGfYX/k=")</f>
        <v>#VALUE!</v>
      </c>
      <c r="IQ196" t="e">
        <f>AND(Bills!AD826,"AAAAAGfYX/o=")</f>
        <v>#VALUE!</v>
      </c>
      <c r="IR196" t="e">
        <f>AND(Bills!#REF!,"AAAAAGfYX/s=")</f>
        <v>#REF!</v>
      </c>
      <c r="IS196">
        <f>IF(Bills!827:827,"AAAAAGfYX/w=",0)</f>
        <v>0</v>
      </c>
      <c r="IT196" t="e">
        <f>AND(Bills!B827,"AAAAAGfYX/0=")</f>
        <v>#VALUE!</v>
      </c>
      <c r="IU196" t="e">
        <f>AND(Bills!#REF!,"AAAAAGfYX/4=")</f>
        <v>#REF!</v>
      </c>
      <c r="IV196" t="e">
        <f>AND(Bills!C827,"AAAAAGfYX/8=")</f>
        <v>#VALUE!</v>
      </c>
    </row>
    <row r="197" spans="1:256">
      <c r="A197" t="e">
        <f>AND(Bills!D827,"AAAAAD/z+gA=")</f>
        <v>#VALUE!</v>
      </c>
      <c r="B197" t="e">
        <f>AND(Bills!E827,"AAAAAD/z+gE=")</f>
        <v>#VALUE!</v>
      </c>
      <c r="C197" t="e">
        <f>AND(Bills!#REF!,"AAAAAD/z+gI=")</f>
        <v>#REF!</v>
      </c>
      <c r="D197" t="e">
        <f>AND(Bills!#REF!,"AAAAAD/z+gM=")</f>
        <v>#REF!</v>
      </c>
      <c r="E197" t="e">
        <f>AND(Bills!#REF!,"AAAAAD/z+gQ=")</f>
        <v>#REF!</v>
      </c>
      <c r="F197" t="e">
        <f>AND(Bills!F827,"AAAAAD/z+gU=")</f>
        <v>#VALUE!</v>
      </c>
      <c r="G197" t="e">
        <f>AND(Bills!#REF!,"AAAAAD/z+gY=")</f>
        <v>#REF!</v>
      </c>
      <c r="H197" t="e">
        <f>AND(Bills!G827,"AAAAAD/z+gc=")</f>
        <v>#VALUE!</v>
      </c>
      <c r="I197" t="e">
        <f>AND(Bills!H827,"AAAAAD/z+gg=")</f>
        <v>#VALUE!</v>
      </c>
      <c r="J197" t="e">
        <f>AND(Bills!I827,"AAAAAD/z+gk=")</f>
        <v>#VALUE!</v>
      </c>
      <c r="K197" t="e">
        <f>AND(Bills!J827,"AAAAAD/z+go=")</f>
        <v>#VALUE!</v>
      </c>
      <c r="L197" t="e">
        <f>AND(Bills!K827,"AAAAAD/z+gs=")</f>
        <v>#VALUE!</v>
      </c>
      <c r="M197" t="e">
        <f>AND(Bills!L827,"AAAAAD/z+gw=")</f>
        <v>#VALUE!</v>
      </c>
      <c r="N197" t="e">
        <f>AND(Bills!#REF!,"AAAAAD/z+g0=")</f>
        <v>#REF!</v>
      </c>
      <c r="O197" t="e">
        <f>AND(Bills!M827,"AAAAAD/z+g4=")</f>
        <v>#VALUE!</v>
      </c>
      <c r="P197" t="e">
        <f>AND(Bills!N827,"AAAAAD/z+g8=")</f>
        <v>#VALUE!</v>
      </c>
      <c r="Q197" t="e">
        <f>AND(Bills!O827,"AAAAAD/z+hA=")</f>
        <v>#VALUE!</v>
      </c>
      <c r="R197" t="e">
        <f>AND(Bills!P827,"AAAAAD/z+hE=")</f>
        <v>#VALUE!</v>
      </c>
      <c r="S197" t="e">
        <f>AND(Bills!Q827,"AAAAAD/z+hI=")</f>
        <v>#VALUE!</v>
      </c>
      <c r="T197" t="e">
        <f>AND(Bills!R827,"AAAAAD/z+hM=")</f>
        <v>#VALUE!</v>
      </c>
      <c r="U197" t="e">
        <f>AND(Bills!S827,"AAAAAD/z+hQ=")</f>
        <v>#VALUE!</v>
      </c>
      <c r="V197" t="e">
        <f>AND(Bills!T827,"AAAAAD/z+hU=")</f>
        <v>#VALUE!</v>
      </c>
      <c r="W197" t="e">
        <f>AND(Bills!#REF!,"AAAAAD/z+hY=")</f>
        <v>#REF!</v>
      </c>
      <c r="X197" t="e">
        <f>AND(Bills!U827,"AAAAAD/z+hc=")</f>
        <v>#VALUE!</v>
      </c>
      <c r="Y197" t="e">
        <f>AND(Bills!V827,"AAAAAD/z+hg=")</f>
        <v>#VALUE!</v>
      </c>
      <c r="Z197" t="e">
        <f>AND(Bills!W827,"AAAAAD/z+hk=")</f>
        <v>#VALUE!</v>
      </c>
      <c r="AA197" t="e">
        <f>AND(Bills!#REF!,"AAAAAD/z+ho=")</f>
        <v>#REF!</v>
      </c>
      <c r="AB197" t="e">
        <f>AND(Bills!#REF!,"AAAAAD/z+hs=")</f>
        <v>#REF!</v>
      </c>
      <c r="AC197" t="e">
        <f>AND(Bills!Y827,"AAAAAD/z+hw=")</f>
        <v>#VALUE!</v>
      </c>
      <c r="AD197" t="e">
        <f>AND(Bills!Z827,"AAAAAD/z+h0=")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AND(Bills!AA827,"AAAAAD/z+ic=")</f>
        <v>#VALUE!</v>
      </c>
      <c r="AO197" t="e">
        <f>AND(Bills!AB827,"AAAAAD/z+ig=")</f>
        <v>#VALUE!</v>
      </c>
      <c r="AP197" t="e">
        <f>AND(Bills!#REF!,"AAAAAD/z+ik=")</f>
        <v>#REF!</v>
      </c>
      <c r="AQ197" t="e">
        <f>AND(Bills!#REF!,"AAAAAD/z+io=")</f>
        <v>#REF!</v>
      </c>
      <c r="AR197" t="e">
        <f>AND(Bills!#REF!,"AAAAAD/z+is=")</f>
        <v>#REF!</v>
      </c>
      <c r="AS197" t="e">
        <f>AND(Bills!AC827,"AAAAAD/z+iw=")</f>
        <v>#VALUE!</v>
      </c>
      <c r="AT197" t="e">
        <f>AND(Bills!AD827,"AAAAAD/z+i0=")</f>
        <v>#VALUE!</v>
      </c>
      <c r="AU197" t="e">
        <f>AND(Bills!#REF!,"AAAAAD/z+i4=")</f>
        <v>#REF!</v>
      </c>
      <c r="AV197">
        <f>IF(Bills!828:828,"AAAAAD/z+i8=",0)</f>
        <v>0</v>
      </c>
      <c r="AW197" t="e">
        <f>AND(Bills!B828,"AAAAAD/z+jA=")</f>
        <v>#VALUE!</v>
      </c>
      <c r="AX197" t="e">
        <f>AND(Bills!#REF!,"AAAAAD/z+jE=")</f>
        <v>#REF!</v>
      </c>
      <c r="AY197" t="e">
        <f>AND(Bills!C828,"AAAAAD/z+jI=")</f>
        <v>#VALUE!</v>
      </c>
      <c r="AZ197" t="e">
        <f>AND(Bills!D828,"AAAAAD/z+jM=")</f>
        <v>#VALUE!</v>
      </c>
      <c r="BA197" t="e">
        <f>AND(Bills!E828,"AAAAAD/z+jQ=")</f>
        <v>#VALUE!</v>
      </c>
      <c r="BB197" t="e">
        <f>AND(Bills!#REF!,"AAAAAD/z+jU=")</f>
        <v>#REF!</v>
      </c>
      <c r="BC197" t="e">
        <f>AND(Bills!#REF!,"AAAAAD/z+jY=")</f>
        <v>#REF!</v>
      </c>
      <c r="BD197" t="e">
        <f>AND(Bills!#REF!,"AAAAAD/z+jc=")</f>
        <v>#REF!</v>
      </c>
      <c r="BE197" t="e">
        <f>AND(Bills!F828,"AAAAAD/z+jg=")</f>
        <v>#VALUE!</v>
      </c>
      <c r="BF197" t="e">
        <f>AND(Bills!#REF!,"AAAAAD/z+jk=")</f>
        <v>#REF!</v>
      </c>
      <c r="BG197" t="e">
        <f>AND(Bills!G828,"AAAAAD/z+jo=")</f>
        <v>#VALUE!</v>
      </c>
      <c r="BH197" t="e">
        <f>AND(Bills!H828,"AAAAAD/z+js=")</f>
        <v>#VALUE!</v>
      </c>
      <c r="BI197" t="e">
        <f>AND(Bills!I828,"AAAAAD/z+jw=")</f>
        <v>#VALUE!</v>
      </c>
      <c r="BJ197" t="e">
        <f>AND(Bills!J828,"AAAAAD/z+j0=")</f>
        <v>#VALUE!</v>
      </c>
      <c r="BK197" t="e">
        <f>AND(Bills!K828,"AAAAAD/z+j4=")</f>
        <v>#VALUE!</v>
      </c>
      <c r="BL197" t="e">
        <f>AND(Bills!L828,"AAAAAD/z+j8=")</f>
        <v>#VALUE!</v>
      </c>
      <c r="BM197" t="e">
        <f>AND(Bills!#REF!,"AAAAAD/z+kA=")</f>
        <v>#REF!</v>
      </c>
      <c r="BN197" t="e">
        <f>AND(Bills!M828,"AAAAAD/z+kE=")</f>
        <v>#VALUE!</v>
      </c>
      <c r="BO197" t="e">
        <f>AND(Bills!N828,"AAAAAD/z+kI=")</f>
        <v>#VALUE!</v>
      </c>
      <c r="BP197" t="e">
        <f>AND(Bills!O828,"AAAAAD/z+kM=")</f>
        <v>#VALUE!</v>
      </c>
      <c r="BQ197" t="e">
        <f>AND(Bills!P828,"AAAAAD/z+kQ=")</f>
        <v>#VALUE!</v>
      </c>
      <c r="BR197" t="e">
        <f>AND(Bills!Q828,"AAAAAD/z+kU=")</f>
        <v>#VALUE!</v>
      </c>
      <c r="BS197" t="e">
        <f>AND(Bills!R828,"AAAAAD/z+kY=")</f>
        <v>#VALUE!</v>
      </c>
      <c r="BT197" t="e">
        <f>AND(Bills!S828,"AAAAAD/z+kc=")</f>
        <v>#VALUE!</v>
      </c>
      <c r="BU197" t="e">
        <f>AND(Bills!T828,"AAAAAD/z+kg=")</f>
        <v>#VALUE!</v>
      </c>
      <c r="BV197" t="e">
        <f>AND(Bills!#REF!,"AAAAAD/z+kk=")</f>
        <v>#REF!</v>
      </c>
      <c r="BW197" t="e">
        <f>AND(Bills!U828,"AAAAAD/z+ko=")</f>
        <v>#VALUE!</v>
      </c>
      <c r="BX197" t="e">
        <f>AND(Bills!V828,"AAAAAD/z+ks=")</f>
        <v>#VALUE!</v>
      </c>
      <c r="BY197" t="e">
        <f>AND(Bills!W828,"AAAAAD/z+kw=")</f>
        <v>#VALUE!</v>
      </c>
      <c r="BZ197" t="e">
        <f>AND(Bills!#REF!,"AAAAAD/z+k0=")</f>
        <v>#REF!</v>
      </c>
      <c r="CA197" t="e">
        <f>AND(Bills!#REF!,"AAAAAD/z+k4=")</f>
        <v>#REF!</v>
      </c>
      <c r="CB197" t="e">
        <f>AND(Bills!Y828,"AAAAAD/z+k8=")</f>
        <v>#VALUE!</v>
      </c>
      <c r="CC197" t="e">
        <f>AND(Bills!Z828,"AAAAAD/z+lA=")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AND(Bills!AA828,"AAAAAD/z+lo=")</f>
        <v>#VALUE!</v>
      </c>
      <c r="CN197" t="e">
        <f>AND(Bills!AB828,"AAAAAD/z+ls=")</f>
        <v>#VALUE!</v>
      </c>
      <c r="CO197" t="e">
        <f>AND(Bills!#REF!,"AAAAAD/z+lw=")</f>
        <v>#REF!</v>
      </c>
      <c r="CP197" t="e">
        <f>AND(Bills!#REF!,"AAAAAD/z+l0=")</f>
        <v>#REF!</v>
      </c>
      <c r="CQ197" t="e">
        <f>AND(Bills!#REF!,"AAAAAD/z+l4=")</f>
        <v>#REF!</v>
      </c>
      <c r="CR197" t="e">
        <f>AND(Bills!AC828,"AAAAAD/z+l8=")</f>
        <v>#VALUE!</v>
      </c>
      <c r="CS197" t="e">
        <f>AND(Bills!AD828,"AAAAAD/z+mA=")</f>
        <v>#VALUE!</v>
      </c>
      <c r="CT197" t="e">
        <f>AND(Bills!#REF!,"AAAAAD/z+mE=")</f>
        <v>#REF!</v>
      </c>
      <c r="CU197">
        <f>IF(Bills!829:829,"AAAAAD/z+mI=",0)</f>
        <v>0</v>
      </c>
      <c r="CV197" t="e">
        <f>AND(Bills!B829,"AAAAAD/z+mM=")</f>
        <v>#VALUE!</v>
      </c>
      <c r="CW197" t="e">
        <f>AND(Bills!#REF!,"AAAAAD/z+mQ=")</f>
        <v>#REF!</v>
      </c>
      <c r="CX197" t="e">
        <f>AND(Bills!C829,"AAAAAD/z+mU=")</f>
        <v>#VALUE!</v>
      </c>
      <c r="CY197" t="e">
        <f>AND(Bills!D829,"AAAAAD/z+mY=")</f>
        <v>#VALUE!</v>
      </c>
      <c r="CZ197" t="e">
        <f>AND(Bills!E829,"AAAAAD/z+mc=")</f>
        <v>#VALUE!</v>
      </c>
      <c r="DA197" t="e">
        <f>AND(Bills!#REF!,"AAAAAD/z+mg=")</f>
        <v>#REF!</v>
      </c>
      <c r="DB197" t="e">
        <f>AND(Bills!#REF!,"AAAAAD/z+mk=")</f>
        <v>#REF!</v>
      </c>
      <c r="DC197" t="e">
        <f>AND(Bills!#REF!,"AAAAAD/z+mo=")</f>
        <v>#REF!</v>
      </c>
      <c r="DD197" t="e">
        <f>AND(Bills!F829,"AAAAAD/z+ms=")</f>
        <v>#VALUE!</v>
      </c>
      <c r="DE197" t="e">
        <f>AND(Bills!#REF!,"AAAAAD/z+mw=")</f>
        <v>#REF!</v>
      </c>
      <c r="DF197" t="e">
        <f>AND(Bills!G829,"AAAAAD/z+m0=")</f>
        <v>#VALUE!</v>
      </c>
      <c r="DG197" t="e">
        <f>AND(Bills!H829,"AAAAAD/z+m4=")</f>
        <v>#VALUE!</v>
      </c>
      <c r="DH197" t="e">
        <f>AND(Bills!I829,"AAAAAD/z+m8=")</f>
        <v>#VALUE!</v>
      </c>
      <c r="DI197" t="e">
        <f>AND(Bills!J829,"AAAAAD/z+nA=")</f>
        <v>#VALUE!</v>
      </c>
      <c r="DJ197" t="e">
        <f>AND(Bills!K829,"AAAAAD/z+nE=")</f>
        <v>#VALUE!</v>
      </c>
      <c r="DK197" t="e">
        <f>AND(Bills!L829,"AAAAAD/z+nI=")</f>
        <v>#VALUE!</v>
      </c>
      <c r="DL197" t="e">
        <f>AND(Bills!#REF!,"AAAAAD/z+nM=")</f>
        <v>#REF!</v>
      </c>
      <c r="DM197" t="e">
        <f>AND(Bills!M829,"AAAAAD/z+nQ=")</f>
        <v>#VALUE!</v>
      </c>
      <c r="DN197" t="e">
        <f>AND(Bills!N829,"AAAAAD/z+nU=")</f>
        <v>#VALUE!</v>
      </c>
      <c r="DO197" t="e">
        <f>AND(Bills!O829,"AAAAAD/z+nY=")</f>
        <v>#VALUE!</v>
      </c>
      <c r="DP197" t="e">
        <f>AND(Bills!P829,"AAAAAD/z+nc=")</f>
        <v>#VALUE!</v>
      </c>
      <c r="DQ197" t="e">
        <f>AND(Bills!Q829,"AAAAAD/z+ng=")</f>
        <v>#VALUE!</v>
      </c>
      <c r="DR197" t="e">
        <f>AND(Bills!R829,"AAAAAD/z+nk=")</f>
        <v>#VALUE!</v>
      </c>
      <c r="DS197" t="e">
        <f>AND(Bills!S829,"AAAAAD/z+no=")</f>
        <v>#VALUE!</v>
      </c>
      <c r="DT197" t="e">
        <f>AND(Bills!T829,"AAAAAD/z+ns=")</f>
        <v>#VALUE!</v>
      </c>
      <c r="DU197" t="e">
        <f>AND(Bills!#REF!,"AAAAAD/z+nw=")</f>
        <v>#REF!</v>
      </c>
      <c r="DV197" t="e">
        <f>AND(Bills!U829,"AAAAAD/z+n0=")</f>
        <v>#VALUE!</v>
      </c>
      <c r="DW197" t="e">
        <f>AND(Bills!V829,"AAAAAD/z+n4=")</f>
        <v>#VALUE!</v>
      </c>
      <c r="DX197" t="e">
        <f>AND(Bills!W829,"AAAAAD/z+n8=")</f>
        <v>#VALUE!</v>
      </c>
      <c r="DY197" t="e">
        <f>AND(Bills!#REF!,"AAAAAD/z+oA=")</f>
        <v>#REF!</v>
      </c>
      <c r="DZ197" t="e">
        <f>AND(Bills!#REF!,"AAAAAD/z+oE=")</f>
        <v>#REF!</v>
      </c>
      <c r="EA197" t="e">
        <f>AND(Bills!Y829,"AAAAAD/z+oI=")</f>
        <v>#VALUE!</v>
      </c>
      <c r="EB197" t="e">
        <f>AND(Bills!Z829,"AAAAAD/z+oM=")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AND(Bills!AA829,"AAAAAD/z+o0=")</f>
        <v>#VALUE!</v>
      </c>
      <c r="EM197" t="e">
        <f>AND(Bills!AB829,"AAAAAD/z+o4=")</f>
        <v>#VALUE!</v>
      </c>
      <c r="EN197" t="e">
        <f>AND(Bills!#REF!,"AAAAAD/z+o8=")</f>
        <v>#REF!</v>
      </c>
      <c r="EO197" t="e">
        <f>AND(Bills!#REF!,"AAAAAD/z+pA=")</f>
        <v>#REF!</v>
      </c>
      <c r="EP197" t="e">
        <f>AND(Bills!#REF!,"AAAAAD/z+pE=")</f>
        <v>#REF!</v>
      </c>
      <c r="EQ197" t="e">
        <f>AND(Bills!AC829,"AAAAAD/z+pI=")</f>
        <v>#VALUE!</v>
      </c>
      <c r="ER197" t="e">
        <f>AND(Bills!AD829,"AAAAAD/z+pM=")</f>
        <v>#VALUE!</v>
      </c>
      <c r="ES197" t="e">
        <f>AND(Bills!#REF!,"AAAAAD/z+pQ=")</f>
        <v>#REF!</v>
      </c>
      <c r="ET197">
        <f>IF(Bills!830:830,"AAAAAD/z+pU=",0)</f>
        <v>0</v>
      </c>
      <c r="EU197" t="e">
        <f>AND(Bills!B830,"AAAAAD/z+pY=")</f>
        <v>#VALUE!</v>
      </c>
      <c r="EV197" t="e">
        <f>AND(Bills!#REF!,"AAAAAD/z+pc=")</f>
        <v>#REF!</v>
      </c>
      <c r="EW197" t="e">
        <f>AND(Bills!C830,"AAAAAD/z+pg=")</f>
        <v>#VALUE!</v>
      </c>
      <c r="EX197" t="e">
        <f>AND(Bills!D830,"AAAAAD/z+pk=")</f>
        <v>#VALUE!</v>
      </c>
      <c r="EY197" t="e">
        <f>AND(Bills!E830,"AAAAAD/z+po=")</f>
        <v>#VALUE!</v>
      </c>
      <c r="EZ197" t="e">
        <f>AND(Bills!#REF!,"AAAAAD/z+ps=")</f>
        <v>#REF!</v>
      </c>
      <c r="FA197" t="e">
        <f>AND(Bills!#REF!,"AAAAAD/z+pw=")</f>
        <v>#REF!</v>
      </c>
      <c r="FB197" t="e">
        <f>AND(Bills!#REF!,"AAAAAD/z+p0=")</f>
        <v>#REF!</v>
      </c>
      <c r="FC197" t="e">
        <f>AND(Bills!F830,"AAAAAD/z+p4=")</f>
        <v>#VALUE!</v>
      </c>
      <c r="FD197" t="e">
        <f>AND(Bills!#REF!,"AAAAAD/z+p8=")</f>
        <v>#REF!</v>
      </c>
      <c r="FE197" t="e">
        <f>AND(Bills!G830,"AAAAAD/z+qA=")</f>
        <v>#VALUE!</v>
      </c>
      <c r="FF197" t="e">
        <f>AND(Bills!H830,"AAAAAD/z+qE=")</f>
        <v>#VALUE!</v>
      </c>
      <c r="FG197" t="e">
        <f>AND(Bills!I830,"AAAAAD/z+qI=")</f>
        <v>#VALUE!</v>
      </c>
      <c r="FH197" t="e">
        <f>AND(Bills!J830,"AAAAAD/z+qM=")</f>
        <v>#VALUE!</v>
      </c>
      <c r="FI197" t="e">
        <f>AND(Bills!K830,"AAAAAD/z+qQ=")</f>
        <v>#VALUE!</v>
      </c>
      <c r="FJ197" t="e">
        <f>AND(Bills!L830,"AAAAAD/z+qU=")</f>
        <v>#VALUE!</v>
      </c>
      <c r="FK197" t="e">
        <f>AND(Bills!#REF!,"AAAAAD/z+qY=")</f>
        <v>#REF!</v>
      </c>
      <c r="FL197" t="e">
        <f>AND(Bills!M830,"AAAAAD/z+qc=")</f>
        <v>#VALUE!</v>
      </c>
      <c r="FM197" t="e">
        <f>AND(Bills!N830,"AAAAAD/z+qg=")</f>
        <v>#VALUE!</v>
      </c>
      <c r="FN197" t="e">
        <f>AND(Bills!O830,"AAAAAD/z+qk=")</f>
        <v>#VALUE!</v>
      </c>
      <c r="FO197" t="e">
        <f>AND(Bills!P830,"AAAAAD/z+qo=")</f>
        <v>#VALUE!</v>
      </c>
      <c r="FP197" t="e">
        <f>AND(Bills!Q830,"AAAAAD/z+qs=")</f>
        <v>#VALUE!</v>
      </c>
      <c r="FQ197" t="e">
        <f>AND(Bills!R830,"AAAAAD/z+qw=")</f>
        <v>#VALUE!</v>
      </c>
      <c r="FR197" t="e">
        <f>AND(Bills!S830,"AAAAAD/z+q0=")</f>
        <v>#VALUE!</v>
      </c>
      <c r="FS197" t="e">
        <f>AND(Bills!T830,"AAAAAD/z+q4=")</f>
        <v>#VALUE!</v>
      </c>
      <c r="FT197" t="e">
        <f>AND(Bills!#REF!,"AAAAAD/z+q8=")</f>
        <v>#REF!</v>
      </c>
      <c r="FU197" t="e">
        <f>AND(Bills!U830,"AAAAAD/z+rA=")</f>
        <v>#VALUE!</v>
      </c>
      <c r="FV197" t="e">
        <f>AND(Bills!V830,"AAAAAD/z+rE=")</f>
        <v>#VALUE!</v>
      </c>
      <c r="FW197" t="e">
        <f>AND(Bills!W830,"AAAAAD/z+rI=")</f>
        <v>#VALUE!</v>
      </c>
      <c r="FX197" t="e">
        <f>AND(Bills!#REF!,"AAAAAD/z+rM=")</f>
        <v>#REF!</v>
      </c>
      <c r="FY197" t="e">
        <f>AND(Bills!#REF!,"AAAAAD/z+rQ=")</f>
        <v>#REF!</v>
      </c>
      <c r="FZ197" t="e">
        <f>AND(Bills!Y830,"AAAAAD/z+rU=")</f>
        <v>#VALUE!</v>
      </c>
      <c r="GA197" t="e">
        <f>AND(Bills!Z830,"AAAAAD/z+rY=")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AND(Bills!AA830,"AAAAAD/z+sA=")</f>
        <v>#VALUE!</v>
      </c>
      <c r="GL197" t="e">
        <f>AND(Bills!AB830,"AAAAAD/z+sE=")</f>
        <v>#VALUE!</v>
      </c>
      <c r="GM197" t="e">
        <f>AND(Bills!#REF!,"AAAAAD/z+sI=")</f>
        <v>#REF!</v>
      </c>
      <c r="GN197" t="e">
        <f>AND(Bills!#REF!,"AAAAAD/z+sM=")</f>
        <v>#REF!</v>
      </c>
      <c r="GO197" t="e">
        <f>AND(Bills!#REF!,"AAAAAD/z+sQ=")</f>
        <v>#REF!</v>
      </c>
      <c r="GP197" t="e">
        <f>AND(Bills!AC830,"AAAAAD/z+sU=")</f>
        <v>#VALUE!</v>
      </c>
      <c r="GQ197" t="e">
        <f>AND(Bills!AD830,"AAAAAD/z+sY=")</f>
        <v>#VALUE!</v>
      </c>
      <c r="GR197" t="e">
        <f>AND(Bills!#REF!,"AAAAAD/z+sc=")</f>
        <v>#REF!</v>
      </c>
      <c r="GS197">
        <f>IF(Bills!831:831,"AAAAAD/z+sg=",0)</f>
        <v>0</v>
      </c>
      <c r="GT197" t="e">
        <f>AND(Bills!B831,"AAAAAD/z+sk=")</f>
        <v>#VALUE!</v>
      </c>
      <c r="GU197" t="e">
        <f>AND(Bills!#REF!,"AAAAAD/z+so=")</f>
        <v>#REF!</v>
      </c>
      <c r="GV197" t="e">
        <f>AND(Bills!C831,"AAAAAD/z+ss=")</f>
        <v>#VALUE!</v>
      </c>
      <c r="GW197" t="e">
        <f>AND(Bills!D831,"AAAAAD/z+sw=")</f>
        <v>#VALUE!</v>
      </c>
      <c r="GX197" t="e">
        <f>AND(Bills!E831,"AAAAAD/z+s0=")</f>
        <v>#VALUE!</v>
      </c>
      <c r="GY197" t="e">
        <f>AND(Bills!#REF!,"AAAAAD/z+s4=")</f>
        <v>#REF!</v>
      </c>
      <c r="GZ197" t="e">
        <f>AND(Bills!#REF!,"AAAAAD/z+s8=")</f>
        <v>#REF!</v>
      </c>
      <c r="HA197" t="e">
        <f>AND(Bills!#REF!,"AAAAAD/z+tA=")</f>
        <v>#REF!</v>
      </c>
      <c r="HB197" t="e">
        <f>AND(Bills!F831,"AAAAAD/z+tE=")</f>
        <v>#VALUE!</v>
      </c>
      <c r="HC197" t="e">
        <f>AND(Bills!#REF!,"AAAAAD/z+tI=")</f>
        <v>#REF!</v>
      </c>
      <c r="HD197" t="e">
        <f>AND(Bills!G831,"AAAAAD/z+tM=")</f>
        <v>#VALUE!</v>
      </c>
      <c r="HE197" t="e">
        <f>AND(Bills!H831,"AAAAAD/z+tQ=")</f>
        <v>#VALUE!</v>
      </c>
      <c r="HF197" t="e">
        <f>AND(Bills!I831,"AAAAAD/z+tU=")</f>
        <v>#VALUE!</v>
      </c>
      <c r="HG197" t="e">
        <f>AND(Bills!J831,"AAAAAD/z+tY=")</f>
        <v>#VALUE!</v>
      </c>
      <c r="HH197" t="e">
        <f>AND(Bills!K831,"AAAAAD/z+tc=")</f>
        <v>#VALUE!</v>
      </c>
      <c r="HI197" t="e">
        <f>AND(Bills!L831,"AAAAAD/z+tg=")</f>
        <v>#VALUE!</v>
      </c>
      <c r="HJ197" t="e">
        <f>AND(Bills!#REF!,"AAAAAD/z+tk=")</f>
        <v>#REF!</v>
      </c>
      <c r="HK197" t="e">
        <f>AND(Bills!M831,"AAAAAD/z+to=")</f>
        <v>#VALUE!</v>
      </c>
      <c r="HL197" t="e">
        <f>AND(Bills!N831,"AAAAAD/z+ts=")</f>
        <v>#VALUE!</v>
      </c>
      <c r="HM197" t="e">
        <f>AND(Bills!O831,"AAAAAD/z+tw=")</f>
        <v>#VALUE!</v>
      </c>
      <c r="HN197" t="e">
        <f>AND(Bills!P831,"AAAAAD/z+t0=")</f>
        <v>#VALUE!</v>
      </c>
      <c r="HO197" t="e">
        <f>AND(Bills!Q831,"AAAAAD/z+t4=")</f>
        <v>#VALUE!</v>
      </c>
      <c r="HP197" t="e">
        <f>AND(Bills!R831,"AAAAAD/z+t8=")</f>
        <v>#VALUE!</v>
      </c>
      <c r="HQ197" t="e">
        <f>AND(Bills!S831,"AAAAAD/z+uA=")</f>
        <v>#VALUE!</v>
      </c>
      <c r="HR197" t="e">
        <f>AND(Bills!T831,"AAAAAD/z+uE=")</f>
        <v>#VALUE!</v>
      </c>
      <c r="HS197" t="e">
        <f>AND(Bills!#REF!,"AAAAAD/z+uI=")</f>
        <v>#REF!</v>
      </c>
      <c r="HT197" t="e">
        <f>AND(Bills!U831,"AAAAAD/z+uM=")</f>
        <v>#VALUE!</v>
      </c>
      <c r="HU197" t="e">
        <f>AND(Bills!V831,"AAAAAD/z+uQ=")</f>
        <v>#VALUE!</v>
      </c>
      <c r="HV197" t="e">
        <f>AND(Bills!W831,"AAAAAD/z+uU=")</f>
        <v>#VALUE!</v>
      </c>
      <c r="HW197" t="e">
        <f>AND(Bills!#REF!,"AAAAAD/z+uY=")</f>
        <v>#REF!</v>
      </c>
      <c r="HX197" t="e">
        <f>AND(Bills!#REF!,"AAAAAD/z+uc=")</f>
        <v>#REF!</v>
      </c>
      <c r="HY197" t="e">
        <f>AND(Bills!Y831,"AAAAAD/z+ug=")</f>
        <v>#VALUE!</v>
      </c>
      <c r="HZ197" t="e">
        <f>AND(Bills!Z831,"AAAAAD/z+uk=")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AND(Bills!AA831,"AAAAAD/z+vM=")</f>
        <v>#VALUE!</v>
      </c>
      <c r="IK197" t="e">
        <f>AND(Bills!AB831,"AAAAAD/z+vQ=")</f>
        <v>#VALUE!</v>
      </c>
      <c r="IL197" t="e">
        <f>AND(Bills!#REF!,"AAAAAD/z+vU=")</f>
        <v>#REF!</v>
      </c>
      <c r="IM197" t="e">
        <f>AND(Bills!#REF!,"AAAAAD/z+vY=")</f>
        <v>#REF!</v>
      </c>
      <c r="IN197" t="e">
        <f>AND(Bills!#REF!,"AAAAAD/z+vc=")</f>
        <v>#REF!</v>
      </c>
      <c r="IO197" t="e">
        <f>AND(Bills!AC831,"AAAAAD/z+vg=")</f>
        <v>#VALUE!</v>
      </c>
      <c r="IP197" t="e">
        <f>AND(Bills!AD831,"AAAAAD/z+vk=")</f>
        <v>#VALUE!</v>
      </c>
      <c r="IQ197" t="e">
        <f>AND(Bills!#REF!,"AAAAAD/z+vo=")</f>
        <v>#REF!</v>
      </c>
      <c r="IR197">
        <f>IF(Bills!832:832,"AAAAAD/z+vs=",0)</f>
        <v>0</v>
      </c>
      <c r="IS197" t="e">
        <f>AND(Bills!B832,"AAAAAD/z+vw=")</f>
        <v>#VALUE!</v>
      </c>
      <c r="IT197" t="e">
        <f>AND(Bills!#REF!,"AAAAAD/z+v0=")</f>
        <v>#REF!</v>
      </c>
      <c r="IU197" t="e">
        <f>AND(Bills!C832,"AAAAAD/z+v4=")</f>
        <v>#VALUE!</v>
      </c>
      <c r="IV197" t="e">
        <f>AND(Bills!D832,"AAAAAD/z+v8=")</f>
        <v>#VALUE!</v>
      </c>
    </row>
    <row r="198" spans="1:256">
      <c r="A198" t="e">
        <f>AND(Bills!E832,"AAAAAD9L/wA=")</f>
        <v>#VALUE!</v>
      </c>
      <c r="B198" t="e">
        <f>AND(Bills!#REF!,"AAAAAD9L/wE=")</f>
        <v>#REF!</v>
      </c>
      <c r="C198" t="e">
        <f>AND(Bills!#REF!,"AAAAAD9L/wI=")</f>
        <v>#REF!</v>
      </c>
      <c r="D198" t="e">
        <f>AND(Bills!#REF!,"AAAAAD9L/wM=")</f>
        <v>#REF!</v>
      </c>
      <c r="E198" t="e">
        <f>AND(Bills!F832,"AAAAAD9L/wQ=")</f>
        <v>#VALUE!</v>
      </c>
      <c r="F198" t="e">
        <f>AND(Bills!#REF!,"AAAAAD9L/wU=")</f>
        <v>#REF!</v>
      </c>
      <c r="G198" t="e">
        <f>AND(Bills!G832,"AAAAAD9L/wY=")</f>
        <v>#VALUE!</v>
      </c>
      <c r="H198" t="e">
        <f>AND(Bills!H832,"AAAAAD9L/wc=")</f>
        <v>#VALUE!</v>
      </c>
      <c r="I198" t="e">
        <f>AND(Bills!I832,"AAAAAD9L/wg=")</f>
        <v>#VALUE!</v>
      </c>
      <c r="J198" t="e">
        <f>AND(Bills!J832,"AAAAAD9L/wk=")</f>
        <v>#VALUE!</v>
      </c>
      <c r="K198" t="e">
        <f>AND(Bills!K832,"AAAAAD9L/wo=")</f>
        <v>#VALUE!</v>
      </c>
      <c r="L198" t="e">
        <f>AND(Bills!L832,"AAAAAD9L/ws=")</f>
        <v>#VALUE!</v>
      </c>
      <c r="M198" t="e">
        <f>AND(Bills!#REF!,"AAAAAD9L/ww=")</f>
        <v>#REF!</v>
      </c>
      <c r="N198" t="e">
        <f>AND(Bills!M832,"AAAAAD9L/w0=")</f>
        <v>#VALUE!</v>
      </c>
      <c r="O198" t="e">
        <f>AND(Bills!N832,"AAAAAD9L/w4=")</f>
        <v>#VALUE!</v>
      </c>
      <c r="P198" t="e">
        <f>AND(Bills!O832,"AAAAAD9L/w8=")</f>
        <v>#VALUE!</v>
      </c>
      <c r="Q198" t="e">
        <f>AND(Bills!P832,"AAAAAD9L/xA=")</f>
        <v>#VALUE!</v>
      </c>
      <c r="R198" t="e">
        <f>AND(Bills!Q832,"AAAAAD9L/xE=")</f>
        <v>#VALUE!</v>
      </c>
      <c r="S198" t="e">
        <f>AND(Bills!R832,"AAAAAD9L/xI=")</f>
        <v>#VALUE!</v>
      </c>
      <c r="T198" t="e">
        <f>AND(Bills!S832,"AAAAAD9L/xM=")</f>
        <v>#VALUE!</v>
      </c>
      <c r="U198" t="e">
        <f>AND(Bills!T832,"AAAAAD9L/xQ=")</f>
        <v>#VALUE!</v>
      </c>
      <c r="V198" t="e">
        <f>AND(Bills!#REF!,"AAAAAD9L/xU=")</f>
        <v>#REF!</v>
      </c>
      <c r="W198" t="e">
        <f>AND(Bills!U832,"AAAAAD9L/xY=")</f>
        <v>#VALUE!</v>
      </c>
      <c r="X198" t="e">
        <f>AND(Bills!V832,"AAAAAD9L/xc=")</f>
        <v>#VALUE!</v>
      </c>
      <c r="Y198" t="e">
        <f>AND(Bills!W832,"AAAAAD9L/xg=")</f>
        <v>#VALUE!</v>
      </c>
      <c r="Z198" t="e">
        <f>AND(Bills!#REF!,"AAAAAD9L/xk=")</f>
        <v>#REF!</v>
      </c>
      <c r="AA198" t="e">
        <f>AND(Bills!#REF!,"AAAAAD9L/xo=")</f>
        <v>#REF!</v>
      </c>
      <c r="AB198" t="e">
        <f>AND(Bills!Y832,"AAAAAD9L/xs=")</f>
        <v>#VALUE!</v>
      </c>
      <c r="AC198" t="e">
        <f>AND(Bills!Z832,"AAAAAD9L/xw=")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AND(Bills!AA832,"AAAAAD9L/yY=")</f>
        <v>#VALUE!</v>
      </c>
      <c r="AN198" t="e">
        <f>AND(Bills!AB832,"AAAAAD9L/yc=")</f>
        <v>#VALUE!</v>
      </c>
      <c r="AO198" t="e">
        <f>AND(Bills!#REF!,"AAAAAD9L/yg=")</f>
        <v>#REF!</v>
      </c>
      <c r="AP198" t="e">
        <f>AND(Bills!#REF!,"AAAAAD9L/yk=")</f>
        <v>#REF!</v>
      </c>
      <c r="AQ198" t="e">
        <f>AND(Bills!#REF!,"AAAAAD9L/yo=")</f>
        <v>#REF!</v>
      </c>
      <c r="AR198" t="e">
        <f>AND(Bills!AC832,"AAAAAD9L/ys=")</f>
        <v>#VALUE!</v>
      </c>
      <c r="AS198" t="e">
        <f>AND(Bills!AD832,"AAAAAD9L/yw=")</f>
        <v>#VALUE!</v>
      </c>
      <c r="AT198" t="e">
        <f>AND(Bills!#REF!,"AAAAAD9L/y0=")</f>
        <v>#REF!</v>
      </c>
      <c r="AU198">
        <f>IF(Bills!833:833,"AAAAAD9L/y4=",0)</f>
        <v>0</v>
      </c>
      <c r="AV198" t="e">
        <f>AND(Bills!B833,"AAAAAD9L/y8=")</f>
        <v>#VALUE!</v>
      </c>
      <c r="AW198" t="e">
        <f>AND(Bills!#REF!,"AAAAAD9L/zA=")</f>
        <v>#REF!</v>
      </c>
      <c r="AX198" t="e">
        <f>AND(Bills!C833,"AAAAAD9L/zE=")</f>
        <v>#VALUE!</v>
      </c>
      <c r="AY198" t="e">
        <f>AND(Bills!D833,"AAAAAD9L/zI=")</f>
        <v>#VALUE!</v>
      </c>
      <c r="AZ198" t="e">
        <f>AND(Bills!E833,"AAAAAD9L/zM=")</f>
        <v>#VALUE!</v>
      </c>
      <c r="BA198" t="e">
        <f>AND(Bills!#REF!,"AAAAAD9L/zQ=")</f>
        <v>#REF!</v>
      </c>
      <c r="BB198" t="e">
        <f>AND(Bills!#REF!,"AAAAAD9L/zU=")</f>
        <v>#REF!</v>
      </c>
      <c r="BC198" t="e">
        <f>AND(Bills!#REF!,"AAAAAD9L/zY=")</f>
        <v>#REF!</v>
      </c>
      <c r="BD198" t="e">
        <f>AND(Bills!F833,"AAAAAD9L/zc=")</f>
        <v>#VALUE!</v>
      </c>
      <c r="BE198" t="e">
        <f>AND(Bills!#REF!,"AAAAAD9L/zg=")</f>
        <v>#REF!</v>
      </c>
      <c r="BF198" t="e">
        <f>AND(Bills!G833,"AAAAAD9L/zk=")</f>
        <v>#VALUE!</v>
      </c>
      <c r="BG198" t="e">
        <f>AND(Bills!H833,"AAAAAD9L/zo=")</f>
        <v>#VALUE!</v>
      </c>
      <c r="BH198" t="e">
        <f>AND(Bills!I833,"AAAAAD9L/zs=")</f>
        <v>#VALUE!</v>
      </c>
      <c r="BI198" t="e">
        <f>AND(Bills!J833,"AAAAAD9L/zw=")</f>
        <v>#VALUE!</v>
      </c>
      <c r="BJ198" t="e">
        <f>AND(Bills!K833,"AAAAAD9L/z0=")</f>
        <v>#VALUE!</v>
      </c>
      <c r="BK198" t="e">
        <f>AND(Bills!L833,"AAAAAD9L/z4=")</f>
        <v>#VALUE!</v>
      </c>
      <c r="BL198" t="e">
        <f>AND(Bills!#REF!,"AAAAAD9L/z8=")</f>
        <v>#REF!</v>
      </c>
      <c r="BM198" t="e">
        <f>AND(Bills!M833,"AAAAAD9L/0A=")</f>
        <v>#VALUE!</v>
      </c>
      <c r="BN198" t="e">
        <f>AND(Bills!N833,"AAAAAD9L/0E=")</f>
        <v>#VALUE!</v>
      </c>
      <c r="BO198" t="e">
        <f>AND(Bills!O833,"AAAAAD9L/0I=")</f>
        <v>#VALUE!</v>
      </c>
      <c r="BP198" t="e">
        <f>AND(Bills!P833,"AAAAAD9L/0M=")</f>
        <v>#VALUE!</v>
      </c>
      <c r="BQ198" t="e">
        <f>AND(Bills!Q833,"AAAAAD9L/0Q=")</f>
        <v>#VALUE!</v>
      </c>
      <c r="BR198" t="e">
        <f>AND(Bills!R833,"AAAAAD9L/0U=")</f>
        <v>#VALUE!</v>
      </c>
      <c r="BS198" t="e">
        <f>AND(Bills!S833,"AAAAAD9L/0Y=")</f>
        <v>#VALUE!</v>
      </c>
      <c r="BT198" t="e">
        <f>AND(Bills!T833,"AAAAAD9L/0c=")</f>
        <v>#VALUE!</v>
      </c>
      <c r="BU198" t="e">
        <f>AND(Bills!#REF!,"AAAAAD9L/0g=")</f>
        <v>#REF!</v>
      </c>
      <c r="BV198" t="e">
        <f>AND(Bills!U833,"AAAAAD9L/0k=")</f>
        <v>#VALUE!</v>
      </c>
      <c r="BW198" t="e">
        <f>AND(Bills!V833,"AAAAAD9L/0o=")</f>
        <v>#VALUE!</v>
      </c>
      <c r="BX198" t="e">
        <f>AND(Bills!W833,"AAAAAD9L/0s=")</f>
        <v>#VALUE!</v>
      </c>
      <c r="BY198" t="e">
        <f>AND(Bills!#REF!,"AAAAAD9L/0w=")</f>
        <v>#REF!</v>
      </c>
      <c r="BZ198" t="e">
        <f>AND(Bills!#REF!,"AAAAAD9L/00=")</f>
        <v>#REF!</v>
      </c>
      <c r="CA198" t="e">
        <f>AND(Bills!Y833,"AAAAAD9L/04=")</f>
        <v>#VALUE!</v>
      </c>
      <c r="CB198" t="e">
        <f>AND(Bills!Z833,"AAAAAD9L/08=")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AND(Bills!AA833,"AAAAAD9L/1k=")</f>
        <v>#VALUE!</v>
      </c>
      <c r="CM198" t="e">
        <f>AND(Bills!AB833,"AAAAAD9L/1o=")</f>
        <v>#VALUE!</v>
      </c>
      <c r="CN198" t="e">
        <f>AND(Bills!#REF!,"AAAAAD9L/1s=")</f>
        <v>#REF!</v>
      </c>
      <c r="CO198" t="e">
        <f>AND(Bills!#REF!,"AAAAAD9L/1w=")</f>
        <v>#REF!</v>
      </c>
      <c r="CP198" t="e">
        <f>AND(Bills!#REF!,"AAAAAD9L/10=")</f>
        <v>#REF!</v>
      </c>
      <c r="CQ198" t="e">
        <f>AND(Bills!AC833,"AAAAAD9L/14=")</f>
        <v>#VALUE!</v>
      </c>
      <c r="CR198" t="e">
        <f>AND(Bills!AD833,"AAAAAD9L/18=")</f>
        <v>#VALUE!</v>
      </c>
      <c r="CS198" t="e">
        <f>AND(Bills!#REF!,"AAAAAD9L/2A=")</f>
        <v>#REF!</v>
      </c>
      <c r="CT198">
        <f>IF(Bills!834:834,"AAAAAD9L/2E=",0)</f>
        <v>0</v>
      </c>
      <c r="CU198" t="e">
        <f>AND(Bills!B834,"AAAAAD9L/2I=")</f>
        <v>#VALUE!</v>
      </c>
      <c r="CV198" t="e">
        <f>AND(Bills!#REF!,"AAAAAD9L/2M=")</f>
        <v>#REF!</v>
      </c>
      <c r="CW198" t="e">
        <f>AND(Bills!C834,"AAAAAD9L/2Q=")</f>
        <v>#VALUE!</v>
      </c>
      <c r="CX198" t="e">
        <f>AND(Bills!D834,"AAAAAD9L/2U=")</f>
        <v>#VALUE!</v>
      </c>
      <c r="CY198" t="e">
        <f>AND(Bills!E834,"AAAAAD9L/2Y=")</f>
        <v>#VALUE!</v>
      </c>
      <c r="CZ198" t="e">
        <f>AND(Bills!#REF!,"AAAAAD9L/2c=")</f>
        <v>#REF!</v>
      </c>
      <c r="DA198" t="e">
        <f>AND(Bills!#REF!,"AAAAAD9L/2g=")</f>
        <v>#REF!</v>
      </c>
      <c r="DB198" t="e">
        <f>AND(Bills!#REF!,"AAAAAD9L/2k=")</f>
        <v>#REF!</v>
      </c>
      <c r="DC198" t="e">
        <f>AND(Bills!F834,"AAAAAD9L/2o=")</f>
        <v>#VALUE!</v>
      </c>
      <c r="DD198" t="e">
        <f>AND(Bills!#REF!,"AAAAAD9L/2s=")</f>
        <v>#REF!</v>
      </c>
      <c r="DE198" t="e">
        <f>AND(Bills!G834,"AAAAAD9L/2w=")</f>
        <v>#VALUE!</v>
      </c>
      <c r="DF198" t="e">
        <f>AND(Bills!H834,"AAAAAD9L/20=")</f>
        <v>#VALUE!</v>
      </c>
      <c r="DG198" t="e">
        <f>AND(Bills!I834,"AAAAAD9L/24=")</f>
        <v>#VALUE!</v>
      </c>
      <c r="DH198" t="e">
        <f>AND(Bills!J834,"AAAAAD9L/28=")</f>
        <v>#VALUE!</v>
      </c>
      <c r="DI198" t="e">
        <f>AND(Bills!K834,"AAAAAD9L/3A=")</f>
        <v>#VALUE!</v>
      </c>
      <c r="DJ198" t="e">
        <f>AND(Bills!L834,"AAAAAD9L/3E=")</f>
        <v>#VALUE!</v>
      </c>
      <c r="DK198" t="e">
        <f>AND(Bills!#REF!,"AAAAAD9L/3I=")</f>
        <v>#REF!</v>
      </c>
      <c r="DL198" t="e">
        <f>AND(Bills!M834,"AAAAAD9L/3M=")</f>
        <v>#VALUE!</v>
      </c>
      <c r="DM198" t="e">
        <f>AND(Bills!N834,"AAAAAD9L/3Q=")</f>
        <v>#VALUE!</v>
      </c>
      <c r="DN198" t="e">
        <f>AND(Bills!O834,"AAAAAD9L/3U=")</f>
        <v>#VALUE!</v>
      </c>
      <c r="DO198" t="e">
        <f>AND(Bills!P834,"AAAAAD9L/3Y=")</f>
        <v>#VALUE!</v>
      </c>
      <c r="DP198" t="e">
        <f>AND(Bills!Q834,"AAAAAD9L/3c=")</f>
        <v>#VALUE!</v>
      </c>
      <c r="DQ198" t="e">
        <f>AND(Bills!R834,"AAAAAD9L/3g=")</f>
        <v>#VALUE!</v>
      </c>
      <c r="DR198" t="e">
        <f>AND(Bills!S834,"AAAAAD9L/3k=")</f>
        <v>#VALUE!</v>
      </c>
      <c r="DS198" t="e">
        <f>AND(Bills!T834,"AAAAAD9L/3o=")</f>
        <v>#VALUE!</v>
      </c>
      <c r="DT198" t="e">
        <f>AND(Bills!#REF!,"AAAAAD9L/3s=")</f>
        <v>#REF!</v>
      </c>
      <c r="DU198" t="e">
        <f>AND(Bills!U834,"AAAAAD9L/3w=")</f>
        <v>#VALUE!</v>
      </c>
      <c r="DV198" t="e">
        <f>AND(Bills!V834,"AAAAAD9L/30=")</f>
        <v>#VALUE!</v>
      </c>
      <c r="DW198" t="e">
        <f>AND(Bills!W834,"AAAAAD9L/34=")</f>
        <v>#VALUE!</v>
      </c>
      <c r="DX198" t="e">
        <f>AND(Bills!#REF!,"AAAAAD9L/38=")</f>
        <v>#REF!</v>
      </c>
      <c r="DY198" t="e">
        <f>AND(Bills!#REF!,"AAAAAD9L/4A=")</f>
        <v>#REF!</v>
      </c>
      <c r="DZ198" t="e">
        <f>AND(Bills!Y834,"AAAAAD9L/4E=")</f>
        <v>#VALUE!</v>
      </c>
      <c r="EA198" t="e">
        <f>AND(Bills!Z834,"AAAAAD9L/4I=")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AND(Bills!AA834,"AAAAAD9L/4w=")</f>
        <v>#VALUE!</v>
      </c>
      <c r="EL198" t="e">
        <f>AND(Bills!AB834,"AAAAAD9L/40=")</f>
        <v>#VALUE!</v>
      </c>
      <c r="EM198" t="e">
        <f>AND(Bills!#REF!,"AAAAAD9L/44=")</f>
        <v>#REF!</v>
      </c>
      <c r="EN198" t="e">
        <f>AND(Bills!#REF!,"AAAAAD9L/48=")</f>
        <v>#REF!</v>
      </c>
      <c r="EO198" t="e">
        <f>AND(Bills!#REF!,"AAAAAD9L/5A=")</f>
        <v>#REF!</v>
      </c>
      <c r="EP198" t="e">
        <f>AND(Bills!AC834,"AAAAAD9L/5E=")</f>
        <v>#VALUE!</v>
      </c>
      <c r="EQ198" t="e">
        <f>AND(Bills!AD834,"AAAAAD9L/5I=")</f>
        <v>#VALUE!</v>
      </c>
      <c r="ER198" t="e">
        <f>AND(Bills!#REF!,"AAAAAD9L/5M=")</f>
        <v>#REF!</v>
      </c>
      <c r="ES198">
        <f>IF(Bills!835:835,"AAAAAD9L/5Q=",0)</f>
        <v>0</v>
      </c>
      <c r="ET198" t="e">
        <f>AND(Bills!B835,"AAAAAD9L/5U=")</f>
        <v>#VALUE!</v>
      </c>
      <c r="EU198" t="e">
        <f>AND(Bills!#REF!,"AAAAAD9L/5Y=")</f>
        <v>#REF!</v>
      </c>
      <c r="EV198" t="e">
        <f>AND(Bills!C835,"AAAAAD9L/5c=")</f>
        <v>#VALUE!</v>
      </c>
      <c r="EW198" t="e">
        <f>AND(Bills!D835,"AAAAAD9L/5g=")</f>
        <v>#VALUE!</v>
      </c>
      <c r="EX198" t="e">
        <f>AND(Bills!E835,"AAAAAD9L/5k=")</f>
        <v>#VALUE!</v>
      </c>
      <c r="EY198" t="e">
        <f>AND(Bills!#REF!,"AAAAAD9L/5o=")</f>
        <v>#REF!</v>
      </c>
      <c r="EZ198" t="e">
        <f>AND(Bills!#REF!,"AAAAAD9L/5s=")</f>
        <v>#REF!</v>
      </c>
      <c r="FA198" t="e">
        <f>AND(Bills!#REF!,"AAAAAD9L/5w=")</f>
        <v>#REF!</v>
      </c>
      <c r="FB198" t="e">
        <f>AND(Bills!F835,"AAAAAD9L/50=")</f>
        <v>#VALUE!</v>
      </c>
      <c r="FC198" t="e">
        <f>AND(Bills!#REF!,"AAAAAD9L/54=")</f>
        <v>#REF!</v>
      </c>
      <c r="FD198" t="e">
        <f>AND(Bills!G835,"AAAAAD9L/58=")</f>
        <v>#VALUE!</v>
      </c>
      <c r="FE198" t="e">
        <f>AND(Bills!H835,"AAAAAD9L/6A=")</f>
        <v>#VALUE!</v>
      </c>
      <c r="FF198" t="e">
        <f>AND(Bills!I835,"AAAAAD9L/6E=")</f>
        <v>#VALUE!</v>
      </c>
      <c r="FG198" t="e">
        <f>AND(Bills!J835,"AAAAAD9L/6I=")</f>
        <v>#VALUE!</v>
      </c>
      <c r="FH198" t="e">
        <f>AND(Bills!K835,"AAAAAD9L/6M=")</f>
        <v>#VALUE!</v>
      </c>
      <c r="FI198" t="e">
        <f>AND(Bills!L835,"AAAAAD9L/6Q=")</f>
        <v>#VALUE!</v>
      </c>
      <c r="FJ198" t="e">
        <f>AND(Bills!#REF!,"AAAAAD9L/6U=")</f>
        <v>#REF!</v>
      </c>
      <c r="FK198" t="e">
        <f>AND(Bills!M835,"AAAAAD9L/6Y=")</f>
        <v>#VALUE!</v>
      </c>
      <c r="FL198" t="e">
        <f>AND(Bills!N835,"AAAAAD9L/6c=")</f>
        <v>#VALUE!</v>
      </c>
      <c r="FM198" t="e">
        <f>AND(Bills!O835,"AAAAAD9L/6g=")</f>
        <v>#VALUE!</v>
      </c>
      <c r="FN198" t="e">
        <f>AND(Bills!P835,"AAAAAD9L/6k=")</f>
        <v>#VALUE!</v>
      </c>
      <c r="FO198" t="e">
        <f>AND(Bills!Q835,"AAAAAD9L/6o=")</f>
        <v>#VALUE!</v>
      </c>
      <c r="FP198" t="e">
        <f>AND(Bills!R835,"AAAAAD9L/6s=")</f>
        <v>#VALUE!</v>
      </c>
      <c r="FQ198" t="e">
        <f>AND(Bills!S835,"AAAAAD9L/6w=")</f>
        <v>#VALUE!</v>
      </c>
      <c r="FR198" t="e">
        <f>AND(Bills!T835,"AAAAAD9L/60=")</f>
        <v>#VALUE!</v>
      </c>
      <c r="FS198" t="e">
        <f>AND(Bills!#REF!,"AAAAAD9L/64=")</f>
        <v>#REF!</v>
      </c>
      <c r="FT198" t="e">
        <f>AND(Bills!U835,"AAAAAD9L/68=")</f>
        <v>#VALUE!</v>
      </c>
      <c r="FU198" t="e">
        <f>AND(Bills!V835,"AAAAAD9L/7A=")</f>
        <v>#VALUE!</v>
      </c>
      <c r="FV198" t="e">
        <f>AND(Bills!W835,"AAAAAD9L/7E=")</f>
        <v>#VALUE!</v>
      </c>
      <c r="FW198" t="e">
        <f>AND(Bills!#REF!,"AAAAAD9L/7I=")</f>
        <v>#REF!</v>
      </c>
      <c r="FX198" t="e">
        <f>AND(Bills!#REF!,"AAAAAD9L/7M=")</f>
        <v>#REF!</v>
      </c>
      <c r="FY198" t="e">
        <f>AND(Bills!Y835,"AAAAAD9L/7Q=")</f>
        <v>#VALUE!</v>
      </c>
      <c r="FZ198" t="e">
        <f>AND(Bills!Z835,"AAAAAD9L/7U=")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AND(Bills!AA835,"AAAAAD9L/78=")</f>
        <v>#VALUE!</v>
      </c>
      <c r="GK198" t="e">
        <f>AND(Bills!AB835,"AAAAAD9L/8A=")</f>
        <v>#VALUE!</v>
      </c>
      <c r="GL198" t="e">
        <f>AND(Bills!#REF!,"AAAAAD9L/8E=")</f>
        <v>#REF!</v>
      </c>
      <c r="GM198" t="e">
        <f>AND(Bills!#REF!,"AAAAAD9L/8I=")</f>
        <v>#REF!</v>
      </c>
      <c r="GN198" t="e">
        <f>AND(Bills!#REF!,"AAAAAD9L/8M=")</f>
        <v>#REF!</v>
      </c>
      <c r="GO198" t="e">
        <f>AND(Bills!AC835,"AAAAAD9L/8Q=")</f>
        <v>#VALUE!</v>
      </c>
      <c r="GP198" t="e">
        <f>AND(Bills!AD835,"AAAAAD9L/8U=")</f>
        <v>#VALUE!</v>
      </c>
      <c r="GQ198" t="e">
        <f>AND(Bills!#REF!,"AAAAAD9L/8Y=")</f>
        <v>#REF!</v>
      </c>
      <c r="GR198">
        <f>IF(Bills!836:836,"AAAAAD9L/8c=",0)</f>
        <v>0</v>
      </c>
      <c r="GS198" t="e">
        <f>AND(Bills!B836,"AAAAAD9L/8g=")</f>
        <v>#VALUE!</v>
      </c>
      <c r="GT198" t="e">
        <f>AND(Bills!#REF!,"AAAAAD9L/8k=")</f>
        <v>#REF!</v>
      </c>
      <c r="GU198" t="e">
        <f>AND(Bills!C836,"AAAAAD9L/8o=")</f>
        <v>#VALUE!</v>
      </c>
      <c r="GV198" t="e">
        <f>AND(Bills!D836,"AAAAAD9L/8s=")</f>
        <v>#VALUE!</v>
      </c>
      <c r="GW198" t="e">
        <f>AND(Bills!E836,"AAAAAD9L/8w=")</f>
        <v>#VALUE!</v>
      </c>
      <c r="GX198" t="e">
        <f>AND(Bills!#REF!,"AAAAAD9L/80=")</f>
        <v>#REF!</v>
      </c>
      <c r="GY198" t="e">
        <f>AND(Bills!#REF!,"AAAAAD9L/84=")</f>
        <v>#REF!</v>
      </c>
      <c r="GZ198" t="e">
        <f>AND(Bills!#REF!,"AAAAAD9L/88=")</f>
        <v>#REF!</v>
      </c>
      <c r="HA198" t="e">
        <f>AND(Bills!F836,"AAAAAD9L/9A=")</f>
        <v>#VALUE!</v>
      </c>
      <c r="HB198" t="e">
        <f>AND(Bills!#REF!,"AAAAAD9L/9E=")</f>
        <v>#REF!</v>
      </c>
      <c r="HC198" t="e">
        <f>AND(Bills!G836,"AAAAAD9L/9I=")</f>
        <v>#VALUE!</v>
      </c>
      <c r="HD198" t="e">
        <f>AND(Bills!H836,"AAAAAD9L/9M=")</f>
        <v>#VALUE!</v>
      </c>
      <c r="HE198" t="e">
        <f>AND(Bills!I836,"AAAAAD9L/9Q=")</f>
        <v>#VALUE!</v>
      </c>
      <c r="HF198" t="e">
        <f>AND(Bills!J836,"AAAAAD9L/9U=")</f>
        <v>#VALUE!</v>
      </c>
      <c r="HG198" t="e">
        <f>AND(Bills!K836,"AAAAAD9L/9Y=")</f>
        <v>#VALUE!</v>
      </c>
      <c r="HH198" t="e">
        <f>AND(Bills!L836,"AAAAAD9L/9c=")</f>
        <v>#VALUE!</v>
      </c>
      <c r="HI198" t="e">
        <f>AND(Bills!#REF!,"AAAAAD9L/9g=")</f>
        <v>#REF!</v>
      </c>
      <c r="HJ198" t="e">
        <f>AND(Bills!M836,"AAAAAD9L/9k=")</f>
        <v>#VALUE!</v>
      </c>
      <c r="HK198" t="e">
        <f>AND(Bills!N836,"AAAAAD9L/9o=")</f>
        <v>#VALUE!</v>
      </c>
      <c r="HL198" t="e">
        <f>AND(Bills!O836,"AAAAAD9L/9s=")</f>
        <v>#VALUE!</v>
      </c>
      <c r="HM198" t="e">
        <f>AND(Bills!P836,"AAAAAD9L/9w=")</f>
        <v>#VALUE!</v>
      </c>
      <c r="HN198" t="e">
        <f>AND(Bills!Q836,"AAAAAD9L/90=")</f>
        <v>#VALUE!</v>
      </c>
      <c r="HO198" t="e">
        <f>AND(Bills!R836,"AAAAAD9L/94=")</f>
        <v>#VALUE!</v>
      </c>
      <c r="HP198" t="e">
        <f>AND(Bills!S836,"AAAAAD9L/98=")</f>
        <v>#VALUE!</v>
      </c>
      <c r="HQ198" t="e">
        <f>AND(Bills!T836,"AAAAAD9L/+A=")</f>
        <v>#VALUE!</v>
      </c>
      <c r="HR198" t="e">
        <f>AND(Bills!#REF!,"AAAAAD9L/+E=")</f>
        <v>#REF!</v>
      </c>
      <c r="HS198" t="e">
        <f>AND(Bills!U836,"AAAAAD9L/+I=")</f>
        <v>#VALUE!</v>
      </c>
      <c r="HT198" t="e">
        <f>AND(Bills!V836,"AAAAAD9L/+M=")</f>
        <v>#VALUE!</v>
      </c>
      <c r="HU198" t="e">
        <f>AND(Bills!W836,"AAAAAD9L/+Q=")</f>
        <v>#VALUE!</v>
      </c>
      <c r="HV198" t="e">
        <f>AND(Bills!#REF!,"AAAAAD9L/+U=")</f>
        <v>#REF!</v>
      </c>
      <c r="HW198" t="e">
        <f>AND(Bills!#REF!,"AAAAAD9L/+Y=")</f>
        <v>#REF!</v>
      </c>
      <c r="HX198" t="e">
        <f>AND(Bills!Y836,"AAAAAD9L/+c=")</f>
        <v>#VALUE!</v>
      </c>
      <c r="HY198" t="e">
        <f>AND(Bills!Z836,"AAAAAD9L/+g=")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AND(Bills!AA836,"AAAAAD9L//I=")</f>
        <v>#VALUE!</v>
      </c>
      <c r="IJ198" t="e">
        <f>AND(Bills!AB836,"AAAAAD9L//M=")</f>
        <v>#VALUE!</v>
      </c>
      <c r="IK198" t="e">
        <f>AND(Bills!#REF!,"AAAAAD9L//Q=")</f>
        <v>#REF!</v>
      </c>
      <c r="IL198" t="e">
        <f>AND(Bills!#REF!,"AAAAAD9L//U=")</f>
        <v>#REF!</v>
      </c>
      <c r="IM198" t="e">
        <f>AND(Bills!#REF!,"AAAAAD9L//Y=")</f>
        <v>#REF!</v>
      </c>
      <c r="IN198" t="e">
        <f>AND(Bills!AC836,"AAAAAD9L//c=")</f>
        <v>#VALUE!</v>
      </c>
      <c r="IO198" t="e">
        <f>AND(Bills!AD836,"AAAAAD9L//g=")</f>
        <v>#VALUE!</v>
      </c>
      <c r="IP198" t="e">
        <f>AND(Bills!#REF!,"AAAAAD9L//k=")</f>
        <v>#REF!</v>
      </c>
      <c r="IQ198">
        <f>IF(Bills!837:837,"AAAAAD9L//o=",0)</f>
        <v>0</v>
      </c>
      <c r="IR198" t="e">
        <f>AND(Bills!B837,"AAAAAD9L//s=")</f>
        <v>#VALUE!</v>
      </c>
      <c r="IS198" t="e">
        <f>AND(Bills!#REF!,"AAAAAD9L//w=")</f>
        <v>#REF!</v>
      </c>
      <c r="IT198" t="e">
        <f>AND(Bills!C837,"AAAAAD9L//0=")</f>
        <v>#VALUE!</v>
      </c>
      <c r="IU198" t="e">
        <f>AND(Bills!D837,"AAAAAD9L//4=")</f>
        <v>#VALUE!</v>
      </c>
      <c r="IV198" t="e">
        <f>AND(Bills!E837,"AAAAAD9L//8=")</f>
        <v>#VALUE!</v>
      </c>
    </row>
    <row r="199" spans="1:256">
      <c r="A199" t="e">
        <f>AND(Bills!#REF!,"AAAAAHW3/wA=")</f>
        <v>#REF!</v>
      </c>
      <c r="B199" t="e">
        <f>AND(Bills!#REF!,"AAAAAHW3/wE=")</f>
        <v>#REF!</v>
      </c>
      <c r="C199" t="e">
        <f>AND(Bills!#REF!,"AAAAAHW3/wI=")</f>
        <v>#REF!</v>
      </c>
      <c r="D199" t="e">
        <f>AND(Bills!F837,"AAAAAHW3/wM=")</f>
        <v>#VALUE!</v>
      </c>
      <c r="E199" t="e">
        <f>AND(Bills!#REF!,"AAAAAHW3/wQ=")</f>
        <v>#REF!</v>
      </c>
      <c r="F199" t="e">
        <f>AND(Bills!G837,"AAAAAHW3/wU=")</f>
        <v>#VALUE!</v>
      </c>
      <c r="G199" t="e">
        <f>AND(Bills!H837,"AAAAAHW3/wY=")</f>
        <v>#VALUE!</v>
      </c>
      <c r="H199" t="e">
        <f>AND(Bills!I837,"AAAAAHW3/wc=")</f>
        <v>#VALUE!</v>
      </c>
      <c r="I199" t="e">
        <f>AND(Bills!J837,"AAAAAHW3/wg=")</f>
        <v>#VALUE!</v>
      </c>
      <c r="J199" t="e">
        <f>AND(Bills!K837,"AAAAAHW3/wk=")</f>
        <v>#VALUE!</v>
      </c>
      <c r="K199" t="e">
        <f>AND(Bills!L837,"AAAAAHW3/wo=")</f>
        <v>#VALUE!</v>
      </c>
      <c r="L199" t="e">
        <f>AND(Bills!#REF!,"AAAAAHW3/ws=")</f>
        <v>#REF!</v>
      </c>
      <c r="M199" t="e">
        <f>AND(Bills!M837,"AAAAAHW3/ww=")</f>
        <v>#VALUE!</v>
      </c>
      <c r="N199" t="e">
        <f>AND(Bills!N837,"AAAAAHW3/w0=")</f>
        <v>#VALUE!</v>
      </c>
      <c r="O199" t="e">
        <f>AND(Bills!O837,"AAAAAHW3/w4=")</f>
        <v>#VALUE!</v>
      </c>
      <c r="P199" t="e">
        <f>AND(Bills!P837,"AAAAAHW3/w8=")</f>
        <v>#VALUE!</v>
      </c>
      <c r="Q199" t="e">
        <f>AND(Bills!Q837,"AAAAAHW3/xA=")</f>
        <v>#VALUE!</v>
      </c>
      <c r="R199" t="e">
        <f>AND(Bills!R837,"AAAAAHW3/xE=")</f>
        <v>#VALUE!</v>
      </c>
      <c r="S199" t="e">
        <f>AND(Bills!S837,"AAAAAHW3/xI=")</f>
        <v>#VALUE!</v>
      </c>
      <c r="T199" t="e">
        <f>AND(Bills!T837,"AAAAAHW3/xM=")</f>
        <v>#VALUE!</v>
      </c>
      <c r="U199" t="e">
        <f>AND(Bills!#REF!,"AAAAAHW3/xQ=")</f>
        <v>#REF!</v>
      </c>
      <c r="V199" t="e">
        <f>AND(Bills!U837,"AAAAAHW3/xU=")</f>
        <v>#VALUE!</v>
      </c>
      <c r="W199" t="e">
        <f>AND(Bills!V837,"AAAAAHW3/xY=")</f>
        <v>#VALUE!</v>
      </c>
      <c r="X199" t="e">
        <f>AND(Bills!W837,"AAAAAHW3/xc=")</f>
        <v>#VALUE!</v>
      </c>
      <c r="Y199" t="e">
        <f>AND(Bills!#REF!,"AAAAAHW3/xg=")</f>
        <v>#REF!</v>
      </c>
      <c r="Z199" t="e">
        <f>AND(Bills!#REF!,"AAAAAHW3/xk=")</f>
        <v>#REF!</v>
      </c>
      <c r="AA199" t="e">
        <f>AND(Bills!Y837,"AAAAAHW3/xo=")</f>
        <v>#VALUE!</v>
      </c>
      <c r="AB199" t="e">
        <f>AND(Bills!Z837,"AAAAAHW3/xs=")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AND(Bills!AA837,"AAAAAHW3/yU=")</f>
        <v>#VALUE!</v>
      </c>
      <c r="AM199" t="e">
        <f>AND(Bills!AB837,"AAAAAHW3/yY=")</f>
        <v>#VALUE!</v>
      </c>
      <c r="AN199" t="e">
        <f>AND(Bills!#REF!,"AAAAAHW3/yc=")</f>
        <v>#REF!</v>
      </c>
      <c r="AO199" t="e">
        <f>AND(Bills!#REF!,"AAAAAHW3/yg=")</f>
        <v>#REF!</v>
      </c>
      <c r="AP199" t="e">
        <f>AND(Bills!#REF!,"AAAAAHW3/yk=")</f>
        <v>#REF!</v>
      </c>
      <c r="AQ199" t="e">
        <f>AND(Bills!AC837,"AAAAAHW3/yo=")</f>
        <v>#VALUE!</v>
      </c>
      <c r="AR199" t="e">
        <f>AND(Bills!AD837,"AAAAAHW3/ys=")</f>
        <v>#VALUE!</v>
      </c>
      <c r="AS199" t="e">
        <f>AND(Bills!#REF!,"AAAAAHW3/yw=")</f>
        <v>#REF!</v>
      </c>
      <c r="AT199">
        <f>IF(Bills!838:838,"AAAAAHW3/y0=",0)</f>
        <v>0</v>
      </c>
      <c r="AU199" t="e">
        <f>AND(Bills!B838,"AAAAAHW3/y4=")</f>
        <v>#VALUE!</v>
      </c>
      <c r="AV199" t="e">
        <f>AND(Bills!#REF!,"AAAAAHW3/y8=")</f>
        <v>#REF!</v>
      </c>
      <c r="AW199" t="e">
        <f>AND(Bills!C838,"AAAAAHW3/zA=")</f>
        <v>#VALUE!</v>
      </c>
      <c r="AX199" t="e">
        <f>AND(Bills!D838,"AAAAAHW3/zE=")</f>
        <v>#VALUE!</v>
      </c>
      <c r="AY199" t="e">
        <f>AND(Bills!E838,"AAAAAHW3/zI=")</f>
        <v>#VALUE!</v>
      </c>
      <c r="AZ199" t="e">
        <f>AND(Bills!#REF!,"AAAAAHW3/zM=")</f>
        <v>#REF!</v>
      </c>
      <c r="BA199" t="e">
        <f>AND(Bills!#REF!,"AAAAAHW3/zQ=")</f>
        <v>#REF!</v>
      </c>
      <c r="BB199" t="e">
        <f>AND(Bills!#REF!,"AAAAAHW3/zU=")</f>
        <v>#REF!</v>
      </c>
      <c r="BC199" t="e">
        <f>AND(Bills!F838,"AAAAAHW3/zY=")</f>
        <v>#VALUE!</v>
      </c>
      <c r="BD199" t="e">
        <f>AND(Bills!#REF!,"AAAAAHW3/zc=")</f>
        <v>#REF!</v>
      </c>
      <c r="BE199" t="e">
        <f>AND(Bills!G838,"AAAAAHW3/zg=")</f>
        <v>#VALUE!</v>
      </c>
      <c r="BF199" t="e">
        <f>AND(Bills!H838,"AAAAAHW3/zk=")</f>
        <v>#VALUE!</v>
      </c>
      <c r="BG199" t="e">
        <f>AND(Bills!I838,"AAAAAHW3/zo=")</f>
        <v>#VALUE!</v>
      </c>
      <c r="BH199" t="e">
        <f>AND(Bills!J838,"AAAAAHW3/zs=")</f>
        <v>#VALUE!</v>
      </c>
      <c r="BI199" t="e">
        <f>AND(Bills!K838,"AAAAAHW3/zw=")</f>
        <v>#VALUE!</v>
      </c>
      <c r="BJ199" t="e">
        <f>AND(Bills!L838,"AAAAAHW3/z0=")</f>
        <v>#VALUE!</v>
      </c>
      <c r="BK199" t="e">
        <f>AND(Bills!#REF!,"AAAAAHW3/z4=")</f>
        <v>#REF!</v>
      </c>
      <c r="BL199" t="e">
        <f>AND(Bills!M838,"AAAAAHW3/z8=")</f>
        <v>#VALUE!</v>
      </c>
      <c r="BM199" t="e">
        <f>AND(Bills!N838,"AAAAAHW3/0A=")</f>
        <v>#VALUE!</v>
      </c>
      <c r="BN199" t="e">
        <f>AND(Bills!O838,"AAAAAHW3/0E=")</f>
        <v>#VALUE!</v>
      </c>
      <c r="BO199" t="e">
        <f>AND(Bills!P838,"AAAAAHW3/0I=")</f>
        <v>#VALUE!</v>
      </c>
      <c r="BP199" t="e">
        <f>AND(Bills!Q838,"AAAAAHW3/0M=")</f>
        <v>#VALUE!</v>
      </c>
      <c r="BQ199" t="e">
        <f>AND(Bills!R838,"AAAAAHW3/0Q=")</f>
        <v>#VALUE!</v>
      </c>
      <c r="BR199" t="e">
        <f>AND(Bills!S838,"AAAAAHW3/0U=")</f>
        <v>#VALUE!</v>
      </c>
      <c r="BS199" t="e">
        <f>AND(Bills!T838,"AAAAAHW3/0Y=")</f>
        <v>#VALUE!</v>
      </c>
      <c r="BT199" t="e">
        <f>AND(Bills!#REF!,"AAAAAHW3/0c=")</f>
        <v>#REF!</v>
      </c>
      <c r="BU199" t="e">
        <f>AND(Bills!U838,"AAAAAHW3/0g=")</f>
        <v>#VALUE!</v>
      </c>
      <c r="BV199" t="e">
        <f>AND(Bills!V838,"AAAAAHW3/0k=")</f>
        <v>#VALUE!</v>
      </c>
      <c r="BW199" t="e">
        <f>AND(Bills!W838,"AAAAAHW3/0o=")</f>
        <v>#VALUE!</v>
      </c>
      <c r="BX199" t="e">
        <f>AND(Bills!#REF!,"AAAAAHW3/0s=")</f>
        <v>#REF!</v>
      </c>
      <c r="BY199" t="e">
        <f>AND(Bills!#REF!,"AAAAAHW3/0w=")</f>
        <v>#REF!</v>
      </c>
      <c r="BZ199" t="e">
        <f>AND(Bills!Y838,"AAAAAHW3/00=")</f>
        <v>#VALUE!</v>
      </c>
      <c r="CA199" t="e">
        <f>AND(Bills!Z838,"AAAAAHW3/04=")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AND(Bills!AA838,"AAAAAHW3/1g=")</f>
        <v>#VALUE!</v>
      </c>
      <c r="CL199" t="e">
        <f>AND(Bills!AB838,"AAAAAHW3/1k=")</f>
        <v>#VALUE!</v>
      </c>
      <c r="CM199" t="e">
        <f>AND(Bills!#REF!,"AAAAAHW3/1o=")</f>
        <v>#REF!</v>
      </c>
      <c r="CN199" t="e">
        <f>AND(Bills!#REF!,"AAAAAHW3/1s=")</f>
        <v>#REF!</v>
      </c>
      <c r="CO199" t="e">
        <f>AND(Bills!#REF!,"AAAAAHW3/1w=")</f>
        <v>#REF!</v>
      </c>
      <c r="CP199" t="e">
        <f>AND(Bills!AC838,"AAAAAHW3/10=")</f>
        <v>#VALUE!</v>
      </c>
      <c r="CQ199" t="e">
        <f>AND(Bills!AD838,"AAAAAHW3/14=")</f>
        <v>#VALUE!</v>
      </c>
      <c r="CR199" t="e">
        <f>AND(Bills!#REF!,"AAAAAHW3/18=")</f>
        <v>#REF!</v>
      </c>
      <c r="CS199">
        <f>IF(Bills!839:839,"AAAAAHW3/2A=",0)</f>
        <v>0</v>
      </c>
      <c r="CT199" t="e">
        <f>AND(Bills!B839,"AAAAAHW3/2E=")</f>
        <v>#VALUE!</v>
      </c>
      <c r="CU199" t="e">
        <f>AND(Bills!#REF!,"AAAAAHW3/2I=")</f>
        <v>#REF!</v>
      </c>
      <c r="CV199" t="e">
        <f>AND(Bills!C839,"AAAAAHW3/2M=")</f>
        <v>#VALUE!</v>
      </c>
      <c r="CW199" t="e">
        <f>AND(Bills!D839,"AAAAAHW3/2Q=")</f>
        <v>#VALUE!</v>
      </c>
      <c r="CX199" t="e">
        <f>AND(Bills!E839,"AAAAAHW3/2U=")</f>
        <v>#VALUE!</v>
      </c>
      <c r="CY199" t="e">
        <f>AND(Bills!#REF!,"AAAAAHW3/2Y=")</f>
        <v>#REF!</v>
      </c>
      <c r="CZ199" t="e">
        <f>AND(Bills!#REF!,"AAAAAHW3/2c=")</f>
        <v>#REF!</v>
      </c>
      <c r="DA199" t="e">
        <f>AND(Bills!#REF!,"AAAAAHW3/2g=")</f>
        <v>#REF!</v>
      </c>
      <c r="DB199" t="e">
        <f>AND(Bills!F839,"AAAAAHW3/2k=")</f>
        <v>#VALUE!</v>
      </c>
      <c r="DC199" t="e">
        <f>AND(Bills!#REF!,"AAAAAHW3/2o=")</f>
        <v>#REF!</v>
      </c>
      <c r="DD199" t="e">
        <f>AND(Bills!G839,"AAAAAHW3/2s=")</f>
        <v>#VALUE!</v>
      </c>
      <c r="DE199" t="e">
        <f>AND(Bills!H839,"AAAAAHW3/2w=")</f>
        <v>#VALUE!</v>
      </c>
      <c r="DF199" t="e">
        <f>AND(Bills!I839,"AAAAAHW3/20=")</f>
        <v>#VALUE!</v>
      </c>
      <c r="DG199" t="e">
        <f>AND(Bills!J839,"AAAAAHW3/24=")</f>
        <v>#VALUE!</v>
      </c>
      <c r="DH199" t="e">
        <f>AND(Bills!K839,"AAAAAHW3/28=")</f>
        <v>#VALUE!</v>
      </c>
      <c r="DI199" t="e">
        <f>AND(Bills!L839,"AAAAAHW3/3A=")</f>
        <v>#VALUE!</v>
      </c>
      <c r="DJ199" t="e">
        <f>AND(Bills!#REF!,"AAAAAHW3/3E=")</f>
        <v>#REF!</v>
      </c>
      <c r="DK199" t="e">
        <f>AND(Bills!M839,"AAAAAHW3/3I=")</f>
        <v>#VALUE!</v>
      </c>
      <c r="DL199" t="e">
        <f>AND(Bills!N839,"AAAAAHW3/3M=")</f>
        <v>#VALUE!</v>
      </c>
      <c r="DM199" t="e">
        <f>AND(Bills!O839,"AAAAAHW3/3Q=")</f>
        <v>#VALUE!</v>
      </c>
      <c r="DN199" t="e">
        <f>AND(Bills!P839,"AAAAAHW3/3U=")</f>
        <v>#VALUE!</v>
      </c>
      <c r="DO199" t="e">
        <f>AND(Bills!Q839,"AAAAAHW3/3Y=")</f>
        <v>#VALUE!</v>
      </c>
      <c r="DP199" t="e">
        <f>AND(Bills!R839,"AAAAAHW3/3c=")</f>
        <v>#VALUE!</v>
      </c>
      <c r="DQ199" t="e">
        <f>AND(Bills!S839,"AAAAAHW3/3g=")</f>
        <v>#VALUE!</v>
      </c>
      <c r="DR199" t="e">
        <f>AND(Bills!T839,"AAAAAHW3/3k=")</f>
        <v>#VALUE!</v>
      </c>
      <c r="DS199" t="e">
        <f>AND(Bills!#REF!,"AAAAAHW3/3o=")</f>
        <v>#REF!</v>
      </c>
      <c r="DT199" t="e">
        <f>AND(Bills!U839,"AAAAAHW3/3s=")</f>
        <v>#VALUE!</v>
      </c>
      <c r="DU199" t="e">
        <f>AND(Bills!V839,"AAAAAHW3/3w=")</f>
        <v>#VALUE!</v>
      </c>
      <c r="DV199" t="e">
        <f>AND(Bills!W839,"AAAAAHW3/30=")</f>
        <v>#VALUE!</v>
      </c>
      <c r="DW199" t="e">
        <f>AND(Bills!#REF!,"AAAAAHW3/34=")</f>
        <v>#REF!</v>
      </c>
      <c r="DX199" t="e">
        <f>AND(Bills!#REF!,"AAAAAHW3/38=")</f>
        <v>#REF!</v>
      </c>
      <c r="DY199" t="e">
        <f>AND(Bills!Y839,"AAAAAHW3/4A=")</f>
        <v>#VALUE!</v>
      </c>
      <c r="DZ199" t="e">
        <f>AND(Bills!Z839,"AAAAAHW3/4E=")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AND(Bills!AA839,"AAAAAHW3/4s=")</f>
        <v>#VALUE!</v>
      </c>
      <c r="EK199" t="e">
        <f>AND(Bills!AB839,"AAAAAHW3/4w=")</f>
        <v>#VALUE!</v>
      </c>
      <c r="EL199" t="e">
        <f>AND(Bills!#REF!,"AAAAAHW3/40=")</f>
        <v>#REF!</v>
      </c>
      <c r="EM199" t="e">
        <f>AND(Bills!#REF!,"AAAAAHW3/44=")</f>
        <v>#REF!</v>
      </c>
      <c r="EN199" t="e">
        <f>AND(Bills!#REF!,"AAAAAHW3/48=")</f>
        <v>#REF!</v>
      </c>
      <c r="EO199" t="e">
        <f>AND(Bills!AC839,"AAAAAHW3/5A=")</f>
        <v>#VALUE!</v>
      </c>
      <c r="EP199" t="e">
        <f>AND(Bills!AD839,"AAAAAHW3/5E=")</f>
        <v>#VALUE!</v>
      </c>
      <c r="EQ199" t="e">
        <f>AND(Bills!#REF!,"AAAAAHW3/5I=")</f>
        <v>#REF!</v>
      </c>
      <c r="ER199">
        <f>IF(Bills!840:840,"AAAAAHW3/5M=",0)</f>
        <v>0</v>
      </c>
      <c r="ES199" t="e">
        <f>AND(Bills!B840,"AAAAAHW3/5Q=")</f>
        <v>#VALUE!</v>
      </c>
      <c r="ET199" t="e">
        <f>AND(Bills!#REF!,"AAAAAHW3/5U=")</f>
        <v>#REF!</v>
      </c>
      <c r="EU199" t="e">
        <f>AND(Bills!C840,"AAAAAHW3/5Y=")</f>
        <v>#VALUE!</v>
      </c>
      <c r="EV199" t="e">
        <f>AND(Bills!D840,"AAAAAHW3/5c=")</f>
        <v>#VALUE!</v>
      </c>
      <c r="EW199" t="e">
        <f>AND(Bills!E840,"AAAAAHW3/5g=")</f>
        <v>#VALUE!</v>
      </c>
      <c r="EX199" t="e">
        <f>AND(Bills!#REF!,"AAAAAHW3/5k=")</f>
        <v>#REF!</v>
      </c>
      <c r="EY199" t="e">
        <f>AND(Bills!#REF!,"AAAAAHW3/5o=")</f>
        <v>#REF!</v>
      </c>
      <c r="EZ199" t="e">
        <f>AND(Bills!#REF!,"AAAAAHW3/5s=")</f>
        <v>#REF!</v>
      </c>
      <c r="FA199" t="e">
        <f>AND(Bills!F840,"AAAAAHW3/5w=")</f>
        <v>#VALUE!</v>
      </c>
      <c r="FB199" t="e">
        <f>AND(Bills!#REF!,"AAAAAHW3/50=")</f>
        <v>#REF!</v>
      </c>
      <c r="FC199" t="e">
        <f>AND(Bills!G840,"AAAAAHW3/54=")</f>
        <v>#VALUE!</v>
      </c>
      <c r="FD199" t="e">
        <f>AND(Bills!H840,"AAAAAHW3/58=")</f>
        <v>#VALUE!</v>
      </c>
      <c r="FE199" t="e">
        <f>AND(Bills!I840,"AAAAAHW3/6A=")</f>
        <v>#VALUE!</v>
      </c>
      <c r="FF199" t="e">
        <f>AND(Bills!J840,"AAAAAHW3/6E=")</f>
        <v>#VALUE!</v>
      </c>
      <c r="FG199" t="e">
        <f>AND(Bills!K840,"AAAAAHW3/6I=")</f>
        <v>#VALUE!</v>
      </c>
      <c r="FH199" t="e">
        <f>AND(Bills!L840,"AAAAAHW3/6M=")</f>
        <v>#VALUE!</v>
      </c>
      <c r="FI199" t="e">
        <f>AND(Bills!#REF!,"AAAAAHW3/6Q=")</f>
        <v>#REF!</v>
      </c>
      <c r="FJ199" t="e">
        <f>AND(Bills!M840,"AAAAAHW3/6U=")</f>
        <v>#VALUE!</v>
      </c>
      <c r="FK199" t="e">
        <f>AND(Bills!N840,"AAAAAHW3/6Y=")</f>
        <v>#VALUE!</v>
      </c>
      <c r="FL199" t="e">
        <f>AND(Bills!O840,"AAAAAHW3/6c=")</f>
        <v>#VALUE!</v>
      </c>
      <c r="FM199" t="e">
        <f>AND(Bills!P840,"AAAAAHW3/6g=")</f>
        <v>#VALUE!</v>
      </c>
      <c r="FN199" t="e">
        <f>AND(Bills!Q840,"AAAAAHW3/6k=")</f>
        <v>#VALUE!</v>
      </c>
      <c r="FO199" t="e">
        <f>AND(Bills!R840,"AAAAAHW3/6o=")</f>
        <v>#VALUE!</v>
      </c>
      <c r="FP199" t="e">
        <f>AND(Bills!S840,"AAAAAHW3/6s=")</f>
        <v>#VALUE!</v>
      </c>
      <c r="FQ199" t="e">
        <f>AND(Bills!T840,"AAAAAHW3/6w=")</f>
        <v>#VALUE!</v>
      </c>
      <c r="FR199" t="e">
        <f>AND(Bills!#REF!,"AAAAAHW3/60=")</f>
        <v>#REF!</v>
      </c>
      <c r="FS199" t="e">
        <f>AND(Bills!U840,"AAAAAHW3/64=")</f>
        <v>#VALUE!</v>
      </c>
      <c r="FT199" t="e">
        <f>AND(Bills!V840,"AAAAAHW3/68=")</f>
        <v>#VALUE!</v>
      </c>
      <c r="FU199" t="e">
        <f>AND(Bills!W840,"AAAAAHW3/7A=")</f>
        <v>#VALUE!</v>
      </c>
      <c r="FV199" t="e">
        <f>AND(Bills!#REF!,"AAAAAHW3/7E=")</f>
        <v>#REF!</v>
      </c>
      <c r="FW199" t="e">
        <f>AND(Bills!#REF!,"AAAAAHW3/7I=")</f>
        <v>#REF!</v>
      </c>
      <c r="FX199" t="e">
        <f>AND(Bills!Y840,"AAAAAHW3/7M=")</f>
        <v>#VALUE!</v>
      </c>
      <c r="FY199" t="e">
        <f>AND(Bills!Z840,"AAAAAHW3/7Q=")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AND(Bills!AA840,"AAAAAHW3/74=")</f>
        <v>#VALUE!</v>
      </c>
      <c r="GJ199" t="e">
        <f>AND(Bills!AB840,"AAAAAHW3/78=")</f>
        <v>#VALUE!</v>
      </c>
      <c r="GK199" t="e">
        <f>AND(Bills!#REF!,"AAAAAHW3/8A=")</f>
        <v>#REF!</v>
      </c>
      <c r="GL199" t="e">
        <f>AND(Bills!#REF!,"AAAAAHW3/8E=")</f>
        <v>#REF!</v>
      </c>
      <c r="GM199" t="e">
        <f>AND(Bills!#REF!,"AAAAAHW3/8I=")</f>
        <v>#REF!</v>
      </c>
      <c r="GN199" t="e">
        <f>AND(Bills!AC840,"AAAAAHW3/8M=")</f>
        <v>#VALUE!</v>
      </c>
      <c r="GO199" t="e">
        <f>AND(Bills!AD840,"AAAAAHW3/8Q=")</f>
        <v>#VALUE!</v>
      </c>
      <c r="GP199" t="e">
        <f>AND(Bills!#REF!,"AAAAAHW3/8U=")</f>
        <v>#REF!</v>
      </c>
      <c r="GQ199">
        <f>IF(Bills!841:841,"AAAAAHW3/8Y=",0)</f>
        <v>0</v>
      </c>
      <c r="GR199" t="e">
        <f>AND(Bills!B841,"AAAAAHW3/8c=")</f>
        <v>#VALUE!</v>
      </c>
      <c r="GS199" t="e">
        <f>AND(Bills!#REF!,"AAAAAHW3/8g=")</f>
        <v>#REF!</v>
      </c>
      <c r="GT199" t="e">
        <f>AND(Bills!C841,"AAAAAHW3/8k=")</f>
        <v>#VALUE!</v>
      </c>
      <c r="GU199" t="e">
        <f>AND(Bills!D841,"AAAAAHW3/8o=")</f>
        <v>#VALUE!</v>
      </c>
      <c r="GV199" t="e">
        <f>AND(Bills!E841,"AAAAAHW3/8s=")</f>
        <v>#VALUE!</v>
      </c>
      <c r="GW199" t="e">
        <f>AND(Bills!#REF!,"AAAAAHW3/8w=")</f>
        <v>#REF!</v>
      </c>
      <c r="GX199" t="e">
        <f>AND(Bills!#REF!,"AAAAAHW3/80=")</f>
        <v>#REF!</v>
      </c>
      <c r="GY199" t="e">
        <f>AND(Bills!#REF!,"AAAAAHW3/84=")</f>
        <v>#REF!</v>
      </c>
      <c r="GZ199" t="e">
        <f>AND(Bills!F841,"AAAAAHW3/88=")</f>
        <v>#VALUE!</v>
      </c>
      <c r="HA199" t="e">
        <f>AND(Bills!#REF!,"AAAAAHW3/9A=")</f>
        <v>#REF!</v>
      </c>
      <c r="HB199" t="e">
        <f>AND(Bills!G841,"AAAAAHW3/9E=")</f>
        <v>#VALUE!</v>
      </c>
      <c r="HC199" t="e">
        <f>AND(Bills!H841,"AAAAAHW3/9I=")</f>
        <v>#VALUE!</v>
      </c>
      <c r="HD199" t="e">
        <f>AND(Bills!I841,"AAAAAHW3/9M=")</f>
        <v>#VALUE!</v>
      </c>
      <c r="HE199" t="e">
        <f>AND(Bills!J841,"AAAAAHW3/9Q=")</f>
        <v>#VALUE!</v>
      </c>
      <c r="HF199" t="e">
        <f>AND(Bills!K841,"AAAAAHW3/9U=")</f>
        <v>#VALUE!</v>
      </c>
      <c r="HG199" t="e">
        <f>AND(Bills!L841,"AAAAAHW3/9Y=")</f>
        <v>#VALUE!</v>
      </c>
      <c r="HH199" t="e">
        <f>AND(Bills!#REF!,"AAAAAHW3/9c=")</f>
        <v>#REF!</v>
      </c>
      <c r="HI199" t="e">
        <f>AND(Bills!M841,"AAAAAHW3/9g=")</f>
        <v>#VALUE!</v>
      </c>
      <c r="HJ199" t="e">
        <f>AND(Bills!N841,"AAAAAHW3/9k=")</f>
        <v>#VALUE!</v>
      </c>
      <c r="HK199" t="e">
        <f>AND(Bills!O841,"AAAAAHW3/9o=")</f>
        <v>#VALUE!</v>
      </c>
      <c r="HL199" t="e">
        <f>AND(Bills!P841,"AAAAAHW3/9s=")</f>
        <v>#VALUE!</v>
      </c>
      <c r="HM199" t="e">
        <f>AND(Bills!Q841,"AAAAAHW3/9w=")</f>
        <v>#VALUE!</v>
      </c>
      <c r="HN199" t="e">
        <f>AND(Bills!R841,"AAAAAHW3/90=")</f>
        <v>#VALUE!</v>
      </c>
      <c r="HO199" t="e">
        <f>AND(Bills!S841,"AAAAAHW3/94=")</f>
        <v>#VALUE!</v>
      </c>
      <c r="HP199" t="e">
        <f>AND(Bills!T841,"AAAAAHW3/98=")</f>
        <v>#VALUE!</v>
      </c>
      <c r="HQ199" t="e">
        <f>AND(Bills!#REF!,"AAAAAHW3/+A=")</f>
        <v>#REF!</v>
      </c>
      <c r="HR199" t="e">
        <f>AND(Bills!U841,"AAAAAHW3/+E=")</f>
        <v>#VALUE!</v>
      </c>
      <c r="HS199" t="e">
        <f>AND(Bills!V841,"AAAAAHW3/+I=")</f>
        <v>#VALUE!</v>
      </c>
      <c r="HT199" t="e">
        <f>AND(Bills!W841,"AAAAAHW3/+M=")</f>
        <v>#VALUE!</v>
      </c>
      <c r="HU199" t="e">
        <f>AND(Bills!#REF!,"AAAAAHW3/+Q=")</f>
        <v>#REF!</v>
      </c>
      <c r="HV199" t="e">
        <f>AND(Bills!#REF!,"AAAAAHW3/+U=")</f>
        <v>#REF!</v>
      </c>
      <c r="HW199" t="e">
        <f>AND(Bills!Y841,"AAAAAHW3/+Y=")</f>
        <v>#VALUE!</v>
      </c>
      <c r="HX199" t="e">
        <f>AND(Bills!Z841,"AAAAAHW3/+c=")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AND(Bills!AA841,"AAAAAHW3//E=")</f>
        <v>#VALUE!</v>
      </c>
      <c r="II199" t="e">
        <f>AND(Bills!AB841,"AAAAAHW3//I=")</f>
        <v>#VALUE!</v>
      </c>
      <c r="IJ199" t="e">
        <f>AND(Bills!#REF!,"AAAAAHW3//M=")</f>
        <v>#REF!</v>
      </c>
      <c r="IK199" t="e">
        <f>AND(Bills!#REF!,"AAAAAHW3//Q=")</f>
        <v>#REF!</v>
      </c>
      <c r="IL199" t="e">
        <f>AND(Bills!#REF!,"AAAAAHW3//U=")</f>
        <v>#REF!</v>
      </c>
      <c r="IM199" t="e">
        <f>AND(Bills!AC841,"AAAAAHW3//Y=")</f>
        <v>#VALUE!</v>
      </c>
      <c r="IN199" t="e">
        <f>AND(Bills!AD841,"AAAAAHW3//c=")</f>
        <v>#VALUE!</v>
      </c>
      <c r="IO199" t="e">
        <f>AND(Bills!#REF!,"AAAAAHW3//g=")</f>
        <v>#REF!</v>
      </c>
      <c r="IP199">
        <f>IF(Bills!842:842,"AAAAAHW3//k=",0)</f>
        <v>0</v>
      </c>
      <c r="IQ199" t="e">
        <f>AND(Bills!B842,"AAAAAHW3//o=")</f>
        <v>#VALUE!</v>
      </c>
      <c r="IR199" t="e">
        <f>AND(Bills!#REF!,"AAAAAHW3//s=")</f>
        <v>#REF!</v>
      </c>
      <c r="IS199" t="e">
        <f>AND(Bills!C842,"AAAAAHW3//w=")</f>
        <v>#VALUE!</v>
      </c>
      <c r="IT199" t="e">
        <f>AND(Bills!D842,"AAAAAHW3//0=")</f>
        <v>#VALUE!</v>
      </c>
      <c r="IU199" t="e">
        <f>AND(Bills!E842,"AAAAAHW3//4=")</f>
        <v>#VALUE!</v>
      </c>
      <c r="IV199" t="e">
        <f>AND(Bills!#REF!,"AAAAAHW3//8=")</f>
        <v>#REF!</v>
      </c>
    </row>
    <row r="200" spans="1:256">
      <c r="A200" t="e">
        <f>AND(Bills!#REF!,"AAAAAHz78QA=")</f>
        <v>#REF!</v>
      </c>
      <c r="B200" t="e">
        <f>AND(Bills!#REF!,"AAAAAHz78QE=")</f>
        <v>#REF!</v>
      </c>
      <c r="C200" t="e">
        <f>AND(Bills!F842,"AAAAAHz78QI=")</f>
        <v>#VALUE!</v>
      </c>
      <c r="D200" t="e">
        <f>AND(Bills!#REF!,"AAAAAHz78QM=")</f>
        <v>#REF!</v>
      </c>
      <c r="E200" t="e">
        <f>AND(Bills!G842,"AAAAAHz78QQ=")</f>
        <v>#VALUE!</v>
      </c>
      <c r="F200" t="e">
        <f>AND(Bills!H842,"AAAAAHz78QU=")</f>
        <v>#VALUE!</v>
      </c>
      <c r="G200" t="e">
        <f>AND(Bills!I842,"AAAAAHz78QY=")</f>
        <v>#VALUE!</v>
      </c>
      <c r="H200" t="e">
        <f>AND(Bills!J842,"AAAAAHz78Qc=")</f>
        <v>#VALUE!</v>
      </c>
      <c r="I200" t="e">
        <f>AND(Bills!K842,"AAAAAHz78Qg=")</f>
        <v>#VALUE!</v>
      </c>
      <c r="J200" t="e">
        <f>AND(Bills!L842,"AAAAAHz78Qk=")</f>
        <v>#VALUE!</v>
      </c>
      <c r="K200" t="e">
        <f>AND(Bills!#REF!,"AAAAAHz78Qo=")</f>
        <v>#REF!</v>
      </c>
      <c r="L200" t="e">
        <f>AND(Bills!M842,"AAAAAHz78Qs=")</f>
        <v>#VALUE!</v>
      </c>
      <c r="M200" t="e">
        <f>AND(Bills!N842,"AAAAAHz78Qw=")</f>
        <v>#VALUE!</v>
      </c>
      <c r="N200" t="e">
        <f>AND(Bills!O842,"AAAAAHz78Q0=")</f>
        <v>#VALUE!</v>
      </c>
      <c r="O200" t="e">
        <f>AND(Bills!P842,"AAAAAHz78Q4=")</f>
        <v>#VALUE!</v>
      </c>
      <c r="P200" t="e">
        <f>AND(Bills!Q842,"AAAAAHz78Q8=")</f>
        <v>#VALUE!</v>
      </c>
      <c r="Q200" t="e">
        <f>AND(Bills!R842,"AAAAAHz78RA=")</f>
        <v>#VALUE!</v>
      </c>
      <c r="R200" t="e">
        <f>AND(Bills!S842,"AAAAAHz78RE=")</f>
        <v>#VALUE!</v>
      </c>
      <c r="S200" t="e">
        <f>AND(Bills!T842,"AAAAAHz78RI=")</f>
        <v>#VALUE!</v>
      </c>
      <c r="T200" t="e">
        <f>AND(Bills!#REF!,"AAAAAHz78RM=")</f>
        <v>#REF!</v>
      </c>
      <c r="U200" t="e">
        <f>AND(Bills!U842,"AAAAAHz78RQ=")</f>
        <v>#VALUE!</v>
      </c>
      <c r="V200" t="e">
        <f>AND(Bills!V842,"AAAAAHz78RU=")</f>
        <v>#VALUE!</v>
      </c>
      <c r="W200" t="e">
        <f>AND(Bills!W842,"AAAAAHz78RY=")</f>
        <v>#VALUE!</v>
      </c>
      <c r="X200" t="e">
        <f>AND(Bills!#REF!,"AAAAAHz78Rc=")</f>
        <v>#REF!</v>
      </c>
      <c r="Y200" t="e">
        <f>AND(Bills!#REF!,"AAAAAHz78Rg=")</f>
        <v>#REF!</v>
      </c>
      <c r="Z200" t="e">
        <f>AND(Bills!Y842,"AAAAAHz78Rk=")</f>
        <v>#VALUE!</v>
      </c>
      <c r="AA200" t="e">
        <f>AND(Bills!Z842,"AAAAAHz78Ro=")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AND(Bills!AA842,"AAAAAHz78SQ=")</f>
        <v>#VALUE!</v>
      </c>
      <c r="AL200" t="e">
        <f>AND(Bills!AB842,"AAAAAHz78SU=")</f>
        <v>#VALUE!</v>
      </c>
      <c r="AM200" t="e">
        <f>AND(Bills!#REF!,"AAAAAHz78SY=")</f>
        <v>#REF!</v>
      </c>
      <c r="AN200" t="e">
        <f>AND(Bills!#REF!,"AAAAAHz78Sc=")</f>
        <v>#REF!</v>
      </c>
      <c r="AO200" t="e">
        <f>AND(Bills!#REF!,"AAAAAHz78Sg=")</f>
        <v>#REF!</v>
      </c>
      <c r="AP200" t="e">
        <f>AND(Bills!AC842,"AAAAAHz78Sk=")</f>
        <v>#VALUE!</v>
      </c>
      <c r="AQ200" t="e">
        <f>AND(Bills!AD842,"AAAAAHz78So=")</f>
        <v>#VALUE!</v>
      </c>
      <c r="AR200" t="e">
        <f>AND(Bills!#REF!,"AAAAAHz78Ss=")</f>
        <v>#REF!</v>
      </c>
      <c r="AS200">
        <f>IF(Bills!843:843,"AAAAAHz78Sw=",0)</f>
        <v>0</v>
      </c>
      <c r="AT200" t="e">
        <f>AND(Bills!B843,"AAAAAHz78S0=")</f>
        <v>#VALUE!</v>
      </c>
      <c r="AU200" t="e">
        <f>AND(Bills!#REF!,"AAAAAHz78S4=")</f>
        <v>#REF!</v>
      </c>
      <c r="AV200" t="e">
        <f>AND(Bills!C843,"AAAAAHz78S8=")</f>
        <v>#VALUE!</v>
      </c>
      <c r="AW200" t="e">
        <f>AND(Bills!D843,"AAAAAHz78TA=")</f>
        <v>#VALUE!</v>
      </c>
      <c r="AX200" t="e">
        <f>AND(Bills!E843,"AAAAAHz78TE=")</f>
        <v>#VALUE!</v>
      </c>
      <c r="AY200" t="e">
        <f>AND(Bills!#REF!,"AAAAAHz78TI=")</f>
        <v>#REF!</v>
      </c>
      <c r="AZ200" t="e">
        <f>AND(Bills!#REF!,"AAAAAHz78TM=")</f>
        <v>#REF!</v>
      </c>
      <c r="BA200" t="e">
        <f>AND(Bills!#REF!,"AAAAAHz78TQ=")</f>
        <v>#REF!</v>
      </c>
      <c r="BB200" t="e">
        <f>AND(Bills!F843,"AAAAAHz78TU=")</f>
        <v>#VALUE!</v>
      </c>
      <c r="BC200" t="e">
        <f>AND(Bills!#REF!,"AAAAAHz78TY=")</f>
        <v>#REF!</v>
      </c>
      <c r="BD200" t="e">
        <f>AND(Bills!G843,"AAAAAHz78Tc=")</f>
        <v>#VALUE!</v>
      </c>
      <c r="BE200" t="e">
        <f>AND(Bills!H843,"AAAAAHz78Tg=")</f>
        <v>#VALUE!</v>
      </c>
      <c r="BF200" t="e">
        <f>AND(Bills!I843,"AAAAAHz78Tk=")</f>
        <v>#VALUE!</v>
      </c>
      <c r="BG200" t="e">
        <f>AND(Bills!J843,"AAAAAHz78To=")</f>
        <v>#VALUE!</v>
      </c>
      <c r="BH200" t="e">
        <f>AND(Bills!K843,"AAAAAHz78Ts=")</f>
        <v>#VALUE!</v>
      </c>
      <c r="BI200" t="e">
        <f>AND(Bills!L843,"AAAAAHz78Tw=")</f>
        <v>#VALUE!</v>
      </c>
      <c r="BJ200" t="e">
        <f>AND(Bills!#REF!,"AAAAAHz78T0=")</f>
        <v>#REF!</v>
      </c>
      <c r="BK200" t="e">
        <f>AND(Bills!M843,"AAAAAHz78T4=")</f>
        <v>#VALUE!</v>
      </c>
      <c r="BL200" t="e">
        <f>AND(Bills!N843,"AAAAAHz78T8=")</f>
        <v>#VALUE!</v>
      </c>
      <c r="BM200" t="e">
        <f>AND(Bills!O843,"AAAAAHz78UA=")</f>
        <v>#VALUE!</v>
      </c>
      <c r="BN200" t="e">
        <f>AND(Bills!P843,"AAAAAHz78UE=")</f>
        <v>#VALUE!</v>
      </c>
      <c r="BO200" t="e">
        <f>AND(Bills!Q843,"AAAAAHz78UI=")</f>
        <v>#VALUE!</v>
      </c>
      <c r="BP200" t="e">
        <f>AND(Bills!R843,"AAAAAHz78UM=")</f>
        <v>#VALUE!</v>
      </c>
      <c r="BQ200" t="e">
        <f>AND(Bills!S843,"AAAAAHz78UQ=")</f>
        <v>#VALUE!</v>
      </c>
      <c r="BR200" t="e">
        <f>AND(Bills!T843,"AAAAAHz78UU=")</f>
        <v>#VALUE!</v>
      </c>
      <c r="BS200" t="e">
        <f>AND(Bills!#REF!,"AAAAAHz78UY=")</f>
        <v>#REF!</v>
      </c>
      <c r="BT200" t="e">
        <f>AND(Bills!U843,"AAAAAHz78Uc=")</f>
        <v>#VALUE!</v>
      </c>
      <c r="BU200" t="e">
        <f>AND(Bills!V843,"AAAAAHz78Ug=")</f>
        <v>#VALUE!</v>
      </c>
      <c r="BV200" t="e">
        <f>AND(Bills!W843,"AAAAAHz78Uk=")</f>
        <v>#VALUE!</v>
      </c>
      <c r="BW200" t="e">
        <f>AND(Bills!#REF!,"AAAAAHz78Uo=")</f>
        <v>#REF!</v>
      </c>
      <c r="BX200" t="e">
        <f>AND(Bills!#REF!,"AAAAAHz78Us=")</f>
        <v>#REF!</v>
      </c>
      <c r="BY200" t="e">
        <f>AND(Bills!Y843,"AAAAAHz78Uw=")</f>
        <v>#VALUE!</v>
      </c>
      <c r="BZ200" t="e">
        <f>AND(Bills!Z843,"AAAAAHz78U0=")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AND(Bills!AA843,"AAAAAHz78Vc=")</f>
        <v>#VALUE!</v>
      </c>
      <c r="CK200" t="e">
        <f>AND(Bills!AB843,"AAAAAHz78Vg=")</f>
        <v>#VALUE!</v>
      </c>
      <c r="CL200" t="e">
        <f>AND(Bills!#REF!,"AAAAAHz78Vk=")</f>
        <v>#REF!</v>
      </c>
      <c r="CM200" t="e">
        <f>AND(Bills!#REF!,"AAAAAHz78Vo=")</f>
        <v>#REF!</v>
      </c>
      <c r="CN200" t="e">
        <f>AND(Bills!#REF!,"AAAAAHz78Vs=")</f>
        <v>#REF!</v>
      </c>
      <c r="CO200" t="e">
        <f>AND(Bills!AC843,"AAAAAHz78Vw=")</f>
        <v>#VALUE!</v>
      </c>
      <c r="CP200" t="e">
        <f>AND(Bills!AD843,"AAAAAHz78V0=")</f>
        <v>#VALUE!</v>
      </c>
      <c r="CQ200" t="e">
        <f>AND(Bills!#REF!,"AAAAAHz78V4=")</f>
        <v>#REF!</v>
      </c>
      <c r="CR200">
        <f>IF(Bills!844:844,"AAAAAHz78V8=",0)</f>
        <v>0</v>
      </c>
      <c r="CS200" t="e">
        <f>AND(Bills!B844,"AAAAAHz78WA=")</f>
        <v>#VALUE!</v>
      </c>
      <c r="CT200" t="e">
        <f>AND(Bills!#REF!,"AAAAAHz78WE=")</f>
        <v>#REF!</v>
      </c>
      <c r="CU200" t="e">
        <f>AND(Bills!C844,"AAAAAHz78WI=")</f>
        <v>#VALUE!</v>
      </c>
      <c r="CV200" t="e">
        <f>AND(Bills!D844,"AAAAAHz78WM=")</f>
        <v>#VALUE!</v>
      </c>
      <c r="CW200" t="e">
        <f>AND(Bills!E844,"AAAAAHz78WQ=")</f>
        <v>#VALUE!</v>
      </c>
      <c r="CX200" t="e">
        <f>AND(Bills!#REF!,"AAAAAHz78WU=")</f>
        <v>#REF!</v>
      </c>
      <c r="CY200" t="e">
        <f>AND(Bills!#REF!,"AAAAAHz78WY=")</f>
        <v>#REF!</v>
      </c>
      <c r="CZ200" t="e">
        <f>AND(Bills!#REF!,"AAAAAHz78Wc=")</f>
        <v>#REF!</v>
      </c>
      <c r="DA200" t="e">
        <f>AND(Bills!F844,"AAAAAHz78Wg=")</f>
        <v>#VALUE!</v>
      </c>
      <c r="DB200" t="e">
        <f>AND(Bills!#REF!,"AAAAAHz78Wk=")</f>
        <v>#REF!</v>
      </c>
      <c r="DC200" t="e">
        <f>AND(Bills!G844,"AAAAAHz78Wo=")</f>
        <v>#VALUE!</v>
      </c>
      <c r="DD200" t="e">
        <f>AND(Bills!H844,"AAAAAHz78Ws=")</f>
        <v>#VALUE!</v>
      </c>
      <c r="DE200" t="e">
        <f>AND(Bills!I844,"AAAAAHz78Ww=")</f>
        <v>#VALUE!</v>
      </c>
      <c r="DF200" t="e">
        <f>AND(Bills!J844,"AAAAAHz78W0=")</f>
        <v>#VALUE!</v>
      </c>
      <c r="DG200" t="e">
        <f>AND(Bills!K844,"AAAAAHz78W4=")</f>
        <v>#VALUE!</v>
      </c>
      <c r="DH200" t="e">
        <f>AND(Bills!L844,"AAAAAHz78W8=")</f>
        <v>#VALUE!</v>
      </c>
      <c r="DI200" t="e">
        <f>AND(Bills!#REF!,"AAAAAHz78XA=")</f>
        <v>#REF!</v>
      </c>
      <c r="DJ200" t="e">
        <f>AND(Bills!M844,"AAAAAHz78XE=")</f>
        <v>#VALUE!</v>
      </c>
      <c r="DK200" t="e">
        <f>AND(Bills!N844,"AAAAAHz78XI=")</f>
        <v>#VALUE!</v>
      </c>
      <c r="DL200" t="e">
        <f>AND(Bills!O844,"AAAAAHz78XM=")</f>
        <v>#VALUE!</v>
      </c>
      <c r="DM200" t="e">
        <f>AND(Bills!P844,"AAAAAHz78XQ=")</f>
        <v>#VALUE!</v>
      </c>
      <c r="DN200" t="e">
        <f>AND(Bills!Q844,"AAAAAHz78XU=")</f>
        <v>#VALUE!</v>
      </c>
      <c r="DO200" t="e">
        <f>AND(Bills!R844,"AAAAAHz78XY=")</f>
        <v>#VALUE!</v>
      </c>
      <c r="DP200" t="e">
        <f>AND(Bills!S844,"AAAAAHz78Xc=")</f>
        <v>#VALUE!</v>
      </c>
      <c r="DQ200" t="e">
        <f>AND(Bills!T844,"AAAAAHz78Xg=")</f>
        <v>#VALUE!</v>
      </c>
      <c r="DR200" t="e">
        <f>AND(Bills!#REF!,"AAAAAHz78Xk=")</f>
        <v>#REF!</v>
      </c>
      <c r="DS200" t="e">
        <f>AND(Bills!U844,"AAAAAHz78Xo=")</f>
        <v>#VALUE!</v>
      </c>
      <c r="DT200" t="e">
        <f>AND(Bills!V844,"AAAAAHz78Xs=")</f>
        <v>#VALUE!</v>
      </c>
      <c r="DU200" t="e">
        <f>AND(Bills!W844,"AAAAAHz78Xw=")</f>
        <v>#VALUE!</v>
      </c>
      <c r="DV200" t="e">
        <f>AND(Bills!#REF!,"AAAAAHz78X0=")</f>
        <v>#REF!</v>
      </c>
      <c r="DW200" t="e">
        <f>AND(Bills!#REF!,"AAAAAHz78X4=")</f>
        <v>#REF!</v>
      </c>
      <c r="DX200" t="e">
        <f>AND(Bills!Y844,"AAAAAHz78X8=")</f>
        <v>#VALUE!</v>
      </c>
      <c r="DY200" t="e">
        <f>AND(Bills!Z844,"AAAAAHz78YA=")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AND(Bills!AA844,"AAAAAHz78Yo=")</f>
        <v>#VALUE!</v>
      </c>
      <c r="EJ200" t="e">
        <f>AND(Bills!AB844,"AAAAAHz78Ys=")</f>
        <v>#VALUE!</v>
      </c>
      <c r="EK200" t="e">
        <f>AND(Bills!#REF!,"AAAAAHz78Yw=")</f>
        <v>#REF!</v>
      </c>
      <c r="EL200" t="e">
        <f>AND(Bills!#REF!,"AAAAAHz78Y0=")</f>
        <v>#REF!</v>
      </c>
      <c r="EM200" t="e">
        <f>AND(Bills!#REF!,"AAAAAHz78Y4=")</f>
        <v>#REF!</v>
      </c>
      <c r="EN200" t="e">
        <f>AND(Bills!AC844,"AAAAAHz78Y8=")</f>
        <v>#VALUE!</v>
      </c>
      <c r="EO200" t="e">
        <f>AND(Bills!AD844,"AAAAAHz78ZA=")</f>
        <v>#VALUE!</v>
      </c>
      <c r="EP200" t="e">
        <f>AND(Bills!#REF!,"AAAAAHz78ZE=")</f>
        <v>#REF!</v>
      </c>
      <c r="EQ200">
        <f>IF(Bills!845:845,"AAAAAHz78ZI=",0)</f>
        <v>0</v>
      </c>
      <c r="ER200" t="e">
        <f>AND(Bills!B845,"AAAAAHz78ZM=")</f>
        <v>#VALUE!</v>
      </c>
      <c r="ES200" t="e">
        <f>AND(Bills!#REF!,"AAAAAHz78ZQ=")</f>
        <v>#REF!</v>
      </c>
      <c r="ET200" t="e">
        <f>AND(Bills!C845,"AAAAAHz78ZU=")</f>
        <v>#VALUE!</v>
      </c>
      <c r="EU200" t="e">
        <f>AND(Bills!D845,"AAAAAHz78ZY=")</f>
        <v>#VALUE!</v>
      </c>
      <c r="EV200" t="e">
        <f>AND(Bills!E845,"AAAAAHz78Zc=")</f>
        <v>#VALUE!</v>
      </c>
      <c r="EW200" t="e">
        <f>AND(Bills!#REF!,"AAAAAHz78Zg=")</f>
        <v>#REF!</v>
      </c>
      <c r="EX200" t="e">
        <f>AND(Bills!#REF!,"AAAAAHz78Zk=")</f>
        <v>#REF!</v>
      </c>
      <c r="EY200" t="e">
        <f>AND(Bills!#REF!,"AAAAAHz78Zo=")</f>
        <v>#REF!</v>
      </c>
      <c r="EZ200" t="e">
        <f>AND(Bills!F845,"AAAAAHz78Zs=")</f>
        <v>#VALUE!</v>
      </c>
      <c r="FA200" t="e">
        <f>AND(Bills!#REF!,"AAAAAHz78Zw=")</f>
        <v>#REF!</v>
      </c>
      <c r="FB200" t="e">
        <f>AND(Bills!G845,"AAAAAHz78Z0=")</f>
        <v>#VALUE!</v>
      </c>
      <c r="FC200" t="e">
        <f>AND(Bills!H845,"AAAAAHz78Z4=")</f>
        <v>#VALUE!</v>
      </c>
      <c r="FD200" t="e">
        <f>AND(Bills!I845,"AAAAAHz78Z8=")</f>
        <v>#VALUE!</v>
      </c>
      <c r="FE200" t="e">
        <f>AND(Bills!J845,"AAAAAHz78aA=")</f>
        <v>#VALUE!</v>
      </c>
      <c r="FF200" t="e">
        <f>AND(Bills!K845,"AAAAAHz78aE=")</f>
        <v>#VALUE!</v>
      </c>
      <c r="FG200" t="e">
        <f>AND(Bills!L845,"AAAAAHz78aI=")</f>
        <v>#VALUE!</v>
      </c>
      <c r="FH200" t="e">
        <f>AND(Bills!#REF!,"AAAAAHz78aM=")</f>
        <v>#REF!</v>
      </c>
      <c r="FI200" t="e">
        <f>AND(Bills!M845,"AAAAAHz78aQ=")</f>
        <v>#VALUE!</v>
      </c>
      <c r="FJ200" t="e">
        <f>AND(Bills!N845,"AAAAAHz78aU=")</f>
        <v>#VALUE!</v>
      </c>
      <c r="FK200" t="e">
        <f>AND(Bills!O845,"AAAAAHz78aY=")</f>
        <v>#VALUE!</v>
      </c>
      <c r="FL200" t="e">
        <f>AND(Bills!P845,"AAAAAHz78ac=")</f>
        <v>#VALUE!</v>
      </c>
      <c r="FM200" t="e">
        <f>AND(Bills!Q845,"AAAAAHz78ag=")</f>
        <v>#VALUE!</v>
      </c>
      <c r="FN200" t="e">
        <f>AND(Bills!R845,"AAAAAHz78ak=")</f>
        <v>#VALUE!</v>
      </c>
      <c r="FO200" t="e">
        <f>AND(Bills!S845,"AAAAAHz78ao=")</f>
        <v>#VALUE!</v>
      </c>
      <c r="FP200" t="e">
        <f>AND(Bills!T845,"AAAAAHz78as=")</f>
        <v>#VALUE!</v>
      </c>
      <c r="FQ200" t="e">
        <f>AND(Bills!#REF!,"AAAAAHz78aw=")</f>
        <v>#REF!</v>
      </c>
      <c r="FR200" t="e">
        <f>AND(Bills!U845,"AAAAAHz78a0=")</f>
        <v>#VALUE!</v>
      </c>
      <c r="FS200" t="e">
        <f>AND(Bills!V845,"AAAAAHz78a4=")</f>
        <v>#VALUE!</v>
      </c>
      <c r="FT200" t="e">
        <f>AND(Bills!W845,"AAAAAHz78a8=")</f>
        <v>#VALUE!</v>
      </c>
      <c r="FU200" t="e">
        <f>AND(Bills!#REF!,"AAAAAHz78bA=")</f>
        <v>#REF!</v>
      </c>
      <c r="FV200" t="e">
        <f>AND(Bills!#REF!,"AAAAAHz78bE=")</f>
        <v>#REF!</v>
      </c>
      <c r="FW200" t="e">
        <f>AND(Bills!Y845,"AAAAAHz78bI=")</f>
        <v>#VALUE!</v>
      </c>
      <c r="FX200" t="e">
        <f>AND(Bills!Z845,"AAAAAHz78bM=")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AND(Bills!AA845,"AAAAAHz78b0=")</f>
        <v>#VALUE!</v>
      </c>
      <c r="GI200" t="e">
        <f>AND(Bills!AB845,"AAAAAHz78b4=")</f>
        <v>#VALUE!</v>
      </c>
      <c r="GJ200" t="e">
        <f>AND(Bills!#REF!,"AAAAAHz78b8=")</f>
        <v>#REF!</v>
      </c>
      <c r="GK200" t="e">
        <f>AND(Bills!#REF!,"AAAAAHz78cA=")</f>
        <v>#REF!</v>
      </c>
      <c r="GL200" t="e">
        <f>AND(Bills!#REF!,"AAAAAHz78cE=")</f>
        <v>#REF!</v>
      </c>
      <c r="GM200" t="e">
        <f>AND(Bills!AC845,"AAAAAHz78cI=")</f>
        <v>#VALUE!</v>
      </c>
      <c r="GN200" t="e">
        <f>AND(Bills!AD845,"AAAAAHz78cM=")</f>
        <v>#VALUE!</v>
      </c>
      <c r="GO200" t="e">
        <f>AND(Bills!#REF!,"AAAAAHz78cQ=")</f>
        <v>#REF!</v>
      </c>
      <c r="GP200">
        <f>IF(Bills!846:846,"AAAAAHz78cU=",0)</f>
        <v>0</v>
      </c>
      <c r="GQ200" t="e">
        <f>AND(Bills!B846,"AAAAAHz78cY=")</f>
        <v>#VALUE!</v>
      </c>
      <c r="GR200" t="e">
        <f>AND(Bills!#REF!,"AAAAAHz78cc=")</f>
        <v>#REF!</v>
      </c>
      <c r="GS200" t="e">
        <f>AND(Bills!C846,"AAAAAHz78cg=")</f>
        <v>#VALUE!</v>
      </c>
      <c r="GT200" t="e">
        <f>AND(Bills!D846,"AAAAAHz78ck=")</f>
        <v>#VALUE!</v>
      </c>
      <c r="GU200" t="e">
        <f>AND(Bills!E846,"AAAAAHz78co=")</f>
        <v>#VALUE!</v>
      </c>
      <c r="GV200" t="e">
        <f>AND(Bills!#REF!,"AAAAAHz78cs=")</f>
        <v>#REF!</v>
      </c>
      <c r="GW200" t="e">
        <f>AND(Bills!#REF!,"AAAAAHz78cw=")</f>
        <v>#REF!</v>
      </c>
      <c r="GX200" t="e">
        <f>AND(Bills!#REF!,"AAAAAHz78c0=")</f>
        <v>#REF!</v>
      </c>
      <c r="GY200" t="e">
        <f>AND(Bills!F846,"AAAAAHz78c4=")</f>
        <v>#VALUE!</v>
      </c>
      <c r="GZ200" t="e">
        <f>AND(Bills!#REF!,"AAAAAHz78c8=")</f>
        <v>#REF!</v>
      </c>
      <c r="HA200" t="e">
        <f>AND(Bills!G846,"AAAAAHz78dA=")</f>
        <v>#VALUE!</v>
      </c>
      <c r="HB200" t="e">
        <f>AND(Bills!H846,"AAAAAHz78dE=")</f>
        <v>#VALUE!</v>
      </c>
      <c r="HC200" t="e">
        <f>AND(Bills!I846,"AAAAAHz78dI=")</f>
        <v>#VALUE!</v>
      </c>
      <c r="HD200" t="e">
        <f>AND(Bills!J846,"AAAAAHz78dM=")</f>
        <v>#VALUE!</v>
      </c>
      <c r="HE200" t="e">
        <f>AND(Bills!K846,"AAAAAHz78dQ=")</f>
        <v>#VALUE!</v>
      </c>
      <c r="HF200" t="e">
        <f>AND(Bills!L846,"AAAAAHz78dU=")</f>
        <v>#VALUE!</v>
      </c>
      <c r="HG200" t="e">
        <f>AND(Bills!#REF!,"AAAAAHz78dY=")</f>
        <v>#REF!</v>
      </c>
      <c r="HH200" t="e">
        <f>AND(Bills!M846,"AAAAAHz78dc=")</f>
        <v>#VALUE!</v>
      </c>
      <c r="HI200" t="e">
        <f>AND(Bills!N846,"AAAAAHz78dg=")</f>
        <v>#VALUE!</v>
      </c>
      <c r="HJ200" t="e">
        <f>AND(Bills!O846,"AAAAAHz78dk=")</f>
        <v>#VALUE!</v>
      </c>
      <c r="HK200" t="e">
        <f>AND(Bills!P846,"AAAAAHz78do=")</f>
        <v>#VALUE!</v>
      </c>
      <c r="HL200" t="e">
        <f>AND(Bills!Q846,"AAAAAHz78ds=")</f>
        <v>#VALUE!</v>
      </c>
      <c r="HM200" t="e">
        <f>AND(Bills!R846,"AAAAAHz78dw=")</f>
        <v>#VALUE!</v>
      </c>
      <c r="HN200" t="e">
        <f>AND(Bills!S846,"AAAAAHz78d0=")</f>
        <v>#VALUE!</v>
      </c>
      <c r="HO200" t="e">
        <f>AND(Bills!T846,"AAAAAHz78d4=")</f>
        <v>#VALUE!</v>
      </c>
      <c r="HP200" t="e">
        <f>AND(Bills!#REF!,"AAAAAHz78d8=")</f>
        <v>#REF!</v>
      </c>
      <c r="HQ200" t="e">
        <f>AND(Bills!U846,"AAAAAHz78eA=")</f>
        <v>#VALUE!</v>
      </c>
      <c r="HR200" t="e">
        <f>AND(Bills!V846,"AAAAAHz78eE=")</f>
        <v>#VALUE!</v>
      </c>
      <c r="HS200" t="e">
        <f>AND(Bills!W846,"AAAAAHz78eI=")</f>
        <v>#VALUE!</v>
      </c>
      <c r="HT200" t="e">
        <f>AND(Bills!#REF!,"AAAAAHz78eM=")</f>
        <v>#REF!</v>
      </c>
      <c r="HU200" t="e">
        <f>AND(Bills!#REF!,"AAAAAHz78eQ=")</f>
        <v>#REF!</v>
      </c>
      <c r="HV200" t="e">
        <f>AND(Bills!Y846,"AAAAAHz78eU=")</f>
        <v>#VALUE!</v>
      </c>
      <c r="HW200" t="e">
        <f>AND(Bills!Z846,"AAAAAHz78eY=")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AND(Bills!AA846,"AAAAAHz78fA=")</f>
        <v>#VALUE!</v>
      </c>
      <c r="IH200" t="e">
        <f>AND(Bills!AB846,"AAAAAHz78fE=")</f>
        <v>#VALUE!</v>
      </c>
      <c r="II200" t="e">
        <f>AND(Bills!#REF!,"AAAAAHz78fI=")</f>
        <v>#REF!</v>
      </c>
      <c r="IJ200" t="e">
        <f>AND(Bills!#REF!,"AAAAAHz78fM=")</f>
        <v>#REF!</v>
      </c>
      <c r="IK200" t="e">
        <f>AND(Bills!#REF!,"AAAAAHz78fQ=")</f>
        <v>#REF!</v>
      </c>
      <c r="IL200" t="e">
        <f>AND(Bills!AC846,"AAAAAHz78fU=")</f>
        <v>#VALUE!</v>
      </c>
      <c r="IM200" t="e">
        <f>AND(Bills!AD846,"AAAAAHz78fY=")</f>
        <v>#VALUE!</v>
      </c>
      <c r="IN200" t="e">
        <f>AND(Bills!#REF!,"AAAAAHz78fc=")</f>
        <v>#REF!</v>
      </c>
      <c r="IO200">
        <f>IF(Bills!847:847,"AAAAAHz78fg=",0)</f>
        <v>0</v>
      </c>
      <c r="IP200" t="e">
        <f>AND(Bills!B847,"AAAAAHz78fk=")</f>
        <v>#VALUE!</v>
      </c>
      <c r="IQ200" t="e">
        <f>AND(Bills!#REF!,"AAAAAHz78fo=")</f>
        <v>#REF!</v>
      </c>
      <c r="IR200" t="e">
        <f>AND(Bills!C847,"AAAAAHz78fs=")</f>
        <v>#VALUE!</v>
      </c>
      <c r="IS200" t="e">
        <f>AND(Bills!D847,"AAAAAHz78fw=")</f>
        <v>#VALUE!</v>
      </c>
      <c r="IT200" t="e">
        <f>AND(Bills!E847,"AAAAAHz78f0=")</f>
        <v>#VALUE!</v>
      </c>
      <c r="IU200" t="e">
        <f>AND(Bills!#REF!,"AAAAAHz78f4=")</f>
        <v>#REF!</v>
      </c>
      <c r="IV200" t="e">
        <f>AND(Bills!#REF!,"AAAAAHz78f8=")</f>
        <v>#REF!</v>
      </c>
    </row>
    <row r="201" spans="1:256">
      <c r="A201" t="e">
        <f>AND(Bills!#REF!,"AAAAAGuunwA=")</f>
        <v>#REF!</v>
      </c>
      <c r="B201" t="e">
        <f>AND(Bills!F847,"AAAAAGuunwE=")</f>
        <v>#VALUE!</v>
      </c>
      <c r="C201" t="e">
        <f>AND(Bills!#REF!,"AAAAAGuunwI=")</f>
        <v>#REF!</v>
      </c>
      <c r="D201" t="e">
        <f>AND(Bills!G847,"AAAAAGuunwM=")</f>
        <v>#VALUE!</v>
      </c>
      <c r="E201" t="e">
        <f>AND(Bills!H847,"AAAAAGuunwQ=")</f>
        <v>#VALUE!</v>
      </c>
      <c r="F201" t="e">
        <f>AND(Bills!I847,"AAAAAGuunwU=")</f>
        <v>#VALUE!</v>
      </c>
      <c r="G201" t="e">
        <f>AND(Bills!J847,"AAAAAGuunwY=")</f>
        <v>#VALUE!</v>
      </c>
      <c r="H201" t="e">
        <f>AND(Bills!K847,"AAAAAGuunwc=")</f>
        <v>#VALUE!</v>
      </c>
      <c r="I201" t="e">
        <f>AND(Bills!L847,"AAAAAGuunwg=")</f>
        <v>#VALUE!</v>
      </c>
      <c r="J201" t="e">
        <f>AND(Bills!#REF!,"AAAAAGuunwk=")</f>
        <v>#REF!</v>
      </c>
      <c r="K201" t="e">
        <f>AND(Bills!M847,"AAAAAGuunwo=")</f>
        <v>#VALUE!</v>
      </c>
      <c r="L201" t="e">
        <f>AND(Bills!N847,"AAAAAGuunws=")</f>
        <v>#VALUE!</v>
      </c>
      <c r="M201" t="e">
        <f>AND(Bills!O847,"AAAAAGuunww=")</f>
        <v>#VALUE!</v>
      </c>
      <c r="N201" t="e">
        <f>AND(Bills!P847,"AAAAAGuunw0=")</f>
        <v>#VALUE!</v>
      </c>
      <c r="O201" t="e">
        <f>AND(Bills!Q847,"AAAAAGuunw4=")</f>
        <v>#VALUE!</v>
      </c>
      <c r="P201" t="e">
        <f>AND(Bills!R847,"AAAAAGuunw8=")</f>
        <v>#VALUE!</v>
      </c>
      <c r="Q201" t="e">
        <f>AND(Bills!S847,"AAAAAGuunxA=")</f>
        <v>#VALUE!</v>
      </c>
      <c r="R201" t="e">
        <f>AND(Bills!T847,"AAAAAGuunxE=")</f>
        <v>#VALUE!</v>
      </c>
      <c r="S201" t="e">
        <f>AND(Bills!#REF!,"AAAAAGuunxI=")</f>
        <v>#REF!</v>
      </c>
      <c r="T201" t="e">
        <f>AND(Bills!U847,"AAAAAGuunxM=")</f>
        <v>#VALUE!</v>
      </c>
      <c r="U201" t="e">
        <f>AND(Bills!V847,"AAAAAGuunxQ=")</f>
        <v>#VALUE!</v>
      </c>
      <c r="V201" t="e">
        <f>AND(Bills!W847,"AAAAAGuunxU=")</f>
        <v>#VALUE!</v>
      </c>
      <c r="W201" t="e">
        <f>AND(Bills!#REF!,"AAAAAGuunxY=")</f>
        <v>#REF!</v>
      </c>
      <c r="X201" t="e">
        <f>AND(Bills!#REF!,"AAAAAGuunxc=")</f>
        <v>#REF!</v>
      </c>
      <c r="Y201" t="e">
        <f>AND(Bills!Y847,"AAAAAGuunxg=")</f>
        <v>#VALUE!</v>
      </c>
      <c r="Z201" t="e">
        <f>AND(Bills!Z847,"AAAAAGuunxk=")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AND(Bills!AA847,"AAAAAGuunyM=")</f>
        <v>#VALUE!</v>
      </c>
      <c r="AK201" t="e">
        <f>AND(Bills!AB847,"AAAAAGuunyQ=")</f>
        <v>#VALUE!</v>
      </c>
      <c r="AL201" t="e">
        <f>AND(Bills!#REF!,"AAAAAGuunyU=")</f>
        <v>#REF!</v>
      </c>
      <c r="AM201" t="e">
        <f>AND(Bills!#REF!,"AAAAAGuunyY=")</f>
        <v>#REF!</v>
      </c>
      <c r="AN201" t="e">
        <f>AND(Bills!#REF!,"AAAAAGuunyc=")</f>
        <v>#REF!</v>
      </c>
      <c r="AO201" t="e">
        <f>AND(Bills!AC847,"AAAAAGuunyg=")</f>
        <v>#VALUE!</v>
      </c>
      <c r="AP201" t="e">
        <f>AND(Bills!AD847,"AAAAAGuunyk=")</f>
        <v>#VALUE!</v>
      </c>
      <c r="AQ201" t="e">
        <f>AND(Bills!#REF!,"AAAAAGuunyo=")</f>
        <v>#REF!</v>
      </c>
      <c r="AR201">
        <f>IF(Bills!848:848,"AAAAAGuunys=",0)</f>
        <v>0</v>
      </c>
      <c r="AS201" t="e">
        <f>AND(Bills!B848,"AAAAAGuunyw=")</f>
        <v>#VALUE!</v>
      </c>
      <c r="AT201" t="e">
        <f>AND(Bills!#REF!,"AAAAAGuuny0=")</f>
        <v>#REF!</v>
      </c>
      <c r="AU201" t="e">
        <f>AND(Bills!C848,"AAAAAGuuny4=")</f>
        <v>#VALUE!</v>
      </c>
      <c r="AV201" t="e">
        <f>AND(Bills!D848,"AAAAAGuuny8=")</f>
        <v>#VALUE!</v>
      </c>
      <c r="AW201" t="e">
        <f>AND(Bills!E848,"AAAAAGuunzA=")</f>
        <v>#VALUE!</v>
      </c>
      <c r="AX201" t="e">
        <f>AND(Bills!#REF!,"AAAAAGuunzE=")</f>
        <v>#REF!</v>
      </c>
      <c r="AY201" t="e">
        <f>AND(Bills!#REF!,"AAAAAGuunzI=")</f>
        <v>#REF!</v>
      </c>
      <c r="AZ201" t="e">
        <f>AND(Bills!#REF!,"AAAAAGuunzM=")</f>
        <v>#REF!</v>
      </c>
      <c r="BA201" t="e">
        <f>AND(Bills!F848,"AAAAAGuunzQ=")</f>
        <v>#VALUE!</v>
      </c>
      <c r="BB201" t="e">
        <f>AND(Bills!#REF!,"AAAAAGuunzU=")</f>
        <v>#REF!</v>
      </c>
      <c r="BC201" t="e">
        <f>AND(Bills!G848,"AAAAAGuunzY=")</f>
        <v>#VALUE!</v>
      </c>
      <c r="BD201" t="e">
        <f>AND(Bills!H848,"AAAAAGuunzc=")</f>
        <v>#VALUE!</v>
      </c>
      <c r="BE201" t="e">
        <f>AND(Bills!I848,"AAAAAGuunzg=")</f>
        <v>#VALUE!</v>
      </c>
      <c r="BF201" t="e">
        <f>AND(Bills!J848,"AAAAAGuunzk=")</f>
        <v>#VALUE!</v>
      </c>
      <c r="BG201" t="e">
        <f>AND(Bills!K848,"AAAAAGuunzo=")</f>
        <v>#VALUE!</v>
      </c>
      <c r="BH201" t="e">
        <f>AND(Bills!L848,"AAAAAGuunzs=")</f>
        <v>#VALUE!</v>
      </c>
      <c r="BI201" t="e">
        <f>AND(Bills!#REF!,"AAAAAGuunzw=")</f>
        <v>#REF!</v>
      </c>
      <c r="BJ201" t="e">
        <f>AND(Bills!M848,"AAAAAGuunz0=")</f>
        <v>#VALUE!</v>
      </c>
      <c r="BK201" t="e">
        <f>AND(Bills!N848,"AAAAAGuunz4=")</f>
        <v>#VALUE!</v>
      </c>
      <c r="BL201" t="e">
        <f>AND(Bills!O848,"AAAAAGuunz8=")</f>
        <v>#VALUE!</v>
      </c>
      <c r="BM201" t="e">
        <f>AND(Bills!P848,"AAAAAGuun0A=")</f>
        <v>#VALUE!</v>
      </c>
      <c r="BN201" t="e">
        <f>AND(Bills!Q848,"AAAAAGuun0E=")</f>
        <v>#VALUE!</v>
      </c>
      <c r="BO201" t="e">
        <f>AND(Bills!R848,"AAAAAGuun0I=")</f>
        <v>#VALUE!</v>
      </c>
      <c r="BP201" t="e">
        <f>AND(Bills!S848,"AAAAAGuun0M=")</f>
        <v>#VALUE!</v>
      </c>
      <c r="BQ201" t="e">
        <f>AND(Bills!T848,"AAAAAGuun0Q=")</f>
        <v>#VALUE!</v>
      </c>
      <c r="BR201" t="e">
        <f>AND(Bills!#REF!,"AAAAAGuun0U=")</f>
        <v>#REF!</v>
      </c>
      <c r="BS201" t="e">
        <f>AND(Bills!U848,"AAAAAGuun0Y=")</f>
        <v>#VALUE!</v>
      </c>
      <c r="BT201" t="e">
        <f>AND(Bills!V848,"AAAAAGuun0c=")</f>
        <v>#VALUE!</v>
      </c>
      <c r="BU201" t="e">
        <f>AND(Bills!W848,"AAAAAGuun0g=")</f>
        <v>#VALUE!</v>
      </c>
      <c r="BV201" t="e">
        <f>AND(Bills!#REF!,"AAAAAGuun0k=")</f>
        <v>#REF!</v>
      </c>
      <c r="BW201" t="e">
        <f>AND(Bills!#REF!,"AAAAAGuun0o=")</f>
        <v>#REF!</v>
      </c>
      <c r="BX201" t="e">
        <f>AND(Bills!Y848,"AAAAAGuun0s=")</f>
        <v>#VALUE!</v>
      </c>
      <c r="BY201" t="e">
        <f>AND(Bills!Z848,"AAAAAGuun0w=")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AND(Bills!AA848,"AAAAAGuun1Y=")</f>
        <v>#VALUE!</v>
      </c>
      <c r="CJ201" t="e">
        <f>AND(Bills!AB848,"AAAAAGuun1c=")</f>
        <v>#VALUE!</v>
      </c>
      <c r="CK201" t="e">
        <f>AND(Bills!#REF!,"AAAAAGuun1g=")</f>
        <v>#REF!</v>
      </c>
      <c r="CL201" t="e">
        <f>AND(Bills!#REF!,"AAAAAGuun1k=")</f>
        <v>#REF!</v>
      </c>
      <c r="CM201" t="e">
        <f>AND(Bills!#REF!,"AAAAAGuun1o=")</f>
        <v>#REF!</v>
      </c>
      <c r="CN201" t="e">
        <f>AND(Bills!AC848,"AAAAAGuun1s=")</f>
        <v>#VALUE!</v>
      </c>
      <c r="CO201" t="e">
        <f>AND(Bills!AD848,"AAAAAGuun1w=")</f>
        <v>#VALUE!</v>
      </c>
      <c r="CP201" t="e">
        <f>AND(Bills!#REF!,"AAAAAGuun10=")</f>
        <v>#REF!</v>
      </c>
      <c r="CQ201">
        <f>IF(Bills!849:849,"AAAAAGuun14=",0)</f>
        <v>0</v>
      </c>
      <c r="CR201" t="e">
        <f>AND(Bills!B849,"AAAAAGuun18=")</f>
        <v>#VALUE!</v>
      </c>
      <c r="CS201" t="e">
        <f>AND(Bills!#REF!,"AAAAAGuun2A=")</f>
        <v>#REF!</v>
      </c>
      <c r="CT201" t="e">
        <f>AND(Bills!C849,"AAAAAGuun2E=")</f>
        <v>#VALUE!</v>
      </c>
      <c r="CU201" t="e">
        <f>AND(Bills!D849,"AAAAAGuun2I=")</f>
        <v>#VALUE!</v>
      </c>
      <c r="CV201" t="e">
        <f>AND(Bills!E849,"AAAAAGuun2M=")</f>
        <v>#VALUE!</v>
      </c>
      <c r="CW201" t="e">
        <f>AND(Bills!#REF!,"AAAAAGuun2Q=")</f>
        <v>#REF!</v>
      </c>
      <c r="CX201" t="e">
        <f>AND(Bills!#REF!,"AAAAAGuun2U=")</f>
        <v>#REF!</v>
      </c>
      <c r="CY201" t="e">
        <f>AND(Bills!#REF!,"AAAAAGuun2Y=")</f>
        <v>#REF!</v>
      </c>
      <c r="CZ201" t="e">
        <f>AND(Bills!F849,"AAAAAGuun2c=")</f>
        <v>#VALUE!</v>
      </c>
      <c r="DA201" t="e">
        <f>AND(Bills!#REF!,"AAAAAGuun2g=")</f>
        <v>#REF!</v>
      </c>
      <c r="DB201" t="e">
        <f>AND(Bills!G849,"AAAAAGuun2k=")</f>
        <v>#VALUE!</v>
      </c>
      <c r="DC201" t="e">
        <f>AND(Bills!H849,"AAAAAGuun2o=")</f>
        <v>#VALUE!</v>
      </c>
      <c r="DD201" t="e">
        <f>AND(Bills!I849,"AAAAAGuun2s=")</f>
        <v>#VALUE!</v>
      </c>
      <c r="DE201" t="e">
        <f>AND(Bills!J849,"AAAAAGuun2w=")</f>
        <v>#VALUE!</v>
      </c>
      <c r="DF201" t="e">
        <f>AND(Bills!K849,"AAAAAGuun20=")</f>
        <v>#VALUE!</v>
      </c>
      <c r="DG201" t="e">
        <f>AND(Bills!L849,"AAAAAGuun24=")</f>
        <v>#VALUE!</v>
      </c>
      <c r="DH201" t="e">
        <f>AND(Bills!#REF!,"AAAAAGuun28=")</f>
        <v>#REF!</v>
      </c>
      <c r="DI201" t="e">
        <f>AND(Bills!M849,"AAAAAGuun3A=")</f>
        <v>#VALUE!</v>
      </c>
      <c r="DJ201" t="e">
        <f>AND(Bills!N849,"AAAAAGuun3E=")</f>
        <v>#VALUE!</v>
      </c>
      <c r="DK201" t="e">
        <f>AND(Bills!O849,"AAAAAGuun3I=")</f>
        <v>#VALUE!</v>
      </c>
      <c r="DL201" t="e">
        <f>AND(Bills!P849,"AAAAAGuun3M=")</f>
        <v>#VALUE!</v>
      </c>
      <c r="DM201" t="e">
        <f>AND(Bills!Q849,"AAAAAGuun3Q=")</f>
        <v>#VALUE!</v>
      </c>
      <c r="DN201" t="e">
        <f>AND(Bills!R849,"AAAAAGuun3U=")</f>
        <v>#VALUE!</v>
      </c>
      <c r="DO201" t="e">
        <f>AND(Bills!S849,"AAAAAGuun3Y=")</f>
        <v>#VALUE!</v>
      </c>
      <c r="DP201" t="e">
        <f>AND(Bills!T849,"AAAAAGuun3c=")</f>
        <v>#VALUE!</v>
      </c>
      <c r="DQ201" t="e">
        <f>AND(Bills!#REF!,"AAAAAGuun3g=")</f>
        <v>#REF!</v>
      </c>
      <c r="DR201" t="e">
        <f>AND(Bills!U849,"AAAAAGuun3k=")</f>
        <v>#VALUE!</v>
      </c>
      <c r="DS201" t="e">
        <f>AND(Bills!V849,"AAAAAGuun3o=")</f>
        <v>#VALUE!</v>
      </c>
      <c r="DT201" t="e">
        <f>AND(Bills!W849,"AAAAAGuun3s=")</f>
        <v>#VALUE!</v>
      </c>
      <c r="DU201" t="e">
        <f>AND(Bills!#REF!,"AAAAAGuun3w=")</f>
        <v>#REF!</v>
      </c>
      <c r="DV201" t="e">
        <f>AND(Bills!#REF!,"AAAAAGuun30=")</f>
        <v>#REF!</v>
      </c>
      <c r="DW201" t="e">
        <f>AND(Bills!Y849,"AAAAAGuun34=")</f>
        <v>#VALUE!</v>
      </c>
      <c r="DX201" t="e">
        <f>AND(Bills!Z849,"AAAAAGuun38=")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AND(Bills!AA849,"AAAAAGuun4k=")</f>
        <v>#VALUE!</v>
      </c>
      <c r="EI201" t="e">
        <f>AND(Bills!AB849,"AAAAAGuun4o=")</f>
        <v>#VALUE!</v>
      </c>
      <c r="EJ201" t="e">
        <f>AND(Bills!#REF!,"AAAAAGuun4s=")</f>
        <v>#REF!</v>
      </c>
      <c r="EK201" t="e">
        <f>AND(Bills!#REF!,"AAAAAGuun4w=")</f>
        <v>#REF!</v>
      </c>
      <c r="EL201" t="e">
        <f>AND(Bills!#REF!,"AAAAAGuun40=")</f>
        <v>#REF!</v>
      </c>
      <c r="EM201" t="e">
        <f>AND(Bills!AC849,"AAAAAGuun44=")</f>
        <v>#VALUE!</v>
      </c>
      <c r="EN201" t="e">
        <f>AND(Bills!AD849,"AAAAAGuun48=")</f>
        <v>#VALUE!</v>
      </c>
      <c r="EO201" t="e">
        <f>AND(Bills!#REF!,"AAAAAGuun5A=")</f>
        <v>#REF!</v>
      </c>
      <c r="EP201">
        <f>IF(Bills!850:850,"AAAAAGuun5E=",0)</f>
        <v>0</v>
      </c>
      <c r="EQ201" t="e">
        <f>AND(Bills!B850,"AAAAAGuun5I=")</f>
        <v>#VALUE!</v>
      </c>
      <c r="ER201" t="e">
        <f>AND(Bills!#REF!,"AAAAAGuun5M=")</f>
        <v>#REF!</v>
      </c>
      <c r="ES201" t="e">
        <f>AND(Bills!C850,"AAAAAGuun5Q=")</f>
        <v>#VALUE!</v>
      </c>
      <c r="ET201" t="e">
        <f>AND(Bills!D850,"AAAAAGuun5U=")</f>
        <v>#VALUE!</v>
      </c>
      <c r="EU201" t="e">
        <f>AND(Bills!E850,"AAAAAGuun5Y=")</f>
        <v>#VALUE!</v>
      </c>
      <c r="EV201" t="e">
        <f>AND(Bills!#REF!,"AAAAAGuun5c=")</f>
        <v>#REF!</v>
      </c>
      <c r="EW201" t="e">
        <f>AND(Bills!#REF!,"AAAAAGuun5g=")</f>
        <v>#REF!</v>
      </c>
      <c r="EX201" t="e">
        <f>AND(Bills!#REF!,"AAAAAGuun5k=")</f>
        <v>#REF!</v>
      </c>
      <c r="EY201" t="e">
        <f>AND(Bills!F850,"AAAAAGuun5o=")</f>
        <v>#VALUE!</v>
      </c>
      <c r="EZ201" t="e">
        <f>AND(Bills!#REF!,"AAAAAGuun5s=")</f>
        <v>#REF!</v>
      </c>
      <c r="FA201" t="e">
        <f>AND(Bills!G850,"AAAAAGuun5w=")</f>
        <v>#VALUE!</v>
      </c>
      <c r="FB201" t="e">
        <f>AND(Bills!H850,"AAAAAGuun50=")</f>
        <v>#VALUE!</v>
      </c>
      <c r="FC201" t="e">
        <f>AND(Bills!I850,"AAAAAGuun54=")</f>
        <v>#VALUE!</v>
      </c>
      <c r="FD201" t="e">
        <f>AND(Bills!J850,"AAAAAGuun58=")</f>
        <v>#VALUE!</v>
      </c>
      <c r="FE201" t="e">
        <f>AND(Bills!K850,"AAAAAGuun6A=")</f>
        <v>#VALUE!</v>
      </c>
      <c r="FF201" t="e">
        <f>AND(Bills!L850,"AAAAAGuun6E=")</f>
        <v>#VALUE!</v>
      </c>
      <c r="FG201" t="e">
        <f>AND(Bills!#REF!,"AAAAAGuun6I=")</f>
        <v>#REF!</v>
      </c>
      <c r="FH201" t="e">
        <f>AND(Bills!M850,"AAAAAGuun6M=")</f>
        <v>#VALUE!</v>
      </c>
      <c r="FI201" t="e">
        <f>AND(Bills!N850,"AAAAAGuun6Q=")</f>
        <v>#VALUE!</v>
      </c>
      <c r="FJ201" t="e">
        <f>AND(Bills!O850,"AAAAAGuun6U=")</f>
        <v>#VALUE!</v>
      </c>
      <c r="FK201" t="e">
        <f>AND(Bills!P850,"AAAAAGuun6Y=")</f>
        <v>#VALUE!</v>
      </c>
      <c r="FL201" t="e">
        <f>AND(Bills!Q850,"AAAAAGuun6c=")</f>
        <v>#VALUE!</v>
      </c>
      <c r="FM201" t="e">
        <f>AND(Bills!R850,"AAAAAGuun6g=")</f>
        <v>#VALUE!</v>
      </c>
      <c r="FN201" t="e">
        <f>AND(Bills!S850,"AAAAAGuun6k=")</f>
        <v>#VALUE!</v>
      </c>
      <c r="FO201" t="e">
        <f>AND(Bills!T850,"AAAAAGuun6o=")</f>
        <v>#VALUE!</v>
      </c>
      <c r="FP201" t="e">
        <f>AND(Bills!#REF!,"AAAAAGuun6s=")</f>
        <v>#REF!</v>
      </c>
      <c r="FQ201" t="e">
        <f>AND(Bills!U850,"AAAAAGuun6w=")</f>
        <v>#VALUE!</v>
      </c>
      <c r="FR201" t="e">
        <f>AND(Bills!V850,"AAAAAGuun60=")</f>
        <v>#VALUE!</v>
      </c>
      <c r="FS201" t="e">
        <f>AND(Bills!W850,"AAAAAGuun64=")</f>
        <v>#VALUE!</v>
      </c>
      <c r="FT201" t="e">
        <f>AND(Bills!#REF!,"AAAAAGuun68=")</f>
        <v>#REF!</v>
      </c>
      <c r="FU201" t="e">
        <f>AND(Bills!#REF!,"AAAAAGuun7A=")</f>
        <v>#REF!</v>
      </c>
      <c r="FV201" t="e">
        <f>AND(Bills!Y850,"AAAAAGuun7E=")</f>
        <v>#VALUE!</v>
      </c>
      <c r="FW201" t="e">
        <f>AND(Bills!Z850,"AAAAAGuun7I=")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AND(Bills!AA850,"AAAAAGuun7w=")</f>
        <v>#VALUE!</v>
      </c>
      <c r="GH201" t="e">
        <f>AND(Bills!AB850,"AAAAAGuun70=")</f>
        <v>#VALUE!</v>
      </c>
      <c r="GI201" t="e">
        <f>AND(Bills!#REF!,"AAAAAGuun74=")</f>
        <v>#REF!</v>
      </c>
      <c r="GJ201" t="e">
        <f>AND(Bills!#REF!,"AAAAAGuun78=")</f>
        <v>#REF!</v>
      </c>
      <c r="GK201" t="e">
        <f>AND(Bills!#REF!,"AAAAAGuun8A=")</f>
        <v>#REF!</v>
      </c>
      <c r="GL201" t="e">
        <f>AND(Bills!AC850,"AAAAAGuun8E=")</f>
        <v>#VALUE!</v>
      </c>
      <c r="GM201" t="e">
        <f>AND(Bills!AD850,"AAAAAGuun8I=")</f>
        <v>#VALUE!</v>
      </c>
      <c r="GN201" t="e">
        <f>AND(Bills!#REF!,"AAAAAGuun8M=")</f>
        <v>#REF!</v>
      </c>
      <c r="GO201">
        <f>IF(Bills!851:851,"AAAAAGuun8Q=",0)</f>
        <v>0</v>
      </c>
      <c r="GP201" t="e">
        <f>AND(Bills!B851,"AAAAAGuun8U=")</f>
        <v>#VALUE!</v>
      </c>
      <c r="GQ201" t="e">
        <f>AND(Bills!#REF!,"AAAAAGuun8Y=")</f>
        <v>#REF!</v>
      </c>
      <c r="GR201" t="e">
        <f>AND(Bills!C851,"AAAAAGuun8c=")</f>
        <v>#VALUE!</v>
      </c>
      <c r="GS201" t="e">
        <f>AND(Bills!D851,"AAAAAGuun8g=")</f>
        <v>#VALUE!</v>
      </c>
      <c r="GT201" t="e">
        <f>AND(Bills!E851,"AAAAAGuun8k=")</f>
        <v>#VALUE!</v>
      </c>
      <c r="GU201" t="e">
        <f>AND(Bills!#REF!,"AAAAAGuun8o=")</f>
        <v>#REF!</v>
      </c>
      <c r="GV201" t="e">
        <f>AND(Bills!#REF!,"AAAAAGuun8s=")</f>
        <v>#REF!</v>
      </c>
      <c r="GW201" t="e">
        <f>AND(Bills!#REF!,"AAAAAGuun8w=")</f>
        <v>#REF!</v>
      </c>
      <c r="GX201" t="e">
        <f>AND(Bills!F851,"AAAAAGuun80=")</f>
        <v>#VALUE!</v>
      </c>
      <c r="GY201" t="e">
        <f>AND(Bills!#REF!,"AAAAAGuun84=")</f>
        <v>#REF!</v>
      </c>
      <c r="GZ201" t="e">
        <f>AND(Bills!G851,"AAAAAGuun88=")</f>
        <v>#VALUE!</v>
      </c>
      <c r="HA201" t="e">
        <f>AND(Bills!H851,"AAAAAGuun9A=")</f>
        <v>#VALUE!</v>
      </c>
      <c r="HB201" t="e">
        <f>AND(Bills!I851,"AAAAAGuun9E=")</f>
        <v>#VALUE!</v>
      </c>
      <c r="HC201" t="e">
        <f>AND(Bills!J851,"AAAAAGuun9I=")</f>
        <v>#VALUE!</v>
      </c>
      <c r="HD201" t="e">
        <f>AND(Bills!K851,"AAAAAGuun9M=")</f>
        <v>#VALUE!</v>
      </c>
      <c r="HE201" t="e">
        <f>AND(Bills!L851,"AAAAAGuun9Q=")</f>
        <v>#VALUE!</v>
      </c>
      <c r="HF201" t="e">
        <f>AND(Bills!#REF!,"AAAAAGuun9U=")</f>
        <v>#REF!</v>
      </c>
      <c r="HG201" t="e">
        <f>AND(Bills!M851,"AAAAAGuun9Y=")</f>
        <v>#VALUE!</v>
      </c>
      <c r="HH201" t="e">
        <f>AND(Bills!N851,"AAAAAGuun9c=")</f>
        <v>#VALUE!</v>
      </c>
      <c r="HI201" t="e">
        <f>AND(Bills!O851,"AAAAAGuun9g=")</f>
        <v>#VALUE!</v>
      </c>
      <c r="HJ201" t="e">
        <f>AND(Bills!P851,"AAAAAGuun9k=")</f>
        <v>#VALUE!</v>
      </c>
      <c r="HK201" t="e">
        <f>AND(Bills!Q851,"AAAAAGuun9o=")</f>
        <v>#VALUE!</v>
      </c>
      <c r="HL201" t="e">
        <f>AND(Bills!R851,"AAAAAGuun9s=")</f>
        <v>#VALUE!</v>
      </c>
      <c r="HM201" t="e">
        <f>AND(Bills!S851,"AAAAAGuun9w=")</f>
        <v>#VALUE!</v>
      </c>
      <c r="HN201" t="e">
        <f>AND(Bills!T851,"AAAAAGuun90=")</f>
        <v>#VALUE!</v>
      </c>
      <c r="HO201" t="e">
        <f>AND(Bills!#REF!,"AAAAAGuun94=")</f>
        <v>#REF!</v>
      </c>
      <c r="HP201" t="e">
        <f>AND(Bills!U851,"AAAAAGuun98=")</f>
        <v>#VALUE!</v>
      </c>
      <c r="HQ201" t="e">
        <f>AND(Bills!V851,"AAAAAGuun+A=")</f>
        <v>#VALUE!</v>
      </c>
      <c r="HR201" t="e">
        <f>AND(Bills!W851,"AAAAAGuun+E=")</f>
        <v>#VALUE!</v>
      </c>
      <c r="HS201" t="e">
        <f>AND(Bills!#REF!,"AAAAAGuun+I=")</f>
        <v>#REF!</v>
      </c>
      <c r="HT201" t="e">
        <f>AND(Bills!#REF!,"AAAAAGuun+M=")</f>
        <v>#REF!</v>
      </c>
      <c r="HU201" t="e">
        <f>AND(Bills!Y851,"AAAAAGuun+Q=")</f>
        <v>#VALUE!</v>
      </c>
      <c r="HV201" t="e">
        <f>AND(Bills!Z851,"AAAAAGuun+U=")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AND(Bills!AA851,"AAAAAGuun+8=")</f>
        <v>#VALUE!</v>
      </c>
      <c r="IG201" t="e">
        <f>AND(Bills!AB851,"AAAAAGuun/A=")</f>
        <v>#VALUE!</v>
      </c>
      <c r="IH201" t="e">
        <f>AND(Bills!#REF!,"AAAAAGuun/E=")</f>
        <v>#REF!</v>
      </c>
      <c r="II201" t="e">
        <f>AND(Bills!#REF!,"AAAAAGuun/I=")</f>
        <v>#REF!</v>
      </c>
      <c r="IJ201" t="e">
        <f>AND(Bills!#REF!,"AAAAAGuun/M=")</f>
        <v>#REF!</v>
      </c>
      <c r="IK201" t="e">
        <f>AND(Bills!AC851,"AAAAAGuun/Q=")</f>
        <v>#VALUE!</v>
      </c>
      <c r="IL201" t="e">
        <f>AND(Bills!AD851,"AAAAAGuun/U=")</f>
        <v>#VALUE!</v>
      </c>
      <c r="IM201" t="e">
        <f>AND(Bills!#REF!,"AAAAAGuun/Y=")</f>
        <v>#REF!</v>
      </c>
      <c r="IN201">
        <f>IF(Bills!852:852,"AAAAAGuun/c=",0)</f>
        <v>0</v>
      </c>
      <c r="IO201" t="e">
        <f>AND(Bills!B852,"AAAAAGuun/g=")</f>
        <v>#VALUE!</v>
      </c>
      <c r="IP201" t="e">
        <f>AND(Bills!#REF!,"AAAAAGuun/k=")</f>
        <v>#REF!</v>
      </c>
      <c r="IQ201" t="e">
        <f>AND(Bills!C852,"AAAAAGuun/o=")</f>
        <v>#VALUE!</v>
      </c>
      <c r="IR201" t="e">
        <f>AND(Bills!D852,"AAAAAGuun/s=")</f>
        <v>#VALUE!</v>
      </c>
      <c r="IS201" t="e">
        <f>AND(Bills!E852,"AAAAAGuun/w=")</f>
        <v>#VALUE!</v>
      </c>
      <c r="IT201" t="e">
        <f>AND(Bills!#REF!,"AAAAAGuun/0=")</f>
        <v>#REF!</v>
      </c>
      <c r="IU201" t="e">
        <f>AND(Bills!#REF!,"AAAAAGuun/4=")</f>
        <v>#REF!</v>
      </c>
      <c r="IV201" t="e">
        <f>AND(Bills!#REF!,"AAAAAGuun/8=")</f>
        <v>#REF!</v>
      </c>
    </row>
    <row r="202" spans="1:256">
      <c r="A202" t="e">
        <f>AND(Bills!F852,"AAAAACaNbwA=")</f>
        <v>#VALUE!</v>
      </c>
      <c r="B202" t="e">
        <f>AND(Bills!#REF!,"AAAAACaNbwE=")</f>
        <v>#REF!</v>
      </c>
      <c r="C202" t="e">
        <f>AND(Bills!G852,"AAAAACaNbwI=")</f>
        <v>#VALUE!</v>
      </c>
      <c r="D202" t="e">
        <f>AND(Bills!H852,"AAAAACaNbwM=")</f>
        <v>#VALUE!</v>
      </c>
      <c r="E202" t="e">
        <f>AND(Bills!I852,"AAAAACaNbwQ=")</f>
        <v>#VALUE!</v>
      </c>
      <c r="F202" t="e">
        <f>AND(Bills!J852,"AAAAACaNbwU=")</f>
        <v>#VALUE!</v>
      </c>
      <c r="G202" t="e">
        <f>AND(Bills!K852,"AAAAACaNbwY=")</f>
        <v>#VALUE!</v>
      </c>
      <c r="H202" t="e">
        <f>AND(Bills!L852,"AAAAACaNbwc=")</f>
        <v>#VALUE!</v>
      </c>
      <c r="I202" t="e">
        <f>AND(Bills!#REF!,"AAAAACaNbwg=")</f>
        <v>#REF!</v>
      </c>
      <c r="J202" t="e">
        <f>AND(Bills!M852,"AAAAACaNbwk=")</f>
        <v>#VALUE!</v>
      </c>
      <c r="K202" t="e">
        <f>AND(Bills!N852,"AAAAACaNbwo=")</f>
        <v>#VALUE!</v>
      </c>
      <c r="L202" t="e">
        <f>AND(Bills!O852,"AAAAACaNbws=")</f>
        <v>#VALUE!</v>
      </c>
      <c r="M202" t="e">
        <f>AND(Bills!P852,"AAAAACaNbww=")</f>
        <v>#VALUE!</v>
      </c>
      <c r="N202" t="e">
        <f>AND(Bills!Q852,"AAAAACaNbw0=")</f>
        <v>#VALUE!</v>
      </c>
      <c r="O202" t="e">
        <f>AND(Bills!R852,"AAAAACaNbw4=")</f>
        <v>#VALUE!</v>
      </c>
      <c r="P202" t="e">
        <f>AND(Bills!S852,"AAAAACaNbw8=")</f>
        <v>#VALUE!</v>
      </c>
      <c r="Q202" t="e">
        <f>AND(Bills!T852,"AAAAACaNbxA=")</f>
        <v>#VALUE!</v>
      </c>
      <c r="R202" t="e">
        <f>AND(Bills!#REF!,"AAAAACaNbxE=")</f>
        <v>#REF!</v>
      </c>
      <c r="S202" t="e">
        <f>AND(Bills!U852,"AAAAACaNbxI=")</f>
        <v>#VALUE!</v>
      </c>
      <c r="T202" t="e">
        <f>AND(Bills!V852,"AAAAACaNbxM=")</f>
        <v>#VALUE!</v>
      </c>
      <c r="U202" t="e">
        <f>AND(Bills!W852,"AAAAACaNbxQ=")</f>
        <v>#VALUE!</v>
      </c>
      <c r="V202" t="e">
        <f>AND(Bills!#REF!,"AAAAACaNbxU=")</f>
        <v>#REF!</v>
      </c>
      <c r="W202" t="e">
        <f>AND(Bills!#REF!,"AAAAACaNbxY=")</f>
        <v>#REF!</v>
      </c>
      <c r="X202" t="e">
        <f>AND(Bills!Y852,"AAAAACaNbxc=")</f>
        <v>#VALUE!</v>
      </c>
      <c r="Y202" t="e">
        <f>AND(Bills!Z852,"AAAAACaNbxg=")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AND(Bills!AA852,"AAAAACaNbyI=")</f>
        <v>#VALUE!</v>
      </c>
      <c r="AJ202" t="e">
        <f>AND(Bills!AB852,"AAAAACaNbyM=")</f>
        <v>#VALUE!</v>
      </c>
      <c r="AK202" t="e">
        <f>AND(Bills!#REF!,"AAAAACaNbyQ=")</f>
        <v>#REF!</v>
      </c>
      <c r="AL202" t="e">
        <f>AND(Bills!#REF!,"AAAAACaNbyU=")</f>
        <v>#REF!</v>
      </c>
      <c r="AM202" t="e">
        <f>AND(Bills!#REF!,"AAAAACaNbyY=")</f>
        <v>#REF!</v>
      </c>
      <c r="AN202" t="e">
        <f>AND(Bills!AC852,"AAAAACaNbyc=")</f>
        <v>#VALUE!</v>
      </c>
      <c r="AO202" t="e">
        <f>AND(Bills!AD852,"AAAAACaNbyg=")</f>
        <v>#VALUE!</v>
      </c>
      <c r="AP202" t="e">
        <f>AND(Bills!#REF!,"AAAAACaNbyk=")</f>
        <v>#REF!</v>
      </c>
      <c r="AQ202">
        <f>IF(Bills!853:853,"AAAAACaNbyo=",0)</f>
        <v>0</v>
      </c>
      <c r="AR202" t="e">
        <f>AND(Bills!B853,"AAAAACaNbys=")</f>
        <v>#VALUE!</v>
      </c>
      <c r="AS202" t="e">
        <f>AND(Bills!#REF!,"AAAAACaNbyw=")</f>
        <v>#REF!</v>
      </c>
      <c r="AT202" t="e">
        <f>AND(Bills!C853,"AAAAACaNby0=")</f>
        <v>#VALUE!</v>
      </c>
      <c r="AU202" t="e">
        <f>AND(Bills!D853,"AAAAACaNby4=")</f>
        <v>#VALUE!</v>
      </c>
      <c r="AV202" t="e">
        <f>AND(Bills!E853,"AAAAACaNby8=")</f>
        <v>#VALUE!</v>
      </c>
      <c r="AW202" t="e">
        <f>AND(Bills!#REF!,"AAAAACaNbzA=")</f>
        <v>#REF!</v>
      </c>
      <c r="AX202" t="e">
        <f>AND(Bills!#REF!,"AAAAACaNbzE=")</f>
        <v>#REF!</v>
      </c>
      <c r="AY202" t="e">
        <f>AND(Bills!#REF!,"AAAAACaNbzI=")</f>
        <v>#REF!</v>
      </c>
      <c r="AZ202" t="e">
        <f>AND(Bills!F853,"AAAAACaNbzM=")</f>
        <v>#VALUE!</v>
      </c>
      <c r="BA202" t="e">
        <f>AND(Bills!#REF!,"AAAAACaNbzQ=")</f>
        <v>#REF!</v>
      </c>
      <c r="BB202" t="e">
        <f>AND(Bills!G853,"AAAAACaNbzU=")</f>
        <v>#VALUE!</v>
      </c>
      <c r="BC202" t="e">
        <f>AND(Bills!H853,"AAAAACaNbzY=")</f>
        <v>#VALUE!</v>
      </c>
      <c r="BD202" t="e">
        <f>AND(Bills!I853,"AAAAACaNbzc=")</f>
        <v>#VALUE!</v>
      </c>
      <c r="BE202" t="e">
        <f>AND(Bills!J853,"AAAAACaNbzg=")</f>
        <v>#VALUE!</v>
      </c>
      <c r="BF202" t="e">
        <f>AND(Bills!K853,"AAAAACaNbzk=")</f>
        <v>#VALUE!</v>
      </c>
      <c r="BG202" t="e">
        <f>AND(Bills!L853,"AAAAACaNbzo=")</f>
        <v>#VALUE!</v>
      </c>
      <c r="BH202" t="e">
        <f>AND(Bills!#REF!,"AAAAACaNbzs=")</f>
        <v>#REF!</v>
      </c>
      <c r="BI202" t="e">
        <f>AND(Bills!M853,"AAAAACaNbzw=")</f>
        <v>#VALUE!</v>
      </c>
      <c r="BJ202" t="e">
        <f>AND(Bills!N853,"AAAAACaNbz0=")</f>
        <v>#VALUE!</v>
      </c>
      <c r="BK202" t="e">
        <f>AND(Bills!O853,"AAAAACaNbz4=")</f>
        <v>#VALUE!</v>
      </c>
      <c r="BL202" t="e">
        <f>AND(Bills!P853,"AAAAACaNbz8=")</f>
        <v>#VALUE!</v>
      </c>
      <c r="BM202" t="e">
        <f>AND(Bills!Q853,"AAAAACaNb0A=")</f>
        <v>#VALUE!</v>
      </c>
      <c r="BN202" t="e">
        <f>AND(Bills!R853,"AAAAACaNb0E=")</f>
        <v>#VALUE!</v>
      </c>
      <c r="BO202" t="e">
        <f>AND(Bills!S853,"AAAAACaNb0I=")</f>
        <v>#VALUE!</v>
      </c>
      <c r="BP202" t="e">
        <f>AND(Bills!T853,"AAAAACaNb0M=")</f>
        <v>#VALUE!</v>
      </c>
      <c r="BQ202" t="e">
        <f>AND(Bills!#REF!,"AAAAACaNb0Q=")</f>
        <v>#REF!</v>
      </c>
      <c r="BR202" t="e">
        <f>AND(Bills!U853,"AAAAACaNb0U=")</f>
        <v>#VALUE!</v>
      </c>
      <c r="BS202" t="e">
        <f>AND(Bills!V853,"AAAAACaNb0Y=")</f>
        <v>#VALUE!</v>
      </c>
      <c r="BT202" t="e">
        <f>AND(Bills!W853,"AAAAACaNb0c=")</f>
        <v>#VALUE!</v>
      </c>
      <c r="BU202" t="e">
        <f>AND(Bills!#REF!,"AAAAACaNb0g=")</f>
        <v>#REF!</v>
      </c>
      <c r="BV202" t="e">
        <f>AND(Bills!#REF!,"AAAAACaNb0k=")</f>
        <v>#REF!</v>
      </c>
      <c r="BW202" t="e">
        <f>AND(Bills!Y853,"AAAAACaNb0o=")</f>
        <v>#VALUE!</v>
      </c>
      <c r="BX202" t="e">
        <f>AND(Bills!Z853,"AAAAACaNb0s=")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AND(Bills!AA853,"AAAAACaNb1U=")</f>
        <v>#VALUE!</v>
      </c>
      <c r="CI202" t="e">
        <f>AND(Bills!AB853,"AAAAACaNb1Y=")</f>
        <v>#VALUE!</v>
      </c>
      <c r="CJ202" t="e">
        <f>AND(Bills!#REF!,"AAAAACaNb1c=")</f>
        <v>#REF!</v>
      </c>
      <c r="CK202" t="e">
        <f>AND(Bills!#REF!,"AAAAACaNb1g=")</f>
        <v>#REF!</v>
      </c>
      <c r="CL202" t="e">
        <f>AND(Bills!#REF!,"AAAAACaNb1k=")</f>
        <v>#REF!</v>
      </c>
      <c r="CM202" t="e">
        <f>AND(Bills!AC853,"AAAAACaNb1o=")</f>
        <v>#VALUE!</v>
      </c>
      <c r="CN202" t="e">
        <f>AND(Bills!AD853,"AAAAACaNb1s=")</f>
        <v>#VALUE!</v>
      </c>
      <c r="CO202" t="e">
        <f>AND(Bills!#REF!,"AAAAACaNb1w=")</f>
        <v>#REF!</v>
      </c>
      <c r="CP202">
        <f>IF(Bills!854:854,"AAAAACaNb10=",0)</f>
        <v>0</v>
      </c>
      <c r="CQ202" t="e">
        <f>AND(Bills!B854,"AAAAACaNb14=")</f>
        <v>#VALUE!</v>
      </c>
      <c r="CR202" t="e">
        <f>AND(Bills!#REF!,"AAAAACaNb18=")</f>
        <v>#REF!</v>
      </c>
      <c r="CS202" t="e">
        <f>AND(Bills!C854,"AAAAACaNb2A=")</f>
        <v>#VALUE!</v>
      </c>
      <c r="CT202" t="e">
        <f>AND(Bills!D854,"AAAAACaNb2E=")</f>
        <v>#VALUE!</v>
      </c>
      <c r="CU202" t="e">
        <f>AND(Bills!E854,"AAAAACaNb2I=")</f>
        <v>#VALUE!</v>
      </c>
      <c r="CV202" t="e">
        <f>AND(Bills!#REF!,"AAAAACaNb2M=")</f>
        <v>#REF!</v>
      </c>
      <c r="CW202" t="e">
        <f>AND(Bills!#REF!,"AAAAACaNb2Q=")</f>
        <v>#REF!</v>
      </c>
      <c r="CX202" t="e">
        <f>AND(Bills!#REF!,"AAAAACaNb2U=")</f>
        <v>#REF!</v>
      </c>
      <c r="CY202" t="e">
        <f>AND(Bills!F854,"AAAAACaNb2Y=")</f>
        <v>#VALUE!</v>
      </c>
      <c r="CZ202" t="e">
        <f>AND(Bills!#REF!,"AAAAACaNb2c=")</f>
        <v>#REF!</v>
      </c>
      <c r="DA202" t="e">
        <f>AND(Bills!G854,"AAAAACaNb2g=")</f>
        <v>#VALUE!</v>
      </c>
      <c r="DB202" t="e">
        <f>AND(Bills!H854,"AAAAACaNb2k=")</f>
        <v>#VALUE!</v>
      </c>
      <c r="DC202" t="e">
        <f>AND(Bills!I854,"AAAAACaNb2o=")</f>
        <v>#VALUE!</v>
      </c>
      <c r="DD202" t="e">
        <f>AND(Bills!J854,"AAAAACaNb2s=")</f>
        <v>#VALUE!</v>
      </c>
      <c r="DE202" t="e">
        <f>AND(Bills!K854,"AAAAACaNb2w=")</f>
        <v>#VALUE!</v>
      </c>
      <c r="DF202" t="e">
        <f>AND(Bills!L854,"AAAAACaNb20=")</f>
        <v>#VALUE!</v>
      </c>
      <c r="DG202" t="e">
        <f>AND(Bills!#REF!,"AAAAACaNb24=")</f>
        <v>#REF!</v>
      </c>
      <c r="DH202" t="e">
        <f>AND(Bills!M854,"AAAAACaNb28=")</f>
        <v>#VALUE!</v>
      </c>
      <c r="DI202" t="e">
        <f>AND(Bills!N854,"AAAAACaNb3A=")</f>
        <v>#VALUE!</v>
      </c>
      <c r="DJ202" t="e">
        <f>AND(Bills!O854,"AAAAACaNb3E=")</f>
        <v>#VALUE!</v>
      </c>
      <c r="DK202" t="e">
        <f>AND(Bills!P854,"AAAAACaNb3I=")</f>
        <v>#VALUE!</v>
      </c>
      <c r="DL202" t="e">
        <f>AND(Bills!Q854,"AAAAACaNb3M=")</f>
        <v>#VALUE!</v>
      </c>
      <c r="DM202" t="e">
        <f>AND(Bills!R854,"AAAAACaNb3Q=")</f>
        <v>#VALUE!</v>
      </c>
      <c r="DN202" t="e">
        <f>AND(Bills!S854,"AAAAACaNb3U=")</f>
        <v>#VALUE!</v>
      </c>
      <c r="DO202" t="e">
        <f>AND(Bills!T854,"AAAAACaNb3Y=")</f>
        <v>#VALUE!</v>
      </c>
      <c r="DP202" t="e">
        <f>AND(Bills!#REF!,"AAAAACaNb3c=")</f>
        <v>#REF!</v>
      </c>
      <c r="DQ202" t="e">
        <f>AND(Bills!U854,"AAAAACaNb3g=")</f>
        <v>#VALUE!</v>
      </c>
      <c r="DR202" t="e">
        <f>AND(Bills!V854,"AAAAACaNb3k=")</f>
        <v>#VALUE!</v>
      </c>
      <c r="DS202" t="e">
        <f>AND(Bills!W854,"AAAAACaNb3o=")</f>
        <v>#VALUE!</v>
      </c>
      <c r="DT202" t="e">
        <f>AND(Bills!#REF!,"AAAAACaNb3s=")</f>
        <v>#REF!</v>
      </c>
      <c r="DU202" t="e">
        <f>AND(Bills!#REF!,"AAAAACaNb3w=")</f>
        <v>#REF!</v>
      </c>
      <c r="DV202" t="e">
        <f>AND(Bills!Y854,"AAAAACaNb30=")</f>
        <v>#VALUE!</v>
      </c>
      <c r="DW202" t="e">
        <f>AND(Bills!Z854,"AAAAACaNb34=")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AND(Bills!AA854,"AAAAACaNb4g=")</f>
        <v>#VALUE!</v>
      </c>
      <c r="EH202" t="e">
        <f>AND(Bills!AB854,"AAAAACaNb4k=")</f>
        <v>#VALUE!</v>
      </c>
      <c r="EI202" t="e">
        <f>AND(Bills!#REF!,"AAAAACaNb4o=")</f>
        <v>#REF!</v>
      </c>
      <c r="EJ202" t="e">
        <f>AND(Bills!#REF!,"AAAAACaNb4s=")</f>
        <v>#REF!</v>
      </c>
      <c r="EK202" t="e">
        <f>AND(Bills!#REF!,"AAAAACaNb4w=")</f>
        <v>#REF!</v>
      </c>
      <c r="EL202" t="e">
        <f>AND(Bills!AC854,"AAAAACaNb40=")</f>
        <v>#VALUE!</v>
      </c>
      <c r="EM202" t="e">
        <f>AND(Bills!AD854,"AAAAACaNb44=")</f>
        <v>#VALUE!</v>
      </c>
      <c r="EN202" t="e">
        <f>AND(Bills!#REF!,"AAAAACaNb48=")</f>
        <v>#REF!</v>
      </c>
      <c r="EO202">
        <f>IF(Bills!855:855,"AAAAACaNb5A=",0)</f>
        <v>0</v>
      </c>
      <c r="EP202" t="e">
        <f>AND(Bills!B855,"AAAAACaNb5E=")</f>
        <v>#VALUE!</v>
      </c>
      <c r="EQ202" t="e">
        <f>AND(Bills!#REF!,"AAAAACaNb5I=")</f>
        <v>#REF!</v>
      </c>
      <c r="ER202" t="e">
        <f>AND(Bills!C855,"AAAAACaNb5M=")</f>
        <v>#VALUE!</v>
      </c>
      <c r="ES202" t="e">
        <f>AND(Bills!D855,"AAAAACaNb5Q=")</f>
        <v>#VALUE!</v>
      </c>
      <c r="ET202" t="e">
        <f>AND(Bills!E855,"AAAAACaNb5U=")</f>
        <v>#VALUE!</v>
      </c>
      <c r="EU202" t="e">
        <f>AND(Bills!#REF!,"AAAAACaNb5Y=")</f>
        <v>#REF!</v>
      </c>
      <c r="EV202" t="e">
        <f>AND(Bills!#REF!,"AAAAACaNb5c=")</f>
        <v>#REF!</v>
      </c>
      <c r="EW202" t="e">
        <f>AND(Bills!#REF!,"AAAAACaNb5g=")</f>
        <v>#REF!</v>
      </c>
      <c r="EX202" t="e">
        <f>AND(Bills!F855,"AAAAACaNb5k=")</f>
        <v>#VALUE!</v>
      </c>
      <c r="EY202" t="e">
        <f>AND(Bills!#REF!,"AAAAACaNb5o=")</f>
        <v>#REF!</v>
      </c>
      <c r="EZ202" t="e">
        <f>AND(Bills!G855,"AAAAACaNb5s=")</f>
        <v>#VALUE!</v>
      </c>
      <c r="FA202" t="e">
        <f>AND(Bills!H855,"AAAAACaNb5w=")</f>
        <v>#VALUE!</v>
      </c>
      <c r="FB202" t="e">
        <f>AND(Bills!I855,"AAAAACaNb50=")</f>
        <v>#VALUE!</v>
      </c>
      <c r="FC202" t="e">
        <f>AND(Bills!J855,"AAAAACaNb54=")</f>
        <v>#VALUE!</v>
      </c>
      <c r="FD202" t="e">
        <f>AND(Bills!K855,"AAAAACaNb58=")</f>
        <v>#VALUE!</v>
      </c>
      <c r="FE202" t="e">
        <f>AND(Bills!L855,"AAAAACaNb6A=")</f>
        <v>#VALUE!</v>
      </c>
      <c r="FF202" t="e">
        <f>AND(Bills!#REF!,"AAAAACaNb6E=")</f>
        <v>#REF!</v>
      </c>
      <c r="FG202" t="e">
        <f>AND(Bills!M855,"AAAAACaNb6I=")</f>
        <v>#VALUE!</v>
      </c>
      <c r="FH202" t="e">
        <f>AND(Bills!N855,"AAAAACaNb6M=")</f>
        <v>#VALUE!</v>
      </c>
      <c r="FI202" t="e">
        <f>AND(Bills!O855,"AAAAACaNb6Q=")</f>
        <v>#VALUE!</v>
      </c>
      <c r="FJ202" t="e">
        <f>AND(Bills!P855,"AAAAACaNb6U=")</f>
        <v>#VALUE!</v>
      </c>
      <c r="FK202" t="e">
        <f>AND(Bills!Q855,"AAAAACaNb6Y=")</f>
        <v>#VALUE!</v>
      </c>
      <c r="FL202" t="e">
        <f>AND(Bills!R855,"AAAAACaNb6c=")</f>
        <v>#VALUE!</v>
      </c>
      <c r="FM202" t="e">
        <f>AND(Bills!S855,"AAAAACaNb6g=")</f>
        <v>#VALUE!</v>
      </c>
      <c r="FN202" t="e">
        <f>AND(Bills!T855,"AAAAACaNb6k=")</f>
        <v>#VALUE!</v>
      </c>
      <c r="FO202" t="e">
        <f>AND(Bills!#REF!,"AAAAACaNb6o=")</f>
        <v>#REF!</v>
      </c>
      <c r="FP202" t="e">
        <f>AND(Bills!U855,"AAAAACaNb6s=")</f>
        <v>#VALUE!</v>
      </c>
      <c r="FQ202" t="e">
        <f>AND(Bills!V855,"AAAAACaNb6w=")</f>
        <v>#VALUE!</v>
      </c>
      <c r="FR202" t="e">
        <f>AND(Bills!W855,"AAAAACaNb60=")</f>
        <v>#VALUE!</v>
      </c>
      <c r="FS202" t="e">
        <f>AND(Bills!#REF!,"AAAAACaNb64=")</f>
        <v>#REF!</v>
      </c>
      <c r="FT202" t="e">
        <f>AND(Bills!#REF!,"AAAAACaNb68=")</f>
        <v>#REF!</v>
      </c>
      <c r="FU202" t="e">
        <f>AND(Bills!Y855,"AAAAACaNb7A=")</f>
        <v>#VALUE!</v>
      </c>
      <c r="FV202" t="e">
        <f>AND(Bills!Z855,"AAAAACaNb7E=")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AND(Bills!AA855,"AAAAACaNb7s=")</f>
        <v>#VALUE!</v>
      </c>
      <c r="GG202" t="e">
        <f>AND(Bills!AB855,"AAAAACaNb7w=")</f>
        <v>#VALUE!</v>
      </c>
      <c r="GH202" t="e">
        <f>AND(Bills!#REF!,"AAAAACaNb70=")</f>
        <v>#REF!</v>
      </c>
      <c r="GI202" t="e">
        <f>AND(Bills!#REF!,"AAAAACaNb74=")</f>
        <v>#REF!</v>
      </c>
      <c r="GJ202" t="e">
        <f>AND(Bills!#REF!,"AAAAACaNb78=")</f>
        <v>#REF!</v>
      </c>
      <c r="GK202" t="e">
        <f>AND(Bills!AC855,"AAAAACaNb8A=")</f>
        <v>#VALUE!</v>
      </c>
      <c r="GL202" t="e">
        <f>AND(Bills!AD855,"AAAAACaNb8E=")</f>
        <v>#VALUE!</v>
      </c>
      <c r="GM202" t="e">
        <f>AND(Bills!#REF!,"AAAAACaNb8I=")</f>
        <v>#REF!</v>
      </c>
      <c r="GN202">
        <f>IF(Bills!856:856,"AAAAACaNb8M=",0)</f>
        <v>0</v>
      </c>
      <c r="GO202" t="e">
        <f>AND(Bills!B856,"AAAAACaNb8Q=")</f>
        <v>#VALUE!</v>
      </c>
      <c r="GP202" t="e">
        <f>AND(Bills!#REF!,"AAAAACaNb8U=")</f>
        <v>#REF!</v>
      </c>
      <c r="GQ202" t="e">
        <f>AND(Bills!C856,"AAAAACaNb8Y=")</f>
        <v>#VALUE!</v>
      </c>
      <c r="GR202" t="e">
        <f>AND(Bills!D856,"AAAAACaNb8c=")</f>
        <v>#VALUE!</v>
      </c>
      <c r="GS202" t="e">
        <f>AND(Bills!E856,"AAAAACaNb8g=")</f>
        <v>#VALUE!</v>
      </c>
      <c r="GT202" t="e">
        <f>AND(Bills!#REF!,"AAAAACaNb8k=")</f>
        <v>#REF!</v>
      </c>
      <c r="GU202" t="e">
        <f>AND(Bills!#REF!,"AAAAACaNb8o=")</f>
        <v>#REF!</v>
      </c>
      <c r="GV202" t="e">
        <f>AND(Bills!#REF!,"AAAAACaNb8s=")</f>
        <v>#REF!</v>
      </c>
      <c r="GW202" t="e">
        <f>AND(Bills!F856,"AAAAACaNb8w=")</f>
        <v>#VALUE!</v>
      </c>
      <c r="GX202" t="e">
        <f>AND(Bills!#REF!,"AAAAACaNb80=")</f>
        <v>#REF!</v>
      </c>
      <c r="GY202" t="e">
        <f>AND(Bills!G856,"AAAAACaNb84=")</f>
        <v>#VALUE!</v>
      </c>
      <c r="GZ202" t="e">
        <f>AND(Bills!H856,"AAAAACaNb88=")</f>
        <v>#VALUE!</v>
      </c>
      <c r="HA202" t="e">
        <f>AND(Bills!I856,"AAAAACaNb9A=")</f>
        <v>#VALUE!</v>
      </c>
      <c r="HB202" t="e">
        <f>AND(Bills!J856,"AAAAACaNb9E=")</f>
        <v>#VALUE!</v>
      </c>
      <c r="HC202" t="e">
        <f>AND(Bills!K856,"AAAAACaNb9I=")</f>
        <v>#VALUE!</v>
      </c>
      <c r="HD202" t="e">
        <f>AND(Bills!L856,"AAAAACaNb9M=")</f>
        <v>#VALUE!</v>
      </c>
      <c r="HE202" t="e">
        <f>AND(Bills!#REF!,"AAAAACaNb9Q=")</f>
        <v>#REF!</v>
      </c>
      <c r="HF202" t="e">
        <f>AND(Bills!M856,"AAAAACaNb9U=")</f>
        <v>#VALUE!</v>
      </c>
      <c r="HG202" t="e">
        <f>AND(Bills!N856,"AAAAACaNb9Y=")</f>
        <v>#VALUE!</v>
      </c>
      <c r="HH202" t="e">
        <f>AND(Bills!O856,"AAAAACaNb9c=")</f>
        <v>#VALUE!</v>
      </c>
      <c r="HI202" t="e">
        <f>AND(Bills!P856,"AAAAACaNb9g=")</f>
        <v>#VALUE!</v>
      </c>
      <c r="HJ202" t="e">
        <f>AND(Bills!Q856,"AAAAACaNb9k=")</f>
        <v>#VALUE!</v>
      </c>
      <c r="HK202" t="e">
        <f>AND(Bills!R856,"AAAAACaNb9o=")</f>
        <v>#VALUE!</v>
      </c>
      <c r="HL202" t="e">
        <f>AND(Bills!S856,"AAAAACaNb9s=")</f>
        <v>#VALUE!</v>
      </c>
      <c r="HM202" t="e">
        <f>AND(Bills!T856,"AAAAACaNb9w=")</f>
        <v>#VALUE!</v>
      </c>
      <c r="HN202" t="e">
        <f>AND(Bills!#REF!,"AAAAACaNb90=")</f>
        <v>#REF!</v>
      </c>
      <c r="HO202" t="e">
        <f>AND(Bills!U856,"AAAAACaNb94=")</f>
        <v>#VALUE!</v>
      </c>
      <c r="HP202" t="e">
        <f>AND(Bills!V856,"AAAAACaNb98=")</f>
        <v>#VALUE!</v>
      </c>
      <c r="HQ202" t="e">
        <f>AND(Bills!W856,"AAAAACaNb+A=")</f>
        <v>#VALUE!</v>
      </c>
      <c r="HR202" t="e">
        <f>AND(Bills!#REF!,"AAAAACaNb+E=")</f>
        <v>#REF!</v>
      </c>
      <c r="HS202" t="e">
        <f>AND(Bills!#REF!,"AAAAACaNb+I=")</f>
        <v>#REF!</v>
      </c>
      <c r="HT202" t="e">
        <f>AND(Bills!Y856,"AAAAACaNb+M=")</f>
        <v>#VALUE!</v>
      </c>
      <c r="HU202" t="e">
        <f>AND(Bills!Z856,"AAAAACaNb+Q=")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AND(Bills!AA856,"AAAAACaNb+4=")</f>
        <v>#VALUE!</v>
      </c>
      <c r="IF202" t="e">
        <f>AND(Bills!AB856,"AAAAACaNb+8=")</f>
        <v>#VALUE!</v>
      </c>
      <c r="IG202" t="e">
        <f>AND(Bills!#REF!,"AAAAACaNb/A=")</f>
        <v>#REF!</v>
      </c>
      <c r="IH202" t="e">
        <f>AND(Bills!#REF!,"AAAAACaNb/E=")</f>
        <v>#REF!</v>
      </c>
      <c r="II202" t="e">
        <f>AND(Bills!#REF!,"AAAAACaNb/I=")</f>
        <v>#REF!</v>
      </c>
      <c r="IJ202" t="e">
        <f>AND(Bills!AC856,"AAAAACaNb/M=")</f>
        <v>#VALUE!</v>
      </c>
      <c r="IK202" t="e">
        <f>AND(Bills!AD856,"AAAAACaNb/Q=")</f>
        <v>#VALUE!</v>
      </c>
      <c r="IL202" t="e">
        <f>AND(Bills!#REF!,"AAAAACaNb/U=")</f>
        <v>#REF!</v>
      </c>
      <c r="IM202">
        <f>IF(Bills!857:857,"AAAAACaNb/Y=",0)</f>
        <v>0</v>
      </c>
      <c r="IN202" t="e">
        <f>AND(Bills!B857,"AAAAACaNb/c=")</f>
        <v>#VALUE!</v>
      </c>
      <c r="IO202" t="e">
        <f>AND(Bills!#REF!,"AAAAACaNb/g=")</f>
        <v>#REF!</v>
      </c>
      <c r="IP202" t="e">
        <f>AND(Bills!C857,"AAAAACaNb/k=")</f>
        <v>#VALUE!</v>
      </c>
      <c r="IQ202" t="e">
        <f>AND(Bills!D857,"AAAAACaNb/o=")</f>
        <v>#VALUE!</v>
      </c>
      <c r="IR202" t="e">
        <f>AND(Bills!E857,"AAAAACaNb/s=")</f>
        <v>#VALUE!</v>
      </c>
      <c r="IS202" t="e">
        <f>AND(Bills!#REF!,"AAAAACaNb/w=")</f>
        <v>#REF!</v>
      </c>
      <c r="IT202" t="e">
        <f>AND(Bills!#REF!,"AAAAACaNb/0=")</f>
        <v>#REF!</v>
      </c>
      <c r="IU202" t="e">
        <f>AND(Bills!#REF!,"AAAAACaNb/4=")</f>
        <v>#REF!</v>
      </c>
      <c r="IV202" t="e">
        <f>AND(Bills!F857,"AAAAACaNb/8=")</f>
        <v>#VALUE!</v>
      </c>
    </row>
    <row r="203" spans="1:256">
      <c r="A203" t="e">
        <f>AND(Bills!#REF!,"AAAAAHuXnwA=")</f>
        <v>#REF!</v>
      </c>
      <c r="B203" t="e">
        <f>AND(Bills!G857,"AAAAAHuXnwE=")</f>
        <v>#VALUE!</v>
      </c>
      <c r="C203" t="e">
        <f>AND(Bills!H857,"AAAAAHuXnwI=")</f>
        <v>#VALUE!</v>
      </c>
      <c r="D203" t="e">
        <f>AND(Bills!I857,"AAAAAHuXnwM=")</f>
        <v>#VALUE!</v>
      </c>
      <c r="E203" t="e">
        <f>AND(Bills!J857,"AAAAAHuXnwQ=")</f>
        <v>#VALUE!</v>
      </c>
      <c r="F203" t="e">
        <f>AND(Bills!K857,"AAAAAHuXnwU=")</f>
        <v>#VALUE!</v>
      </c>
      <c r="G203" t="e">
        <f>AND(Bills!L857,"AAAAAHuXnwY=")</f>
        <v>#VALUE!</v>
      </c>
      <c r="H203" t="e">
        <f>AND(Bills!#REF!,"AAAAAHuXnwc=")</f>
        <v>#REF!</v>
      </c>
      <c r="I203" t="e">
        <f>AND(Bills!M857,"AAAAAHuXnwg=")</f>
        <v>#VALUE!</v>
      </c>
      <c r="J203" t="e">
        <f>AND(Bills!N857,"AAAAAHuXnwk=")</f>
        <v>#VALUE!</v>
      </c>
      <c r="K203" t="e">
        <f>AND(Bills!O857,"AAAAAHuXnwo=")</f>
        <v>#VALUE!</v>
      </c>
      <c r="L203" t="e">
        <f>AND(Bills!P857,"AAAAAHuXnws=")</f>
        <v>#VALUE!</v>
      </c>
      <c r="M203" t="e">
        <f>AND(Bills!Q857,"AAAAAHuXnww=")</f>
        <v>#VALUE!</v>
      </c>
      <c r="N203" t="e">
        <f>AND(Bills!R857,"AAAAAHuXnw0=")</f>
        <v>#VALUE!</v>
      </c>
      <c r="O203" t="e">
        <f>AND(Bills!S857,"AAAAAHuXnw4=")</f>
        <v>#VALUE!</v>
      </c>
      <c r="P203" t="e">
        <f>AND(Bills!T857,"AAAAAHuXnw8=")</f>
        <v>#VALUE!</v>
      </c>
      <c r="Q203" t="e">
        <f>AND(Bills!#REF!,"AAAAAHuXnxA=")</f>
        <v>#REF!</v>
      </c>
      <c r="R203" t="e">
        <f>AND(Bills!U857,"AAAAAHuXnxE=")</f>
        <v>#VALUE!</v>
      </c>
      <c r="S203" t="e">
        <f>AND(Bills!V857,"AAAAAHuXnxI=")</f>
        <v>#VALUE!</v>
      </c>
      <c r="T203" t="e">
        <f>AND(Bills!W857,"AAAAAHuXnxM=")</f>
        <v>#VALUE!</v>
      </c>
      <c r="U203" t="e">
        <f>AND(Bills!#REF!,"AAAAAHuXnxQ=")</f>
        <v>#REF!</v>
      </c>
      <c r="V203" t="e">
        <f>AND(Bills!#REF!,"AAAAAHuXnxU=")</f>
        <v>#REF!</v>
      </c>
      <c r="W203" t="e">
        <f>AND(Bills!Y857,"AAAAAHuXnxY=")</f>
        <v>#VALUE!</v>
      </c>
      <c r="X203" t="e">
        <f>AND(Bills!Z857,"AAAAAHuXnxc=")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AND(Bills!AA857,"AAAAAHuXnyE=")</f>
        <v>#VALUE!</v>
      </c>
      <c r="AI203" t="e">
        <f>AND(Bills!AB857,"AAAAAHuXnyI=")</f>
        <v>#VALUE!</v>
      </c>
      <c r="AJ203" t="e">
        <f>AND(Bills!#REF!,"AAAAAHuXnyM=")</f>
        <v>#REF!</v>
      </c>
      <c r="AK203" t="e">
        <f>AND(Bills!#REF!,"AAAAAHuXnyQ=")</f>
        <v>#REF!</v>
      </c>
      <c r="AL203" t="e">
        <f>AND(Bills!#REF!,"AAAAAHuXnyU=")</f>
        <v>#REF!</v>
      </c>
      <c r="AM203" t="e">
        <f>AND(Bills!AC857,"AAAAAHuXnyY=")</f>
        <v>#VALUE!</v>
      </c>
      <c r="AN203" t="e">
        <f>AND(Bills!AD857,"AAAAAHuXnyc=")</f>
        <v>#VALUE!</v>
      </c>
      <c r="AO203" t="e">
        <f>AND(Bills!#REF!,"AAAAAHuXnyg=")</f>
        <v>#REF!</v>
      </c>
      <c r="AP203">
        <f>IF(Bills!858:858,"AAAAAHuXnyk=",0)</f>
        <v>0</v>
      </c>
      <c r="AQ203" t="e">
        <f>AND(Bills!B858,"AAAAAHuXnyo=")</f>
        <v>#VALUE!</v>
      </c>
      <c r="AR203" t="e">
        <f>AND(Bills!#REF!,"AAAAAHuXnys=")</f>
        <v>#REF!</v>
      </c>
      <c r="AS203" t="e">
        <f>AND(Bills!C858,"AAAAAHuXnyw=")</f>
        <v>#VALUE!</v>
      </c>
      <c r="AT203" t="e">
        <f>AND(Bills!D858,"AAAAAHuXny0=")</f>
        <v>#VALUE!</v>
      </c>
      <c r="AU203" t="e">
        <f>AND(Bills!E858,"AAAAAHuXny4=")</f>
        <v>#VALUE!</v>
      </c>
      <c r="AV203" t="e">
        <f>AND(Bills!#REF!,"AAAAAHuXny8=")</f>
        <v>#REF!</v>
      </c>
      <c r="AW203" t="e">
        <f>AND(Bills!#REF!,"AAAAAHuXnzA=")</f>
        <v>#REF!</v>
      </c>
      <c r="AX203" t="e">
        <f>AND(Bills!#REF!,"AAAAAHuXnzE=")</f>
        <v>#REF!</v>
      </c>
      <c r="AY203" t="e">
        <f>AND(Bills!F858,"AAAAAHuXnzI=")</f>
        <v>#VALUE!</v>
      </c>
      <c r="AZ203" t="e">
        <f>AND(Bills!#REF!,"AAAAAHuXnzM=")</f>
        <v>#REF!</v>
      </c>
      <c r="BA203" t="e">
        <f>AND(Bills!G858,"AAAAAHuXnzQ=")</f>
        <v>#VALUE!</v>
      </c>
      <c r="BB203" t="e">
        <f>AND(Bills!H858,"AAAAAHuXnzU=")</f>
        <v>#VALUE!</v>
      </c>
      <c r="BC203" t="e">
        <f>AND(Bills!I858,"AAAAAHuXnzY=")</f>
        <v>#VALUE!</v>
      </c>
      <c r="BD203" t="e">
        <f>AND(Bills!J858,"AAAAAHuXnzc=")</f>
        <v>#VALUE!</v>
      </c>
      <c r="BE203" t="e">
        <f>AND(Bills!K858,"AAAAAHuXnzg=")</f>
        <v>#VALUE!</v>
      </c>
      <c r="BF203" t="e">
        <f>AND(Bills!L858,"AAAAAHuXnzk=")</f>
        <v>#VALUE!</v>
      </c>
      <c r="BG203" t="e">
        <f>AND(Bills!#REF!,"AAAAAHuXnzo=")</f>
        <v>#REF!</v>
      </c>
      <c r="BH203" t="e">
        <f>AND(Bills!M858,"AAAAAHuXnzs=")</f>
        <v>#VALUE!</v>
      </c>
      <c r="BI203" t="e">
        <f>AND(Bills!N858,"AAAAAHuXnzw=")</f>
        <v>#VALUE!</v>
      </c>
      <c r="BJ203" t="e">
        <f>AND(Bills!O858,"AAAAAHuXnz0=")</f>
        <v>#VALUE!</v>
      </c>
      <c r="BK203" t="e">
        <f>AND(Bills!P858,"AAAAAHuXnz4=")</f>
        <v>#VALUE!</v>
      </c>
      <c r="BL203" t="e">
        <f>AND(Bills!Q858,"AAAAAHuXnz8=")</f>
        <v>#VALUE!</v>
      </c>
      <c r="BM203" t="e">
        <f>AND(Bills!R858,"AAAAAHuXn0A=")</f>
        <v>#VALUE!</v>
      </c>
      <c r="BN203" t="e">
        <f>AND(Bills!S858,"AAAAAHuXn0E=")</f>
        <v>#VALUE!</v>
      </c>
      <c r="BO203" t="e">
        <f>AND(Bills!T858,"AAAAAHuXn0I=")</f>
        <v>#VALUE!</v>
      </c>
      <c r="BP203" t="e">
        <f>AND(Bills!#REF!,"AAAAAHuXn0M=")</f>
        <v>#REF!</v>
      </c>
      <c r="BQ203" t="e">
        <f>AND(Bills!U858,"AAAAAHuXn0Q=")</f>
        <v>#VALUE!</v>
      </c>
      <c r="BR203" t="e">
        <f>AND(Bills!V858,"AAAAAHuXn0U=")</f>
        <v>#VALUE!</v>
      </c>
      <c r="BS203" t="e">
        <f>AND(Bills!W858,"AAAAAHuXn0Y=")</f>
        <v>#VALUE!</v>
      </c>
      <c r="BT203" t="e">
        <f>AND(Bills!#REF!,"AAAAAHuXn0c=")</f>
        <v>#REF!</v>
      </c>
      <c r="BU203" t="e">
        <f>AND(Bills!#REF!,"AAAAAHuXn0g=")</f>
        <v>#REF!</v>
      </c>
      <c r="BV203" t="e">
        <f>AND(Bills!Y858,"AAAAAHuXn0k=")</f>
        <v>#VALUE!</v>
      </c>
      <c r="BW203" t="e">
        <f>AND(Bills!Z858,"AAAAAHuXn0o=")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AND(Bills!AA858,"AAAAAHuXn1Q=")</f>
        <v>#VALUE!</v>
      </c>
      <c r="CH203" t="e">
        <f>AND(Bills!AB858,"AAAAAHuXn1U=")</f>
        <v>#VALUE!</v>
      </c>
      <c r="CI203" t="e">
        <f>AND(Bills!#REF!,"AAAAAHuXn1Y=")</f>
        <v>#REF!</v>
      </c>
      <c r="CJ203" t="e">
        <f>AND(Bills!#REF!,"AAAAAHuXn1c=")</f>
        <v>#REF!</v>
      </c>
      <c r="CK203" t="e">
        <f>AND(Bills!#REF!,"AAAAAHuXn1g=")</f>
        <v>#REF!</v>
      </c>
      <c r="CL203" t="e">
        <f>AND(Bills!AC858,"AAAAAHuXn1k=")</f>
        <v>#VALUE!</v>
      </c>
      <c r="CM203" t="e">
        <f>AND(Bills!AD858,"AAAAAHuXn1o=")</f>
        <v>#VALUE!</v>
      </c>
      <c r="CN203" t="e">
        <f>AND(Bills!#REF!,"AAAAAHuXn1s=")</f>
        <v>#REF!</v>
      </c>
      <c r="CO203">
        <f>IF(Bills!859:859,"AAAAAHuXn1w=",0)</f>
        <v>0</v>
      </c>
      <c r="CP203" t="e">
        <f>AND(Bills!B859,"AAAAAHuXn10=")</f>
        <v>#VALUE!</v>
      </c>
      <c r="CQ203" t="e">
        <f>AND(Bills!#REF!,"AAAAAHuXn14=")</f>
        <v>#REF!</v>
      </c>
      <c r="CR203" t="e">
        <f>AND(Bills!C859,"AAAAAHuXn18=")</f>
        <v>#VALUE!</v>
      </c>
      <c r="CS203" t="e">
        <f>AND(Bills!D859,"AAAAAHuXn2A=")</f>
        <v>#VALUE!</v>
      </c>
      <c r="CT203" t="e">
        <f>AND(Bills!E859,"AAAAAHuXn2E=")</f>
        <v>#VALUE!</v>
      </c>
      <c r="CU203" t="e">
        <f>AND(Bills!#REF!,"AAAAAHuXn2I=")</f>
        <v>#REF!</v>
      </c>
      <c r="CV203" t="e">
        <f>AND(Bills!#REF!,"AAAAAHuXn2M=")</f>
        <v>#REF!</v>
      </c>
      <c r="CW203" t="e">
        <f>AND(Bills!#REF!,"AAAAAHuXn2Q=")</f>
        <v>#REF!</v>
      </c>
      <c r="CX203" t="e">
        <f>AND(Bills!F859,"AAAAAHuXn2U=")</f>
        <v>#VALUE!</v>
      </c>
      <c r="CY203" t="e">
        <f>AND(Bills!#REF!,"AAAAAHuXn2Y=")</f>
        <v>#REF!</v>
      </c>
      <c r="CZ203" t="e">
        <f>AND(Bills!G859,"AAAAAHuXn2c=")</f>
        <v>#VALUE!</v>
      </c>
      <c r="DA203" t="e">
        <f>AND(Bills!H859,"AAAAAHuXn2g=")</f>
        <v>#VALUE!</v>
      </c>
      <c r="DB203" t="e">
        <f>AND(Bills!I859,"AAAAAHuXn2k=")</f>
        <v>#VALUE!</v>
      </c>
      <c r="DC203" t="e">
        <f>AND(Bills!J859,"AAAAAHuXn2o=")</f>
        <v>#VALUE!</v>
      </c>
      <c r="DD203" t="e">
        <f>AND(Bills!K859,"AAAAAHuXn2s=")</f>
        <v>#VALUE!</v>
      </c>
      <c r="DE203" t="e">
        <f>AND(Bills!L859,"AAAAAHuXn2w=")</f>
        <v>#VALUE!</v>
      </c>
      <c r="DF203" t="e">
        <f>AND(Bills!#REF!,"AAAAAHuXn20=")</f>
        <v>#REF!</v>
      </c>
      <c r="DG203" t="e">
        <f>AND(Bills!M859,"AAAAAHuXn24=")</f>
        <v>#VALUE!</v>
      </c>
      <c r="DH203" t="e">
        <f>AND(Bills!N859,"AAAAAHuXn28=")</f>
        <v>#VALUE!</v>
      </c>
      <c r="DI203" t="e">
        <f>AND(Bills!O859,"AAAAAHuXn3A=")</f>
        <v>#VALUE!</v>
      </c>
      <c r="DJ203" t="e">
        <f>AND(Bills!P859,"AAAAAHuXn3E=")</f>
        <v>#VALUE!</v>
      </c>
      <c r="DK203" t="e">
        <f>AND(Bills!Q859,"AAAAAHuXn3I=")</f>
        <v>#VALUE!</v>
      </c>
      <c r="DL203" t="e">
        <f>AND(Bills!R859,"AAAAAHuXn3M=")</f>
        <v>#VALUE!</v>
      </c>
      <c r="DM203" t="e">
        <f>AND(Bills!S859,"AAAAAHuXn3Q=")</f>
        <v>#VALUE!</v>
      </c>
      <c r="DN203" t="e">
        <f>AND(Bills!T859,"AAAAAHuXn3U=")</f>
        <v>#VALUE!</v>
      </c>
      <c r="DO203" t="e">
        <f>AND(Bills!#REF!,"AAAAAHuXn3Y=")</f>
        <v>#REF!</v>
      </c>
      <c r="DP203" t="e">
        <f>AND(Bills!U859,"AAAAAHuXn3c=")</f>
        <v>#VALUE!</v>
      </c>
      <c r="DQ203" t="e">
        <f>AND(Bills!V859,"AAAAAHuXn3g=")</f>
        <v>#VALUE!</v>
      </c>
      <c r="DR203" t="e">
        <f>AND(Bills!W859,"AAAAAHuXn3k=")</f>
        <v>#VALUE!</v>
      </c>
      <c r="DS203" t="e">
        <f>AND(Bills!#REF!,"AAAAAHuXn3o=")</f>
        <v>#REF!</v>
      </c>
      <c r="DT203" t="e">
        <f>AND(Bills!#REF!,"AAAAAHuXn3s=")</f>
        <v>#REF!</v>
      </c>
      <c r="DU203" t="e">
        <f>AND(Bills!Y859,"AAAAAHuXn3w=")</f>
        <v>#VALUE!</v>
      </c>
      <c r="DV203" t="e">
        <f>AND(Bills!Z859,"AAAAAHuXn30=")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AND(Bills!AA859,"AAAAAHuXn4c=")</f>
        <v>#VALUE!</v>
      </c>
      <c r="EG203" t="e">
        <f>AND(Bills!AB859,"AAAAAHuXn4g=")</f>
        <v>#VALUE!</v>
      </c>
      <c r="EH203" t="e">
        <f>AND(Bills!#REF!,"AAAAAHuXn4k=")</f>
        <v>#REF!</v>
      </c>
      <c r="EI203" t="e">
        <f>AND(Bills!#REF!,"AAAAAHuXn4o=")</f>
        <v>#REF!</v>
      </c>
      <c r="EJ203" t="e">
        <f>AND(Bills!#REF!,"AAAAAHuXn4s=")</f>
        <v>#REF!</v>
      </c>
      <c r="EK203" t="e">
        <f>AND(Bills!AC859,"AAAAAHuXn4w=")</f>
        <v>#VALUE!</v>
      </c>
      <c r="EL203" t="e">
        <f>AND(Bills!AD859,"AAAAAHuXn40=")</f>
        <v>#VALUE!</v>
      </c>
      <c r="EM203" t="e">
        <f>AND(Bills!#REF!,"AAAAAHuXn44=")</f>
        <v>#REF!</v>
      </c>
      <c r="EN203">
        <f>IF(Bills!860:860,"AAAAAHuXn48=",0)</f>
        <v>0</v>
      </c>
      <c r="EO203" t="e">
        <f>AND(Bills!B860,"AAAAAHuXn5A=")</f>
        <v>#VALUE!</v>
      </c>
      <c r="EP203" t="e">
        <f>AND(Bills!#REF!,"AAAAAHuXn5E=")</f>
        <v>#REF!</v>
      </c>
      <c r="EQ203" t="e">
        <f>AND(Bills!C860,"AAAAAHuXn5I=")</f>
        <v>#VALUE!</v>
      </c>
      <c r="ER203" t="e">
        <f>AND(Bills!D860,"AAAAAHuXn5M=")</f>
        <v>#VALUE!</v>
      </c>
      <c r="ES203" t="e">
        <f>AND(Bills!E860,"AAAAAHuXn5Q=")</f>
        <v>#VALUE!</v>
      </c>
      <c r="ET203" t="e">
        <f>AND(Bills!#REF!,"AAAAAHuXn5U=")</f>
        <v>#REF!</v>
      </c>
      <c r="EU203" t="e">
        <f>AND(Bills!#REF!,"AAAAAHuXn5Y=")</f>
        <v>#REF!</v>
      </c>
      <c r="EV203" t="e">
        <f>AND(Bills!#REF!,"AAAAAHuXn5c=")</f>
        <v>#REF!</v>
      </c>
      <c r="EW203" t="e">
        <f>AND(Bills!F860,"AAAAAHuXn5g=")</f>
        <v>#VALUE!</v>
      </c>
      <c r="EX203" t="e">
        <f>AND(Bills!#REF!,"AAAAAHuXn5k=")</f>
        <v>#REF!</v>
      </c>
      <c r="EY203" t="e">
        <f>AND(Bills!G860,"AAAAAHuXn5o=")</f>
        <v>#VALUE!</v>
      </c>
      <c r="EZ203" t="e">
        <f>AND(Bills!H860,"AAAAAHuXn5s=")</f>
        <v>#VALUE!</v>
      </c>
      <c r="FA203" t="e">
        <f>AND(Bills!I860,"AAAAAHuXn5w=")</f>
        <v>#VALUE!</v>
      </c>
      <c r="FB203" t="e">
        <f>AND(Bills!J860,"AAAAAHuXn50=")</f>
        <v>#VALUE!</v>
      </c>
      <c r="FC203" t="e">
        <f>AND(Bills!K860,"AAAAAHuXn54=")</f>
        <v>#VALUE!</v>
      </c>
      <c r="FD203" t="e">
        <f>AND(Bills!L860,"AAAAAHuXn58=")</f>
        <v>#VALUE!</v>
      </c>
      <c r="FE203" t="e">
        <f>AND(Bills!#REF!,"AAAAAHuXn6A=")</f>
        <v>#REF!</v>
      </c>
      <c r="FF203" t="e">
        <f>AND(Bills!M860,"AAAAAHuXn6E=")</f>
        <v>#VALUE!</v>
      </c>
      <c r="FG203" t="e">
        <f>AND(Bills!N860,"AAAAAHuXn6I=")</f>
        <v>#VALUE!</v>
      </c>
      <c r="FH203" t="e">
        <f>AND(Bills!O860,"AAAAAHuXn6M=")</f>
        <v>#VALUE!</v>
      </c>
      <c r="FI203" t="e">
        <f>AND(Bills!P860,"AAAAAHuXn6Q=")</f>
        <v>#VALUE!</v>
      </c>
      <c r="FJ203" t="e">
        <f>AND(Bills!Q860,"AAAAAHuXn6U=")</f>
        <v>#VALUE!</v>
      </c>
      <c r="FK203" t="e">
        <f>AND(Bills!R860,"AAAAAHuXn6Y=")</f>
        <v>#VALUE!</v>
      </c>
      <c r="FL203" t="e">
        <f>AND(Bills!S860,"AAAAAHuXn6c=")</f>
        <v>#VALUE!</v>
      </c>
      <c r="FM203" t="e">
        <f>AND(Bills!T860,"AAAAAHuXn6g=")</f>
        <v>#VALUE!</v>
      </c>
      <c r="FN203" t="e">
        <f>AND(Bills!#REF!,"AAAAAHuXn6k=")</f>
        <v>#REF!</v>
      </c>
      <c r="FO203" t="e">
        <f>AND(Bills!U860,"AAAAAHuXn6o=")</f>
        <v>#VALUE!</v>
      </c>
      <c r="FP203" t="e">
        <f>AND(Bills!V860,"AAAAAHuXn6s=")</f>
        <v>#VALUE!</v>
      </c>
      <c r="FQ203" t="e">
        <f>AND(Bills!W860,"AAAAAHuXn6w=")</f>
        <v>#VALUE!</v>
      </c>
      <c r="FR203" t="e">
        <f>AND(Bills!#REF!,"AAAAAHuXn60=")</f>
        <v>#REF!</v>
      </c>
      <c r="FS203" t="e">
        <f>AND(Bills!#REF!,"AAAAAHuXn64=")</f>
        <v>#REF!</v>
      </c>
      <c r="FT203" t="e">
        <f>AND(Bills!Y860,"AAAAAHuXn68=")</f>
        <v>#VALUE!</v>
      </c>
      <c r="FU203" t="e">
        <f>AND(Bills!Z860,"AAAAAHuXn7A=")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AND(Bills!AA860,"AAAAAHuXn7o=")</f>
        <v>#VALUE!</v>
      </c>
      <c r="GF203" t="e">
        <f>AND(Bills!AB860,"AAAAAHuXn7s=")</f>
        <v>#VALUE!</v>
      </c>
      <c r="GG203" t="e">
        <f>AND(Bills!#REF!,"AAAAAHuXn7w=")</f>
        <v>#REF!</v>
      </c>
      <c r="GH203" t="e">
        <f>AND(Bills!#REF!,"AAAAAHuXn70=")</f>
        <v>#REF!</v>
      </c>
      <c r="GI203" t="e">
        <f>AND(Bills!#REF!,"AAAAAHuXn74=")</f>
        <v>#REF!</v>
      </c>
      <c r="GJ203" t="e">
        <f>AND(Bills!AC860,"AAAAAHuXn78=")</f>
        <v>#VALUE!</v>
      </c>
      <c r="GK203" t="e">
        <f>AND(Bills!AD860,"AAAAAHuXn8A=")</f>
        <v>#VALUE!</v>
      </c>
      <c r="GL203" t="e">
        <f>AND(Bills!#REF!,"AAAAAHuXn8E=")</f>
        <v>#REF!</v>
      </c>
      <c r="GM203">
        <f>IF(Bills!861:861,"AAAAAHuXn8I=",0)</f>
        <v>0</v>
      </c>
      <c r="GN203" t="e">
        <f>AND(Bills!B861,"AAAAAHuXn8M=")</f>
        <v>#VALUE!</v>
      </c>
      <c r="GO203" t="e">
        <f>AND(Bills!#REF!,"AAAAAHuXn8Q=")</f>
        <v>#REF!</v>
      </c>
      <c r="GP203" t="e">
        <f>AND(Bills!C861,"AAAAAHuXn8U=")</f>
        <v>#VALUE!</v>
      </c>
      <c r="GQ203" t="e">
        <f>AND(Bills!D861,"AAAAAHuXn8Y=")</f>
        <v>#VALUE!</v>
      </c>
      <c r="GR203" t="e">
        <f>AND(Bills!E861,"AAAAAHuXn8c=")</f>
        <v>#VALUE!</v>
      </c>
      <c r="GS203" t="e">
        <f>AND(Bills!#REF!,"AAAAAHuXn8g=")</f>
        <v>#REF!</v>
      </c>
      <c r="GT203" t="e">
        <f>AND(Bills!#REF!,"AAAAAHuXn8k=")</f>
        <v>#REF!</v>
      </c>
      <c r="GU203" t="e">
        <f>AND(Bills!#REF!,"AAAAAHuXn8o=")</f>
        <v>#REF!</v>
      </c>
      <c r="GV203" t="e">
        <f>AND(Bills!F861,"AAAAAHuXn8s=")</f>
        <v>#VALUE!</v>
      </c>
      <c r="GW203" t="e">
        <f>AND(Bills!#REF!,"AAAAAHuXn8w=")</f>
        <v>#REF!</v>
      </c>
      <c r="GX203" t="e">
        <f>AND(Bills!G861,"AAAAAHuXn80=")</f>
        <v>#VALUE!</v>
      </c>
      <c r="GY203" t="e">
        <f>AND(Bills!H861,"AAAAAHuXn84=")</f>
        <v>#VALUE!</v>
      </c>
      <c r="GZ203" t="e">
        <f>AND(Bills!I861,"AAAAAHuXn88=")</f>
        <v>#VALUE!</v>
      </c>
      <c r="HA203" t="e">
        <f>AND(Bills!J861,"AAAAAHuXn9A=")</f>
        <v>#VALUE!</v>
      </c>
      <c r="HB203" t="e">
        <f>AND(Bills!K861,"AAAAAHuXn9E=")</f>
        <v>#VALUE!</v>
      </c>
      <c r="HC203" t="e">
        <f>AND(Bills!L861,"AAAAAHuXn9I=")</f>
        <v>#VALUE!</v>
      </c>
      <c r="HD203" t="e">
        <f>AND(Bills!#REF!,"AAAAAHuXn9M=")</f>
        <v>#REF!</v>
      </c>
      <c r="HE203" t="e">
        <f>AND(Bills!M861,"AAAAAHuXn9Q=")</f>
        <v>#VALUE!</v>
      </c>
      <c r="HF203" t="e">
        <f>AND(Bills!N861,"AAAAAHuXn9U=")</f>
        <v>#VALUE!</v>
      </c>
      <c r="HG203" t="e">
        <f>AND(Bills!O861,"AAAAAHuXn9Y=")</f>
        <v>#VALUE!</v>
      </c>
      <c r="HH203" t="e">
        <f>AND(Bills!P861,"AAAAAHuXn9c=")</f>
        <v>#VALUE!</v>
      </c>
      <c r="HI203" t="e">
        <f>AND(Bills!Q861,"AAAAAHuXn9g=")</f>
        <v>#VALUE!</v>
      </c>
      <c r="HJ203" t="e">
        <f>AND(Bills!R861,"AAAAAHuXn9k=")</f>
        <v>#VALUE!</v>
      </c>
      <c r="HK203" t="e">
        <f>AND(Bills!S861,"AAAAAHuXn9o=")</f>
        <v>#VALUE!</v>
      </c>
      <c r="HL203" t="e">
        <f>AND(Bills!T861,"AAAAAHuXn9s=")</f>
        <v>#VALUE!</v>
      </c>
      <c r="HM203" t="e">
        <f>AND(Bills!#REF!,"AAAAAHuXn9w=")</f>
        <v>#REF!</v>
      </c>
      <c r="HN203" t="e">
        <f>AND(Bills!U861,"AAAAAHuXn90=")</f>
        <v>#VALUE!</v>
      </c>
      <c r="HO203" t="e">
        <f>AND(Bills!V861,"AAAAAHuXn94=")</f>
        <v>#VALUE!</v>
      </c>
      <c r="HP203" t="e">
        <f>AND(Bills!W861,"AAAAAHuXn98=")</f>
        <v>#VALUE!</v>
      </c>
      <c r="HQ203" t="e">
        <f>AND(Bills!#REF!,"AAAAAHuXn+A=")</f>
        <v>#REF!</v>
      </c>
      <c r="HR203" t="e">
        <f>AND(Bills!#REF!,"AAAAAHuXn+E=")</f>
        <v>#REF!</v>
      </c>
      <c r="HS203" t="e">
        <f>AND(Bills!Y861,"AAAAAHuXn+I=")</f>
        <v>#VALUE!</v>
      </c>
      <c r="HT203" t="e">
        <f>AND(Bills!Z861,"AAAAAHuXn+M=")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AND(Bills!AA861,"AAAAAHuXn+0=")</f>
        <v>#VALUE!</v>
      </c>
      <c r="IE203" t="e">
        <f>AND(Bills!AB861,"AAAAAHuXn+4=")</f>
        <v>#VALUE!</v>
      </c>
      <c r="IF203" t="e">
        <f>AND(Bills!#REF!,"AAAAAHuXn+8=")</f>
        <v>#REF!</v>
      </c>
      <c r="IG203" t="e">
        <f>AND(Bills!#REF!,"AAAAAHuXn/A=")</f>
        <v>#REF!</v>
      </c>
      <c r="IH203" t="e">
        <f>AND(Bills!#REF!,"AAAAAHuXn/E=")</f>
        <v>#REF!</v>
      </c>
      <c r="II203" t="e">
        <f>AND(Bills!AC861,"AAAAAHuXn/I=")</f>
        <v>#VALUE!</v>
      </c>
      <c r="IJ203" t="e">
        <f>AND(Bills!AD861,"AAAAAHuXn/M=")</f>
        <v>#VALUE!</v>
      </c>
      <c r="IK203" t="e">
        <f>AND(Bills!#REF!,"AAAAAHuXn/Q=")</f>
        <v>#REF!</v>
      </c>
      <c r="IL203">
        <f>IF(Bills!862:862,"AAAAAHuXn/U=",0)</f>
        <v>0</v>
      </c>
      <c r="IM203" t="e">
        <f>AND(Bills!B862,"AAAAAHuXn/Y=")</f>
        <v>#VALUE!</v>
      </c>
      <c r="IN203" t="e">
        <f>AND(Bills!#REF!,"AAAAAHuXn/c=")</f>
        <v>#REF!</v>
      </c>
      <c r="IO203" t="e">
        <f>AND(Bills!C862,"AAAAAHuXn/g=")</f>
        <v>#VALUE!</v>
      </c>
      <c r="IP203" t="e">
        <f>AND(Bills!D862,"AAAAAHuXn/k=")</f>
        <v>#VALUE!</v>
      </c>
      <c r="IQ203" t="e">
        <f>AND(Bills!E862,"AAAAAHuXn/o=")</f>
        <v>#VALUE!</v>
      </c>
      <c r="IR203" t="e">
        <f>AND(Bills!#REF!,"AAAAAHuXn/s=")</f>
        <v>#REF!</v>
      </c>
      <c r="IS203" t="e">
        <f>AND(Bills!#REF!,"AAAAAHuXn/w=")</f>
        <v>#REF!</v>
      </c>
      <c r="IT203" t="e">
        <f>AND(Bills!#REF!,"AAAAAHuXn/0=")</f>
        <v>#REF!</v>
      </c>
      <c r="IU203" t="e">
        <f>AND(Bills!F862,"AAAAAHuXn/4=")</f>
        <v>#VALUE!</v>
      </c>
      <c r="IV203" t="e">
        <f>AND(Bills!#REF!,"AAAAAHuXn/8=")</f>
        <v>#REF!</v>
      </c>
    </row>
    <row r="204" spans="1:256">
      <c r="A204" t="e">
        <f>AND(Bills!G862,"AAAAAHm29wA=")</f>
        <v>#VALUE!</v>
      </c>
      <c r="B204" t="e">
        <f>AND(Bills!H862,"AAAAAHm29wE=")</f>
        <v>#VALUE!</v>
      </c>
      <c r="C204" t="e">
        <f>AND(Bills!I862,"AAAAAHm29wI=")</f>
        <v>#VALUE!</v>
      </c>
      <c r="D204" t="e">
        <f>AND(Bills!J862,"AAAAAHm29wM=")</f>
        <v>#VALUE!</v>
      </c>
      <c r="E204" t="e">
        <f>AND(Bills!K862,"AAAAAHm29wQ=")</f>
        <v>#VALUE!</v>
      </c>
      <c r="F204" t="e">
        <f>AND(Bills!L862,"AAAAAHm29wU=")</f>
        <v>#VALUE!</v>
      </c>
      <c r="G204" t="e">
        <f>AND(Bills!#REF!,"AAAAAHm29wY=")</f>
        <v>#REF!</v>
      </c>
      <c r="H204" t="e">
        <f>AND(Bills!M862,"AAAAAHm29wc=")</f>
        <v>#VALUE!</v>
      </c>
      <c r="I204" t="e">
        <f>AND(Bills!N862,"AAAAAHm29wg=")</f>
        <v>#VALUE!</v>
      </c>
      <c r="J204" t="e">
        <f>AND(Bills!O862,"AAAAAHm29wk=")</f>
        <v>#VALUE!</v>
      </c>
      <c r="K204" t="e">
        <f>AND(Bills!P862,"AAAAAHm29wo=")</f>
        <v>#VALUE!</v>
      </c>
      <c r="L204" t="e">
        <f>AND(Bills!Q862,"AAAAAHm29ws=")</f>
        <v>#VALUE!</v>
      </c>
      <c r="M204" t="e">
        <f>AND(Bills!R862,"AAAAAHm29ww=")</f>
        <v>#VALUE!</v>
      </c>
      <c r="N204" t="e">
        <f>AND(Bills!S862,"AAAAAHm29w0=")</f>
        <v>#VALUE!</v>
      </c>
      <c r="O204" t="e">
        <f>AND(Bills!T862,"AAAAAHm29w4=")</f>
        <v>#VALUE!</v>
      </c>
      <c r="P204" t="e">
        <f>AND(Bills!#REF!,"AAAAAHm29w8=")</f>
        <v>#REF!</v>
      </c>
      <c r="Q204" t="e">
        <f>AND(Bills!U862,"AAAAAHm29xA=")</f>
        <v>#VALUE!</v>
      </c>
      <c r="R204" t="e">
        <f>AND(Bills!V862,"AAAAAHm29xE=")</f>
        <v>#VALUE!</v>
      </c>
      <c r="S204" t="e">
        <f>AND(Bills!W862,"AAAAAHm29xI=")</f>
        <v>#VALUE!</v>
      </c>
      <c r="T204" t="e">
        <f>AND(Bills!#REF!,"AAAAAHm29xM=")</f>
        <v>#REF!</v>
      </c>
      <c r="U204" t="e">
        <f>AND(Bills!#REF!,"AAAAAHm29xQ=")</f>
        <v>#REF!</v>
      </c>
      <c r="V204" t="e">
        <f>AND(Bills!Y862,"AAAAAHm29xU=")</f>
        <v>#VALUE!</v>
      </c>
      <c r="W204" t="e">
        <f>AND(Bills!Z862,"AAAAAHm29xY=")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AND(Bills!AA862,"AAAAAHm29yA=")</f>
        <v>#VALUE!</v>
      </c>
      <c r="AH204" t="e">
        <f>AND(Bills!AB862,"AAAAAHm29yE=")</f>
        <v>#VALUE!</v>
      </c>
      <c r="AI204" t="e">
        <f>AND(Bills!#REF!,"AAAAAHm29yI=")</f>
        <v>#REF!</v>
      </c>
      <c r="AJ204" t="e">
        <f>AND(Bills!#REF!,"AAAAAHm29yM=")</f>
        <v>#REF!</v>
      </c>
      <c r="AK204" t="e">
        <f>AND(Bills!#REF!,"AAAAAHm29yQ=")</f>
        <v>#REF!</v>
      </c>
      <c r="AL204" t="e">
        <f>AND(Bills!AC862,"AAAAAHm29yU=")</f>
        <v>#VALUE!</v>
      </c>
      <c r="AM204" t="e">
        <f>AND(Bills!AD862,"AAAAAHm29yY=")</f>
        <v>#VALUE!</v>
      </c>
      <c r="AN204" t="e">
        <f>AND(Bills!#REF!,"AAAAAHm29yc=")</f>
        <v>#REF!</v>
      </c>
      <c r="AO204">
        <f>IF(Bills!863:863,"AAAAAHm29yg=",0)</f>
        <v>0</v>
      </c>
      <c r="AP204" t="e">
        <f>AND(Bills!B863,"AAAAAHm29yk=")</f>
        <v>#VALUE!</v>
      </c>
      <c r="AQ204" t="e">
        <f>AND(Bills!#REF!,"AAAAAHm29yo=")</f>
        <v>#REF!</v>
      </c>
      <c r="AR204" t="e">
        <f>AND(Bills!C863,"AAAAAHm29ys=")</f>
        <v>#VALUE!</v>
      </c>
      <c r="AS204" t="e">
        <f>AND(Bills!D863,"AAAAAHm29yw=")</f>
        <v>#VALUE!</v>
      </c>
      <c r="AT204" t="e">
        <f>AND(Bills!E863,"AAAAAHm29y0=")</f>
        <v>#VALUE!</v>
      </c>
      <c r="AU204" t="e">
        <f>AND(Bills!#REF!,"AAAAAHm29y4=")</f>
        <v>#REF!</v>
      </c>
      <c r="AV204" t="e">
        <f>AND(Bills!#REF!,"AAAAAHm29y8=")</f>
        <v>#REF!</v>
      </c>
      <c r="AW204" t="e">
        <f>AND(Bills!#REF!,"AAAAAHm29zA=")</f>
        <v>#REF!</v>
      </c>
      <c r="AX204" t="e">
        <f>AND(Bills!F863,"AAAAAHm29zE=")</f>
        <v>#VALUE!</v>
      </c>
      <c r="AY204" t="e">
        <f>AND(Bills!#REF!,"AAAAAHm29zI=")</f>
        <v>#REF!</v>
      </c>
      <c r="AZ204" t="e">
        <f>AND(Bills!G863,"AAAAAHm29zM=")</f>
        <v>#VALUE!</v>
      </c>
      <c r="BA204" t="e">
        <f>AND(Bills!H863,"AAAAAHm29zQ=")</f>
        <v>#VALUE!</v>
      </c>
      <c r="BB204" t="e">
        <f>AND(Bills!I863,"AAAAAHm29zU=")</f>
        <v>#VALUE!</v>
      </c>
      <c r="BC204" t="e">
        <f>AND(Bills!J863,"AAAAAHm29zY=")</f>
        <v>#VALUE!</v>
      </c>
      <c r="BD204" t="e">
        <f>AND(Bills!K863,"AAAAAHm29zc=")</f>
        <v>#VALUE!</v>
      </c>
      <c r="BE204" t="e">
        <f>AND(Bills!L863,"AAAAAHm29zg=")</f>
        <v>#VALUE!</v>
      </c>
      <c r="BF204" t="e">
        <f>AND(Bills!#REF!,"AAAAAHm29zk=")</f>
        <v>#REF!</v>
      </c>
      <c r="BG204" t="e">
        <f>AND(Bills!M863,"AAAAAHm29zo=")</f>
        <v>#VALUE!</v>
      </c>
      <c r="BH204" t="e">
        <f>AND(Bills!N863,"AAAAAHm29zs=")</f>
        <v>#VALUE!</v>
      </c>
      <c r="BI204" t="e">
        <f>AND(Bills!O863,"AAAAAHm29zw=")</f>
        <v>#VALUE!</v>
      </c>
      <c r="BJ204" t="e">
        <f>AND(Bills!P863,"AAAAAHm29z0=")</f>
        <v>#VALUE!</v>
      </c>
      <c r="BK204" t="e">
        <f>AND(Bills!Q863,"AAAAAHm29z4=")</f>
        <v>#VALUE!</v>
      </c>
      <c r="BL204" t="e">
        <f>AND(Bills!R863,"AAAAAHm29z8=")</f>
        <v>#VALUE!</v>
      </c>
      <c r="BM204" t="e">
        <f>AND(Bills!S863,"AAAAAHm290A=")</f>
        <v>#VALUE!</v>
      </c>
      <c r="BN204" t="e">
        <f>AND(Bills!T863,"AAAAAHm290E=")</f>
        <v>#VALUE!</v>
      </c>
      <c r="BO204" t="e">
        <f>AND(Bills!#REF!,"AAAAAHm290I=")</f>
        <v>#REF!</v>
      </c>
      <c r="BP204" t="e">
        <f>AND(Bills!U863,"AAAAAHm290M=")</f>
        <v>#VALUE!</v>
      </c>
      <c r="BQ204" t="e">
        <f>AND(Bills!V863,"AAAAAHm290Q=")</f>
        <v>#VALUE!</v>
      </c>
      <c r="BR204" t="e">
        <f>AND(Bills!W863,"AAAAAHm290U=")</f>
        <v>#VALUE!</v>
      </c>
      <c r="BS204" t="e">
        <f>AND(Bills!#REF!,"AAAAAHm290Y=")</f>
        <v>#REF!</v>
      </c>
      <c r="BT204" t="e">
        <f>AND(Bills!#REF!,"AAAAAHm290c=")</f>
        <v>#REF!</v>
      </c>
      <c r="BU204" t="e">
        <f>AND(Bills!Y863,"AAAAAHm290g=")</f>
        <v>#VALUE!</v>
      </c>
      <c r="BV204" t="e">
        <f>AND(Bills!Z863,"AAAAAHm290k=")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AND(Bills!AA863,"AAAAAHm291M=")</f>
        <v>#VALUE!</v>
      </c>
      <c r="CG204" t="e">
        <f>AND(Bills!AB863,"AAAAAHm291Q=")</f>
        <v>#VALUE!</v>
      </c>
      <c r="CH204" t="e">
        <f>AND(Bills!#REF!,"AAAAAHm291U=")</f>
        <v>#REF!</v>
      </c>
      <c r="CI204" t="e">
        <f>AND(Bills!#REF!,"AAAAAHm291Y=")</f>
        <v>#REF!</v>
      </c>
      <c r="CJ204" t="e">
        <f>AND(Bills!#REF!,"AAAAAHm291c=")</f>
        <v>#REF!</v>
      </c>
      <c r="CK204" t="e">
        <f>AND(Bills!AC863,"AAAAAHm291g=")</f>
        <v>#VALUE!</v>
      </c>
      <c r="CL204" t="e">
        <f>AND(Bills!AD863,"AAAAAHm291k=")</f>
        <v>#VALUE!</v>
      </c>
      <c r="CM204" t="e">
        <f>AND(Bills!#REF!,"AAAAAHm291o=")</f>
        <v>#REF!</v>
      </c>
      <c r="CN204">
        <f>IF(Bills!864:864,"AAAAAHm291s=",0)</f>
        <v>0</v>
      </c>
      <c r="CO204" t="e">
        <f>AND(Bills!B864,"AAAAAHm291w=")</f>
        <v>#VALUE!</v>
      </c>
      <c r="CP204" t="e">
        <f>AND(Bills!#REF!,"AAAAAHm2910=")</f>
        <v>#REF!</v>
      </c>
      <c r="CQ204" t="e">
        <f>AND(Bills!C864,"AAAAAHm2914=")</f>
        <v>#VALUE!</v>
      </c>
      <c r="CR204" t="e">
        <f>AND(Bills!D864,"AAAAAHm2918=")</f>
        <v>#VALUE!</v>
      </c>
      <c r="CS204" t="e">
        <f>AND(Bills!E864,"AAAAAHm292A=")</f>
        <v>#VALUE!</v>
      </c>
      <c r="CT204" t="e">
        <f>AND(Bills!#REF!,"AAAAAHm292E=")</f>
        <v>#REF!</v>
      </c>
      <c r="CU204" t="e">
        <f>AND(Bills!#REF!,"AAAAAHm292I=")</f>
        <v>#REF!</v>
      </c>
      <c r="CV204" t="e">
        <f>AND(Bills!#REF!,"AAAAAHm292M=")</f>
        <v>#REF!</v>
      </c>
      <c r="CW204" t="e">
        <f>AND(Bills!F864,"AAAAAHm292Q=")</f>
        <v>#VALUE!</v>
      </c>
      <c r="CX204" t="e">
        <f>AND(Bills!#REF!,"AAAAAHm292U=")</f>
        <v>#REF!</v>
      </c>
      <c r="CY204" t="e">
        <f>AND(Bills!G864,"AAAAAHm292Y=")</f>
        <v>#VALUE!</v>
      </c>
      <c r="CZ204" t="e">
        <f>AND(Bills!H864,"AAAAAHm292c=")</f>
        <v>#VALUE!</v>
      </c>
      <c r="DA204" t="e">
        <f>AND(Bills!I864,"AAAAAHm292g=")</f>
        <v>#VALUE!</v>
      </c>
      <c r="DB204" t="e">
        <f>AND(Bills!J864,"AAAAAHm292k=")</f>
        <v>#VALUE!</v>
      </c>
      <c r="DC204" t="e">
        <f>AND(Bills!K864,"AAAAAHm292o=")</f>
        <v>#VALUE!</v>
      </c>
      <c r="DD204" t="e">
        <f>AND(Bills!L864,"AAAAAHm292s=")</f>
        <v>#VALUE!</v>
      </c>
      <c r="DE204" t="e">
        <f>AND(Bills!#REF!,"AAAAAHm292w=")</f>
        <v>#REF!</v>
      </c>
      <c r="DF204" t="e">
        <f>AND(Bills!M864,"AAAAAHm2920=")</f>
        <v>#VALUE!</v>
      </c>
      <c r="DG204" t="e">
        <f>AND(Bills!N864,"AAAAAHm2924=")</f>
        <v>#VALUE!</v>
      </c>
      <c r="DH204" t="e">
        <f>AND(Bills!O864,"AAAAAHm2928=")</f>
        <v>#VALUE!</v>
      </c>
      <c r="DI204" t="e">
        <f>AND(Bills!P864,"AAAAAHm293A=")</f>
        <v>#VALUE!</v>
      </c>
      <c r="DJ204" t="e">
        <f>AND(Bills!Q864,"AAAAAHm293E=")</f>
        <v>#VALUE!</v>
      </c>
      <c r="DK204" t="e">
        <f>AND(Bills!R864,"AAAAAHm293I=")</f>
        <v>#VALUE!</v>
      </c>
      <c r="DL204" t="e">
        <f>AND(Bills!S864,"AAAAAHm293M=")</f>
        <v>#VALUE!</v>
      </c>
      <c r="DM204" t="e">
        <f>AND(Bills!T864,"AAAAAHm293Q=")</f>
        <v>#VALUE!</v>
      </c>
      <c r="DN204" t="e">
        <f>AND(Bills!#REF!,"AAAAAHm293U=")</f>
        <v>#REF!</v>
      </c>
      <c r="DO204" t="e">
        <f>AND(Bills!U864,"AAAAAHm293Y=")</f>
        <v>#VALUE!</v>
      </c>
      <c r="DP204" t="e">
        <f>AND(Bills!V864,"AAAAAHm293c=")</f>
        <v>#VALUE!</v>
      </c>
      <c r="DQ204" t="e">
        <f>AND(Bills!W864,"AAAAAHm293g=")</f>
        <v>#VALUE!</v>
      </c>
      <c r="DR204" t="e">
        <f>AND(Bills!#REF!,"AAAAAHm293k=")</f>
        <v>#REF!</v>
      </c>
      <c r="DS204" t="e">
        <f>AND(Bills!#REF!,"AAAAAHm293o=")</f>
        <v>#REF!</v>
      </c>
      <c r="DT204" t="e">
        <f>AND(Bills!Y864,"AAAAAHm293s=")</f>
        <v>#VALUE!</v>
      </c>
      <c r="DU204" t="e">
        <f>AND(Bills!Z864,"AAAAAHm293w=")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AND(Bills!AA864,"AAAAAHm294Y=")</f>
        <v>#VALUE!</v>
      </c>
      <c r="EF204" t="e">
        <f>AND(Bills!AB864,"AAAAAHm294c=")</f>
        <v>#VALUE!</v>
      </c>
      <c r="EG204" t="e">
        <f>AND(Bills!#REF!,"AAAAAHm294g=")</f>
        <v>#REF!</v>
      </c>
      <c r="EH204" t="e">
        <f>AND(Bills!#REF!,"AAAAAHm294k=")</f>
        <v>#REF!</v>
      </c>
      <c r="EI204" t="e">
        <f>AND(Bills!#REF!,"AAAAAHm294o=")</f>
        <v>#REF!</v>
      </c>
      <c r="EJ204" t="e">
        <f>AND(Bills!AC864,"AAAAAHm294s=")</f>
        <v>#VALUE!</v>
      </c>
      <c r="EK204" t="e">
        <f>AND(Bills!AD864,"AAAAAHm294w=")</f>
        <v>#VALUE!</v>
      </c>
      <c r="EL204" t="e">
        <f>AND(Bills!#REF!,"AAAAAHm2940=")</f>
        <v>#REF!</v>
      </c>
      <c r="EM204">
        <f>IF(Bills!865:865,"AAAAAHm2944=",0)</f>
        <v>0</v>
      </c>
      <c r="EN204" t="e">
        <f>AND(Bills!B865,"AAAAAHm2948=")</f>
        <v>#VALUE!</v>
      </c>
      <c r="EO204" t="e">
        <f>AND(Bills!#REF!,"AAAAAHm295A=")</f>
        <v>#REF!</v>
      </c>
      <c r="EP204" t="e">
        <f>AND(Bills!C865,"AAAAAHm295E=")</f>
        <v>#VALUE!</v>
      </c>
      <c r="EQ204" t="e">
        <f>AND(Bills!D865,"AAAAAHm295I=")</f>
        <v>#VALUE!</v>
      </c>
      <c r="ER204" t="e">
        <f>AND(Bills!E865,"AAAAAHm295M=")</f>
        <v>#VALUE!</v>
      </c>
      <c r="ES204" t="e">
        <f>AND(Bills!#REF!,"AAAAAHm295Q=")</f>
        <v>#REF!</v>
      </c>
      <c r="ET204" t="e">
        <f>AND(Bills!#REF!,"AAAAAHm295U=")</f>
        <v>#REF!</v>
      </c>
      <c r="EU204" t="e">
        <f>AND(Bills!#REF!,"AAAAAHm295Y=")</f>
        <v>#REF!</v>
      </c>
      <c r="EV204" t="e">
        <f>AND(Bills!F865,"AAAAAHm295c=")</f>
        <v>#VALUE!</v>
      </c>
      <c r="EW204" t="e">
        <f>AND(Bills!#REF!,"AAAAAHm295g=")</f>
        <v>#REF!</v>
      </c>
      <c r="EX204" t="e">
        <f>AND(Bills!G865,"AAAAAHm295k=")</f>
        <v>#VALUE!</v>
      </c>
      <c r="EY204" t="e">
        <f>AND(Bills!H865,"AAAAAHm295o=")</f>
        <v>#VALUE!</v>
      </c>
      <c r="EZ204" t="e">
        <f>AND(Bills!I865,"AAAAAHm295s=")</f>
        <v>#VALUE!</v>
      </c>
      <c r="FA204" t="e">
        <f>AND(Bills!J865,"AAAAAHm295w=")</f>
        <v>#VALUE!</v>
      </c>
      <c r="FB204" t="e">
        <f>AND(Bills!K865,"AAAAAHm2950=")</f>
        <v>#VALUE!</v>
      </c>
      <c r="FC204" t="e">
        <f>AND(Bills!L865,"AAAAAHm2954=")</f>
        <v>#VALUE!</v>
      </c>
      <c r="FD204" t="e">
        <f>AND(Bills!#REF!,"AAAAAHm2958=")</f>
        <v>#REF!</v>
      </c>
      <c r="FE204" t="e">
        <f>AND(Bills!M865,"AAAAAHm296A=")</f>
        <v>#VALUE!</v>
      </c>
      <c r="FF204" t="e">
        <f>AND(Bills!N865,"AAAAAHm296E=")</f>
        <v>#VALUE!</v>
      </c>
      <c r="FG204" t="e">
        <f>AND(Bills!O865,"AAAAAHm296I=")</f>
        <v>#VALUE!</v>
      </c>
      <c r="FH204" t="e">
        <f>AND(Bills!P865,"AAAAAHm296M=")</f>
        <v>#VALUE!</v>
      </c>
      <c r="FI204" t="e">
        <f>AND(Bills!Q865,"AAAAAHm296Q=")</f>
        <v>#VALUE!</v>
      </c>
      <c r="FJ204" t="e">
        <f>AND(Bills!R865,"AAAAAHm296U=")</f>
        <v>#VALUE!</v>
      </c>
      <c r="FK204" t="e">
        <f>AND(Bills!S865,"AAAAAHm296Y=")</f>
        <v>#VALUE!</v>
      </c>
      <c r="FL204" t="e">
        <f>AND(Bills!T865,"AAAAAHm296c=")</f>
        <v>#VALUE!</v>
      </c>
      <c r="FM204" t="e">
        <f>AND(Bills!#REF!,"AAAAAHm296g=")</f>
        <v>#REF!</v>
      </c>
      <c r="FN204" t="e">
        <f>AND(Bills!U865,"AAAAAHm296k=")</f>
        <v>#VALUE!</v>
      </c>
      <c r="FO204" t="e">
        <f>AND(Bills!V865,"AAAAAHm296o=")</f>
        <v>#VALUE!</v>
      </c>
      <c r="FP204" t="e">
        <f>AND(Bills!W865,"AAAAAHm296s=")</f>
        <v>#VALUE!</v>
      </c>
      <c r="FQ204" t="e">
        <f>AND(Bills!#REF!,"AAAAAHm296w=")</f>
        <v>#REF!</v>
      </c>
      <c r="FR204" t="e">
        <f>AND(Bills!#REF!,"AAAAAHm2960=")</f>
        <v>#REF!</v>
      </c>
      <c r="FS204" t="e">
        <f>AND(Bills!Y865,"AAAAAHm2964=")</f>
        <v>#VALUE!</v>
      </c>
      <c r="FT204" t="e">
        <f>AND(Bills!Z865,"AAAAAHm2968=")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AND(Bills!AA865,"AAAAAHm297k=")</f>
        <v>#VALUE!</v>
      </c>
      <c r="GE204" t="e">
        <f>AND(Bills!AB865,"AAAAAHm297o=")</f>
        <v>#VALUE!</v>
      </c>
      <c r="GF204" t="e">
        <f>AND(Bills!#REF!,"AAAAAHm297s=")</f>
        <v>#REF!</v>
      </c>
      <c r="GG204" t="e">
        <f>AND(Bills!#REF!,"AAAAAHm297w=")</f>
        <v>#REF!</v>
      </c>
      <c r="GH204" t="e">
        <f>AND(Bills!#REF!,"AAAAAHm2970=")</f>
        <v>#REF!</v>
      </c>
      <c r="GI204" t="e">
        <f>AND(Bills!AC865,"AAAAAHm2974=")</f>
        <v>#VALUE!</v>
      </c>
      <c r="GJ204" t="e">
        <f>AND(Bills!AD865,"AAAAAHm2978=")</f>
        <v>#VALUE!</v>
      </c>
      <c r="GK204" t="e">
        <f>AND(Bills!#REF!,"AAAAAHm298A=")</f>
        <v>#REF!</v>
      </c>
      <c r="GL204">
        <f>IF(Bills!866:866,"AAAAAHm298E=",0)</f>
        <v>0</v>
      </c>
      <c r="GM204" t="e">
        <f>AND(Bills!B866,"AAAAAHm298I=")</f>
        <v>#VALUE!</v>
      </c>
      <c r="GN204" t="e">
        <f>AND(Bills!#REF!,"AAAAAHm298M=")</f>
        <v>#REF!</v>
      </c>
      <c r="GO204" t="e">
        <f>AND(Bills!C866,"AAAAAHm298Q=")</f>
        <v>#VALUE!</v>
      </c>
      <c r="GP204" t="e">
        <f>AND(Bills!D866,"AAAAAHm298U=")</f>
        <v>#VALUE!</v>
      </c>
      <c r="GQ204" t="e">
        <f>AND(Bills!E866,"AAAAAHm298Y=")</f>
        <v>#VALUE!</v>
      </c>
      <c r="GR204" t="e">
        <f>AND(Bills!#REF!,"AAAAAHm298c=")</f>
        <v>#REF!</v>
      </c>
      <c r="GS204" t="e">
        <f>AND(Bills!#REF!,"AAAAAHm298g=")</f>
        <v>#REF!</v>
      </c>
      <c r="GT204" t="e">
        <f>AND(Bills!#REF!,"AAAAAHm298k=")</f>
        <v>#REF!</v>
      </c>
      <c r="GU204" t="e">
        <f>AND(Bills!F866,"AAAAAHm298o=")</f>
        <v>#VALUE!</v>
      </c>
      <c r="GV204" t="e">
        <f>AND(Bills!#REF!,"AAAAAHm298s=")</f>
        <v>#REF!</v>
      </c>
      <c r="GW204" t="e">
        <f>AND(Bills!G866,"AAAAAHm298w=")</f>
        <v>#VALUE!</v>
      </c>
      <c r="GX204" t="e">
        <f>AND(Bills!H866,"AAAAAHm2980=")</f>
        <v>#VALUE!</v>
      </c>
      <c r="GY204" t="e">
        <f>AND(Bills!I866,"AAAAAHm2984=")</f>
        <v>#VALUE!</v>
      </c>
      <c r="GZ204" t="e">
        <f>AND(Bills!J866,"AAAAAHm2988=")</f>
        <v>#VALUE!</v>
      </c>
      <c r="HA204" t="e">
        <f>AND(Bills!K866,"AAAAAHm299A=")</f>
        <v>#VALUE!</v>
      </c>
      <c r="HB204" t="e">
        <f>AND(Bills!L866,"AAAAAHm299E=")</f>
        <v>#VALUE!</v>
      </c>
      <c r="HC204" t="e">
        <f>AND(Bills!#REF!,"AAAAAHm299I=")</f>
        <v>#REF!</v>
      </c>
      <c r="HD204" t="e">
        <f>AND(Bills!M866,"AAAAAHm299M=")</f>
        <v>#VALUE!</v>
      </c>
      <c r="HE204" t="e">
        <f>AND(Bills!N866,"AAAAAHm299Q=")</f>
        <v>#VALUE!</v>
      </c>
      <c r="HF204" t="e">
        <f>AND(Bills!O866,"AAAAAHm299U=")</f>
        <v>#VALUE!</v>
      </c>
      <c r="HG204" t="e">
        <f>AND(Bills!P866,"AAAAAHm299Y=")</f>
        <v>#VALUE!</v>
      </c>
      <c r="HH204" t="e">
        <f>AND(Bills!Q866,"AAAAAHm299c=")</f>
        <v>#VALUE!</v>
      </c>
      <c r="HI204" t="e">
        <f>AND(Bills!R866,"AAAAAHm299g=")</f>
        <v>#VALUE!</v>
      </c>
      <c r="HJ204" t="e">
        <f>AND(Bills!S866,"AAAAAHm299k=")</f>
        <v>#VALUE!</v>
      </c>
      <c r="HK204" t="e">
        <f>AND(Bills!T866,"AAAAAHm299o=")</f>
        <v>#VALUE!</v>
      </c>
      <c r="HL204" t="e">
        <f>AND(Bills!#REF!,"AAAAAHm299s=")</f>
        <v>#REF!</v>
      </c>
      <c r="HM204" t="e">
        <f>AND(Bills!U866,"AAAAAHm299w=")</f>
        <v>#VALUE!</v>
      </c>
      <c r="HN204" t="e">
        <f>AND(Bills!V866,"AAAAAHm2990=")</f>
        <v>#VALUE!</v>
      </c>
      <c r="HO204" t="e">
        <f>AND(Bills!W866,"AAAAAHm2994=")</f>
        <v>#VALUE!</v>
      </c>
      <c r="HP204" t="e">
        <f>AND(Bills!#REF!,"AAAAAHm2998=")</f>
        <v>#REF!</v>
      </c>
      <c r="HQ204" t="e">
        <f>AND(Bills!#REF!,"AAAAAHm29+A=")</f>
        <v>#REF!</v>
      </c>
      <c r="HR204" t="e">
        <f>AND(Bills!Y866,"AAAAAHm29+E=")</f>
        <v>#VALUE!</v>
      </c>
      <c r="HS204" t="e">
        <f>AND(Bills!Z866,"AAAAAHm29+I=")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AND(Bills!AA866,"AAAAAHm29+w=")</f>
        <v>#VALUE!</v>
      </c>
      <c r="ID204" t="e">
        <f>AND(Bills!AB866,"AAAAAHm29+0=")</f>
        <v>#VALUE!</v>
      </c>
      <c r="IE204" t="e">
        <f>AND(Bills!#REF!,"AAAAAHm29+4=")</f>
        <v>#REF!</v>
      </c>
      <c r="IF204" t="e">
        <f>AND(Bills!#REF!,"AAAAAHm29+8=")</f>
        <v>#REF!</v>
      </c>
      <c r="IG204" t="e">
        <f>AND(Bills!#REF!,"AAAAAHm29/A=")</f>
        <v>#REF!</v>
      </c>
      <c r="IH204" t="e">
        <f>AND(Bills!AC866,"AAAAAHm29/E=")</f>
        <v>#VALUE!</v>
      </c>
      <c r="II204" t="e">
        <f>AND(Bills!AD866,"AAAAAHm29/I=")</f>
        <v>#VALUE!</v>
      </c>
      <c r="IJ204" t="e">
        <f>AND(Bills!#REF!,"AAAAAHm29/M=")</f>
        <v>#REF!</v>
      </c>
      <c r="IK204">
        <f>IF(Bills!867:867,"AAAAAHm29/Q=",0)</f>
        <v>0</v>
      </c>
      <c r="IL204" t="e">
        <f>AND(Bills!B867,"AAAAAHm29/U=")</f>
        <v>#VALUE!</v>
      </c>
      <c r="IM204" t="e">
        <f>AND(Bills!#REF!,"AAAAAHm29/Y=")</f>
        <v>#REF!</v>
      </c>
      <c r="IN204" t="e">
        <f>AND(Bills!C867,"AAAAAHm29/c=")</f>
        <v>#VALUE!</v>
      </c>
      <c r="IO204" t="e">
        <f>AND(Bills!D867,"AAAAAHm29/g=")</f>
        <v>#VALUE!</v>
      </c>
      <c r="IP204" t="e">
        <f>AND(Bills!E867,"AAAAAHm29/k=")</f>
        <v>#VALUE!</v>
      </c>
      <c r="IQ204" t="e">
        <f>AND(Bills!#REF!,"AAAAAHm29/o=")</f>
        <v>#REF!</v>
      </c>
      <c r="IR204" t="e">
        <f>AND(Bills!#REF!,"AAAAAHm29/s=")</f>
        <v>#REF!</v>
      </c>
      <c r="IS204" t="e">
        <f>AND(Bills!#REF!,"AAAAAHm29/w=")</f>
        <v>#REF!</v>
      </c>
      <c r="IT204" t="e">
        <f>AND(Bills!F867,"AAAAAHm29/0=")</f>
        <v>#VALUE!</v>
      </c>
      <c r="IU204" t="e">
        <f>AND(Bills!#REF!,"AAAAAHm29/4=")</f>
        <v>#REF!</v>
      </c>
      <c r="IV204" t="e">
        <f>AND(Bills!G867,"AAAAAHm29/8=")</f>
        <v>#VALUE!</v>
      </c>
    </row>
    <row r="205" spans="1:256">
      <c r="A205" t="e">
        <f>AND(Bills!H867,"AAAAAFdj7wA=")</f>
        <v>#VALUE!</v>
      </c>
      <c r="B205" t="e">
        <f>AND(Bills!I867,"AAAAAFdj7wE=")</f>
        <v>#VALUE!</v>
      </c>
      <c r="C205" t="e">
        <f>AND(Bills!J867,"AAAAAFdj7wI=")</f>
        <v>#VALUE!</v>
      </c>
      <c r="D205" t="e">
        <f>AND(Bills!K867,"AAAAAFdj7wM=")</f>
        <v>#VALUE!</v>
      </c>
      <c r="E205" t="e">
        <f>AND(Bills!L867,"AAAAAFdj7wQ=")</f>
        <v>#VALUE!</v>
      </c>
      <c r="F205" t="e">
        <f>AND(Bills!#REF!,"AAAAAFdj7wU=")</f>
        <v>#REF!</v>
      </c>
      <c r="G205" t="e">
        <f>AND(Bills!M867,"AAAAAFdj7wY=")</f>
        <v>#VALUE!</v>
      </c>
      <c r="H205" t="e">
        <f>AND(Bills!N867,"AAAAAFdj7wc=")</f>
        <v>#VALUE!</v>
      </c>
      <c r="I205" t="e">
        <f>AND(Bills!O867,"AAAAAFdj7wg=")</f>
        <v>#VALUE!</v>
      </c>
      <c r="J205" t="e">
        <f>AND(Bills!P867,"AAAAAFdj7wk=")</f>
        <v>#VALUE!</v>
      </c>
      <c r="K205" t="e">
        <f>AND(Bills!Q867,"AAAAAFdj7wo=")</f>
        <v>#VALUE!</v>
      </c>
      <c r="L205" t="e">
        <f>AND(Bills!R867,"AAAAAFdj7ws=")</f>
        <v>#VALUE!</v>
      </c>
      <c r="M205" t="e">
        <f>AND(Bills!S867,"AAAAAFdj7ww=")</f>
        <v>#VALUE!</v>
      </c>
      <c r="N205" t="e">
        <f>AND(Bills!T867,"AAAAAFdj7w0=")</f>
        <v>#VALUE!</v>
      </c>
      <c r="O205" t="e">
        <f>AND(Bills!#REF!,"AAAAAFdj7w4=")</f>
        <v>#REF!</v>
      </c>
      <c r="P205" t="e">
        <f>AND(Bills!U867,"AAAAAFdj7w8=")</f>
        <v>#VALUE!</v>
      </c>
      <c r="Q205" t="e">
        <f>AND(Bills!V867,"AAAAAFdj7xA=")</f>
        <v>#VALUE!</v>
      </c>
      <c r="R205" t="e">
        <f>AND(Bills!W867,"AAAAAFdj7xE=")</f>
        <v>#VALUE!</v>
      </c>
      <c r="S205" t="e">
        <f>AND(Bills!#REF!,"AAAAAFdj7xI=")</f>
        <v>#REF!</v>
      </c>
      <c r="T205" t="e">
        <f>AND(Bills!#REF!,"AAAAAFdj7xM=")</f>
        <v>#REF!</v>
      </c>
      <c r="U205" t="e">
        <f>AND(Bills!Y867,"AAAAAFdj7xQ=")</f>
        <v>#VALUE!</v>
      </c>
      <c r="V205" t="e">
        <f>AND(Bills!Z867,"AAAAAFdj7xU=")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AND(Bills!AA867,"AAAAAFdj7x8=")</f>
        <v>#VALUE!</v>
      </c>
      <c r="AG205" t="e">
        <f>AND(Bills!AB867,"AAAAAFdj7yA=")</f>
        <v>#VALUE!</v>
      </c>
      <c r="AH205" t="e">
        <f>AND(Bills!#REF!,"AAAAAFdj7yE=")</f>
        <v>#REF!</v>
      </c>
      <c r="AI205" t="e">
        <f>AND(Bills!#REF!,"AAAAAFdj7yI=")</f>
        <v>#REF!</v>
      </c>
      <c r="AJ205" t="e">
        <f>AND(Bills!#REF!,"AAAAAFdj7yM=")</f>
        <v>#REF!</v>
      </c>
      <c r="AK205" t="e">
        <f>AND(Bills!AC867,"AAAAAFdj7yQ=")</f>
        <v>#VALUE!</v>
      </c>
      <c r="AL205" t="e">
        <f>AND(Bills!AD867,"AAAAAFdj7yU=")</f>
        <v>#VALUE!</v>
      </c>
      <c r="AM205" t="e">
        <f>AND(Bills!#REF!,"AAAAAFdj7yY=")</f>
        <v>#REF!</v>
      </c>
      <c r="AN205">
        <f>IF(Bills!868:868,"AAAAAFdj7yc=",0)</f>
        <v>0</v>
      </c>
      <c r="AO205" t="e">
        <f>AND(Bills!B868,"AAAAAFdj7yg=")</f>
        <v>#VALUE!</v>
      </c>
      <c r="AP205" t="e">
        <f>AND(Bills!#REF!,"AAAAAFdj7yk=")</f>
        <v>#REF!</v>
      </c>
      <c r="AQ205" t="e">
        <f>AND(Bills!C868,"AAAAAFdj7yo=")</f>
        <v>#VALUE!</v>
      </c>
      <c r="AR205" t="e">
        <f>AND(Bills!D868,"AAAAAFdj7ys=")</f>
        <v>#VALUE!</v>
      </c>
      <c r="AS205" t="e">
        <f>AND(Bills!E868,"AAAAAFdj7yw=")</f>
        <v>#VALUE!</v>
      </c>
      <c r="AT205" t="e">
        <f>AND(Bills!#REF!,"AAAAAFdj7y0=")</f>
        <v>#REF!</v>
      </c>
      <c r="AU205" t="e">
        <f>AND(Bills!#REF!,"AAAAAFdj7y4=")</f>
        <v>#REF!</v>
      </c>
      <c r="AV205" t="e">
        <f>AND(Bills!#REF!,"AAAAAFdj7y8=")</f>
        <v>#REF!</v>
      </c>
      <c r="AW205" t="e">
        <f>AND(Bills!F868,"AAAAAFdj7zA=")</f>
        <v>#VALUE!</v>
      </c>
      <c r="AX205" t="e">
        <f>AND(Bills!#REF!,"AAAAAFdj7zE=")</f>
        <v>#REF!</v>
      </c>
      <c r="AY205" t="e">
        <f>AND(Bills!G868,"AAAAAFdj7zI=")</f>
        <v>#VALUE!</v>
      </c>
      <c r="AZ205" t="e">
        <f>AND(Bills!H868,"AAAAAFdj7zM=")</f>
        <v>#VALUE!</v>
      </c>
      <c r="BA205" t="e">
        <f>AND(Bills!I868,"AAAAAFdj7zQ=")</f>
        <v>#VALUE!</v>
      </c>
      <c r="BB205" t="e">
        <f>AND(Bills!J868,"AAAAAFdj7zU=")</f>
        <v>#VALUE!</v>
      </c>
      <c r="BC205" t="e">
        <f>AND(Bills!K868,"AAAAAFdj7zY=")</f>
        <v>#VALUE!</v>
      </c>
      <c r="BD205" t="e">
        <f>AND(Bills!L868,"AAAAAFdj7zc=")</f>
        <v>#VALUE!</v>
      </c>
      <c r="BE205" t="e">
        <f>AND(Bills!#REF!,"AAAAAFdj7zg=")</f>
        <v>#REF!</v>
      </c>
      <c r="BF205" t="e">
        <f>AND(Bills!M868,"AAAAAFdj7zk=")</f>
        <v>#VALUE!</v>
      </c>
      <c r="BG205" t="e">
        <f>AND(Bills!N868,"AAAAAFdj7zo=")</f>
        <v>#VALUE!</v>
      </c>
      <c r="BH205" t="e">
        <f>AND(Bills!O868,"AAAAAFdj7zs=")</f>
        <v>#VALUE!</v>
      </c>
      <c r="BI205" t="e">
        <f>AND(Bills!P868,"AAAAAFdj7zw=")</f>
        <v>#VALUE!</v>
      </c>
      <c r="BJ205" t="e">
        <f>AND(Bills!Q868,"AAAAAFdj7z0=")</f>
        <v>#VALUE!</v>
      </c>
      <c r="BK205" t="e">
        <f>AND(Bills!R868,"AAAAAFdj7z4=")</f>
        <v>#VALUE!</v>
      </c>
      <c r="BL205" t="e">
        <f>AND(Bills!S868,"AAAAAFdj7z8=")</f>
        <v>#VALUE!</v>
      </c>
      <c r="BM205" t="e">
        <f>AND(Bills!T868,"AAAAAFdj70A=")</f>
        <v>#VALUE!</v>
      </c>
      <c r="BN205" t="e">
        <f>AND(Bills!#REF!,"AAAAAFdj70E=")</f>
        <v>#REF!</v>
      </c>
      <c r="BO205" t="e">
        <f>AND(Bills!U868,"AAAAAFdj70I=")</f>
        <v>#VALUE!</v>
      </c>
      <c r="BP205" t="e">
        <f>AND(Bills!V868,"AAAAAFdj70M=")</f>
        <v>#VALUE!</v>
      </c>
      <c r="BQ205" t="e">
        <f>AND(Bills!W868,"AAAAAFdj70Q=")</f>
        <v>#VALUE!</v>
      </c>
      <c r="BR205" t="e">
        <f>AND(Bills!#REF!,"AAAAAFdj70U=")</f>
        <v>#REF!</v>
      </c>
      <c r="BS205" t="e">
        <f>AND(Bills!#REF!,"AAAAAFdj70Y=")</f>
        <v>#REF!</v>
      </c>
      <c r="BT205" t="e">
        <f>AND(Bills!Y868,"AAAAAFdj70c=")</f>
        <v>#VALUE!</v>
      </c>
      <c r="BU205" t="e">
        <f>AND(Bills!Z868,"AAAAAFdj70g=")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AND(Bills!AA868,"AAAAAFdj71I=")</f>
        <v>#VALUE!</v>
      </c>
      <c r="CF205" t="e">
        <f>AND(Bills!AB868,"AAAAAFdj71M=")</f>
        <v>#VALUE!</v>
      </c>
      <c r="CG205" t="e">
        <f>AND(Bills!#REF!,"AAAAAFdj71Q=")</f>
        <v>#REF!</v>
      </c>
      <c r="CH205" t="e">
        <f>AND(Bills!#REF!,"AAAAAFdj71U=")</f>
        <v>#REF!</v>
      </c>
      <c r="CI205" t="e">
        <f>AND(Bills!#REF!,"AAAAAFdj71Y=")</f>
        <v>#REF!</v>
      </c>
      <c r="CJ205" t="e">
        <f>AND(Bills!AC868,"AAAAAFdj71c=")</f>
        <v>#VALUE!</v>
      </c>
      <c r="CK205" t="e">
        <f>AND(Bills!AD868,"AAAAAFdj71g=")</f>
        <v>#VALUE!</v>
      </c>
      <c r="CL205" t="e">
        <f>AND(Bills!#REF!,"AAAAAFdj71k=")</f>
        <v>#REF!</v>
      </c>
      <c r="CM205">
        <f>IF(Bills!869:869,"AAAAAFdj71o=",0)</f>
        <v>0</v>
      </c>
      <c r="CN205" t="e">
        <f>AND(Bills!B869,"AAAAAFdj71s=")</f>
        <v>#VALUE!</v>
      </c>
      <c r="CO205" t="e">
        <f>AND(Bills!#REF!,"AAAAAFdj71w=")</f>
        <v>#REF!</v>
      </c>
      <c r="CP205" t="e">
        <f>AND(Bills!C869,"AAAAAFdj710=")</f>
        <v>#VALUE!</v>
      </c>
      <c r="CQ205" t="e">
        <f>AND(Bills!D869,"AAAAAFdj714=")</f>
        <v>#VALUE!</v>
      </c>
      <c r="CR205" t="e">
        <f>AND(Bills!E869,"AAAAAFdj718=")</f>
        <v>#VALUE!</v>
      </c>
      <c r="CS205" t="e">
        <f>AND(Bills!#REF!,"AAAAAFdj72A=")</f>
        <v>#REF!</v>
      </c>
      <c r="CT205" t="e">
        <f>AND(Bills!#REF!,"AAAAAFdj72E=")</f>
        <v>#REF!</v>
      </c>
      <c r="CU205" t="e">
        <f>AND(Bills!#REF!,"AAAAAFdj72I=")</f>
        <v>#REF!</v>
      </c>
      <c r="CV205" t="e">
        <f>AND(Bills!F869,"AAAAAFdj72M=")</f>
        <v>#VALUE!</v>
      </c>
      <c r="CW205" t="e">
        <f>AND(Bills!#REF!,"AAAAAFdj72Q=")</f>
        <v>#REF!</v>
      </c>
      <c r="CX205" t="e">
        <f>AND(Bills!G869,"AAAAAFdj72U=")</f>
        <v>#VALUE!</v>
      </c>
      <c r="CY205" t="e">
        <f>AND(Bills!H869,"AAAAAFdj72Y=")</f>
        <v>#VALUE!</v>
      </c>
      <c r="CZ205" t="e">
        <f>AND(Bills!I869,"AAAAAFdj72c=")</f>
        <v>#VALUE!</v>
      </c>
      <c r="DA205" t="e">
        <f>AND(Bills!J869,"AAAAAFdj72g=")</f>
        <v>#VALUE!</v>
      </c>
      <c r="DB205" t="e">
        <f>AND(Bills!K869,"AAAAAFdj72k=")</f>
        <v>#VALUE!</v>
      </c>
      <c r="DC205" t="e">
        <f>AND(Bills!L869,"AAAAAFdj72o=")</f>
        <v>#VALUE!</v>
      </c>
      <c r="DD205" t="e">
        <f>AND(Bills!#REF!,"AAAAAFdj72s=")</f>
        <v>#REF!</v>
      </c>
      <c r="DE205" t="e">
        <f>AND(Bills!M869,"AAAAAFdj72w=")</f>
        <v>#VALUE!</v>
      </c>
      <c r="DF205" t="e">
        <f>AND(Bills!N869,"AAAAAFdj720=")</f>
        <v>#VALUE!</v>
      </c>
      <c r="DG205" t="e">
        <f>AND(Bills!O869,"AAAAAFdj724=")</f>
        <v>#VALUE!</v>
      </c>
      <c r="DH205" t="e">
        <f>AND(Bills!P869,"AAAAAFdj728=")</f>
        <v>#VALUE!</v>
      </c>
      <c r="DI205" t="e">
        <f>AND(Bills!Q869,"AAAAAFdj73A=")</f>
        <v>#VALUE!</v>
      </c>
      <c r="DJ205" t="e">
        <f>AND(Bills!R869,"AAAAAFdj73E=")</f>
        <v>#VALUE!</v>
      </c>
      <c r="DK205" t="e">
        <f>AND(Bills!S869,"AAAAAFdj73I=")</f>
        <v>#VALUE!</v>
      </c>
      <c r="DL205" t="e">
        <f>AND(Bills!T869,"AAAAAFdj73M=")</f>
        <v>#VALUE!</v>
      </c>
      <c r="DM205" t="e">
        <f>AND(Bills!#REF!,"AAAAAFdj73Q=")</f>
        <v>#REF!</v>
      </c>
      <c r="DN205" t="e">
        <f>AND(Bills!U869,"AAAAAFdj73U=")</f>
        <v>#VALUE!</v>
      </c>
      <c r="DO205" t="e">
        <f>AND(Bills!V869,"AAAAAFdj73Y=")</f>
        <v>#VALUE!</v>
      </c>
      <c r="DP205" t="e">
        <f>AND(Bills!W869,"AAAAAFdj73c=")</f>
        <v>#VALUE!</v>
      </c>
      <c r="DQ205" t="e">
        <f>AND(Bills!#REF!,"AAAAAFdj73g=")</f>
        <v>#REF!</v>
      </c>
      <c r="DR205" t="e">
        <f>AND(Bills!#REF!,"AAAAAFdj73k=")</f>
        <v>#REF!</v>
      </c>
      <c r="DS205" t="e">
        <f>AND(Bills!Y869,"AAAAAFdj73o=")</f>
        <v>#VALUE!</v>
      </c>
      <c r="DT205" t="e">
        <f>AND(Bills!Z869,"AAAAAFdj73s=")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AND(Bills!AA869,"AAAAAFdj74U=")</f>
        <v>#VALUE!</v>
      </c>
      <c r="EE205" t="e">
        <f>AND(Bills!AB869,"AAAAAFdj74Y=")</f>
        <v>#VALUE!</v>
      </c>
      <c r="EF205" t="e">
        <f>AND(Bills!#REF!,"AAAAAFdj74c=")</f>
        <v>#REF!</v>
      </c>
      <c r="EG205" t="e">
        <f>AND(Bills!#REF!,"AAAAAFdj74g=")</f>
        <v>#REF!</v>
      </c>
      <c r="EH205" t="e">
        <f>AND(Bills!#REF!,"AAAAAFdj74k=")</f>
        <v>#REF!</v>
      </c>
      <c r="EI205" t="e">
        <f>AND(Bills!AC869,"AAAAAFdj74o=")</f>
        <v>#VALUE!</v>
      </c>
      <c r="EJ205" t="e">
        <f>AND(Bills!AD869,"AAAAAFdj74s=")</f>
        <v>#VALUE!</v>
      </c>
      <c r="EK205" t="e">
        <f>AND(Bills!#REF!,"AAAAAFdj74w=")</f>
        <v>#REF!</v>
      </c>
      <c r="EL205">
        <f>IF(Bills!870:870,"AAAAAFdj740=",0)</f>
        <v>0</v>
      </c>
      <c r="EM205" t="e">
        <f>AND(Bills!B870,"AAAAAFdj744=")</f>
        <v>#VALUE!</v>
      </c>
      <c r="EN205" t="e">
        <f>AND(Bills!#REF!,"AAAAAFdj748=")</f>
        <v>#REF!</v>
      </c>
      <c r="EO205" t="e">
        <f>AND(Bills!C870,"AAAAAFdj75A=")</f>
        <v>#VALUE!</v>
      </c>
      <c r="EP205" t="e">
        <f>AND(Bills!D870,"AAAAAFdj75E=")</f>
        <v>#VALUE!</v>
      </c>
      <c r="EQ205" t="e">
        <f>AND(Bills!E870,"AAAAAFdj75I=")</f>
        <v>#VALUE!</v>
      </c>
      <c r="ER205" t="e">
        <f>AND(Bills!#REF!,"AAAAAFdj75M=")</f>
        <v>#REF!</v>
      </c>
      <c r="ES205" t="e">
        <f>AND(Bills!#REF!,"AAAAAFdj75Q=")</f>
        <v>#REF!</v>
      </c>
      <c r="ET205" t="e">
        <f>AND(Bills!#REF!,"AAAAAFdj75U=")</f>
        <v>#REF!</v>
      </c>
      <c r="EU205" t="e">
        <f>AND(Bills!F870,"AAAAAFdj75Y=")</f>
        <v>#VALUE!</v>
      </c>
      <c r="EV205" t="e">
        <f>AND(Bills!#REF!,"AAAAAFdj75c=")</f>
        <v>#REF!</v>
      </c>
      <c r="EW205" t="e">
        <f>AND(Bills!G870,"AAAAAFdj75g=")</f>
        <v>#VALUE!</v>
      </c>
      <c r="EX205" t="e">
        <f>AND(Bills!H870,"AAAAAFdj75k=")</f>
        <v>#VALUE!</v>
      </c>
      <c r="EY205" t="e">
        <f>AND(Bills!I870,"AAAAAFdj75o=")</f>
        <v>#VALUE!</v>
      </c>
      <c r="EZ205" t="e">
        <f>AND(Bills!J870,"AAAAAFdj75s=")</f>
        <v>#VALUE!</v>
      </c>
      <c r="FA205" t="e">
        <f>AND(Bills!K870,"AAAAAFdj75w=")</f>
        <v>#VALUE!</v>
      </c>
      <c r="FB205" t="e">
        <f>AND(Bills!L870,"AAAAAFdj750=")</f>
        <v>#VALUE!</v>
      </c>
      <c r="FC205" t="e">
        <f>AND(Bills!#REF!,"AAAAAFdj754=")</f>
        <v>#REF!</v>
      </c>
      <c r="FD205" t="e">
        <f>AND(Bills!M870,"AAAAAFdj758=")</f>
        <v>#VALUE!</v>
      </c>
      <c r="FE205" t="e">
        <f>AND(Bills!N870,"AAAAAFdj76A=")</f>
        <v>#VALUE!</v>
      </c>
      <c r="FF205" t="e">
        <f>AND(Bills!O870,"AAAAAFdj76E=")</f>
        <v>#VALUE!</v>
      </c>
      <c r="FG205" t="e">
        <f>AND(Bills!P870,"AAAAAFdj76I=")</f>
        <v>#VALUE!</v>
      </c>
      <c r="FH205" t="e">
        <f>AND(Bills!Q870,"AAAAAFdj76M=")</f>
        <v>#VALUE!</v>
      </c>
      <c r="FI205" t="e">
        <f>AND(Bills!R870,"AAAAAFdj76Q=")</f>
        <v>#VALUE!</v>
      </c>
      <c r="FJ205" t="e">
        <f>AND(Bills!S870,"AAAAAFdj76U=")</f>
        <v>#VALUE!</v>
      </c>
      <c r="FK205" t="e">
        <f>AND(Bills!T870,"AAAAAFdj76Y=")</f>
        <v>#VALUE!</v>
      </c>
      <c r="FL205" t="e">
        <f>AND(Bills!#REF!,"AAAAAFdj76c=")</f>
        <v>#REF!</v>
      </c>
      <c r="FM205" t="e">
        <f>AND(Bills!U870,"AAAAAFdj76g=")</f>
        <v>#VALUE!</v>
      </c>
      <c r="FN205" t="e">
        <f>AND(Bills!V870,"AAAAAFdj76k=")</f>
        <v>#VALUE!</v>
      </c>
      <c r="FO205" t="e">
        <f>AND(Bills!W870,"AAAAAFdj76o=")</f>
        <v>#VALUE!</v>
      </c>
      <c r="FP205" t="e">
        <f>AND(Bills!#REF!,"AAAAAFdj76s=")</f>
        <v>#REF!</v>
      </c>
      <c r="FQ205" t="e">
        <f>AND(Bills!#REF!,"AAAAAFdj76w=")</f>
        <v>#REF!</v>
      </c>
      <c r="FR205" t="e">
        <f>AND(Bills!Y870,"AAAAAFdj760=")</f>
        <v>#VALUE!</v>
      </c>
      <c r="FS205" t="e">
        <f>AND(Bills!Z870,"AAAAAFdj764=")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AND(Bills!AA870,"AAAAAFdj77g=")</f>
        <v>#VALUE!</v>
      </c>
      <c r="GD205" t="e">
        <f>AND(Bills!AB870,"AAAAAFdj77k=")</f>
        <v>#VALUE!</v>
      </c>
      <c r="GE205" t="e">
        <f>AND(Bills!#REF!,"AAAAAFdj77o=")</f>
        <v>#REF!</v>
      </c>
      <c r="GF205" t="e">
        <f>AND(Bills!#REF!,"AAAAAFdj77s=")</f>
        <v>#REF!</v>
      </c>
      <c r="GG205" t="e">
        <f>AND(Bills!#REF!,"AAAAAFdj77w=")</f>
        <v>#REF!</v>
      </c>
      <c r="GH205" t="e">
        <f>AND(Bills!AC870,"AAAAAFdj770=")</f>
        <v>#VALUE!</v>
      </c>
      <c r="GI205" t="e">
        <f>AND(Bills!AD870,"AAAAAFdj774=")</f>
        <v>#VALUE!</v>
      </c>
      <c r="GJ205" t="e">
        <f>AND(Bills!#REF!,"AAAAAFdj778=")</f>
        <v>#REF!</v>
      </c>
      <c r="GK205">
        <f>IF(Bills!871:871,"AAAAAFdj78A=",0)</f>
        <v>0</v>
      </c>
      <c r="GL205" t="e">
        <f>AND(Bills!B871,"AAAAAFdj78E=")</f>
        <v>#VALUE!</v>
      </c>
      <c r="GM205" t="e">
        <f>AND(Bills!#REF!,"AAAAAFdj78I=")</f>
        <v>#REF!</v>
      </c>
      <c r="GN205" t="e">
        <f>AND(Bills!C871,"AAAAAFdj78M=")</f>
        <v>#VALUE!</v>
      </c>
      <c r="GO205" t="e">
        <f>AND(Bills!D871,"AAAAAFdj78Q=")</f>
        <v>#VALUE!</v>
      </c>
      <c r="GP205" t="e">
        <f>AND(Bills!E871,"AAAAAFdj78U=")</f>
        <v>#VALUE!</v>
      </c>
      <c r="GQ205" t="e">
        <f>AND(Bills!#REF!,"AAAAAFdj78Y=")</f>
        <v>#REF!</v>
      </c>
      <c r="GR205" t="e">
        <f>AND(Bills!#REF!,"AAAAAFdj78c=")</f>
        <v>#REF!</v>
      </c>
      <c r="GS205" t="e">
        <f>AND(Bills!#REF!,"AAAAAFdj78g=")</f>
        <v>#REF!</v>
      </c>
      <c r="GT205" t="e">
        <f>AND(Bills!F871,"AAAAAFdj78k=")</f>
        <v>#VALUE!</v>
      </c>
      <c r="GU205" t="e">
        <f>AND(Bills!#REF!,"AAAAAFdj78o=")</f>
        <v>#REF!</v>
      </c>
      <c r="GV205" t="e">
        <f>AND(Bills!G871,"AAAAAFdj78s=")</f>
        <v>#VALUE!</v>
      </c>
      <c r="GW205" t="e">
        <f>AND(Bills!H871,"AAAAAFdj78w=")</f>
        <v>#VALUE!</v>
      </c>
      <c r="GX205" t="e">
        <f>AND(Bills!I871,"AAAAAFdj780=")</f>
        <v>#VALUE!</v>
      </c>
      <c r="GY205" t="e">
        <f>AND(Bills!J871,"AAAAAFdj784=")</f>
        <v>#VALUE!</v>
      </c>
      <c r="GZ205" t="e">
        <f>AND(Bills!K871,"AAAAAFdj788=")</f>
        <v>#VALUE!</v>
      </c>
      <c r="HA205" t="e">
        <f>AND(Bills!L871,"AAAAAFdj79A=")</f>
        <v>#VALUE!</v>
      </c>
      <c r="HB205" t="e">
        <f>AND(Bills!#REF!,"AAAAAFdj79E=")</f>
        <v>#REF!</v>
      </c>
      <c r="HC205" t="e">
        <f>AND(Bills!M871,"AAAAAFdj79I=")</f>
        <v>#VALUE!</v>
      </c>
      <c r="HD205" t="e">
        <f>AND(Bills!N871,"AAAAAFdj79M=")</f>
        <v>#VALUE!</v>
      </c>
      <c r="HE205" t="e">
        <f>AND(Bills!O871,"AAAAAFdj79Q=")</f>
        <v>#VALUE!</v>
      </c>
      <c r="HF205" t="e">
        <f>AND(Bills!P871,"AAAAAFdj79U=")</f>
        <v>#VALUE!</v>
      </c>
      <c r="HG205" t="e">
        <f>AND(Bills!Q871,"AAAAAFdj79Y=")</f>
        <v>#VALUE!</v>
      </c>
      <c r="HH205" t="e">
        <f>AND(Bills!R871,"AAAAAFdj79c=")</f>
        <v>#VALUE!</v>
      </c>
      <c r="HI205" t="e">
        <f>AND(Bills!S871,"AAAAAFdj79g=")</f>
        <v>#VALUE!</v>
      </c>
      <c r="HJ205" t="e">
        <f>AND(Bills!T871,"AAAAAFdj79k=")</f>
        <v>#VALUE!</v>
      </c>
      <c r="HK205" t="e">
        <f>AND(Bills!#REF!,"AAAAAFdj79o=")</f>
        <v>#REF!</v>
      </c>
      <c r="HL205" t="e">
        <f>AND(Bills!U871,"AAAAAFdj79s=")</f>
        <v>#VALUE!</v>
      </c>
      <c r="HM205" t="e">
        <f>AND(Bills!V871,"AAAAAFdj79w=")</f>
        <v>#VALUE!</v>
      </c>
      <c r="HN205" t="e">
        <f>AND(Bills!W871,"AAAAAFdj790=")</f>
        <v>#VALUE!</v>
      </c>
      <c r="HO205" t="e">
        <f>AND(Bills!#REF!,"AAAAAFdj794=")</f>
        <v>#REF!</v>
      </c>
      <c r="HP205" t="e">
        <f>AND(Bills!#REF!,"AAAAAFdj798=")</f>
        <v>#REF!</v>
      </c>
      <c r="HQ205" t="e">
        <f>AND(Bills!Y871,"AAAAAFdj7+A=")</f>
        <v>#VALUE!</v>
      </c>
      <c r="HR205" t="e">
        <f>AND(Bills!Z871,"AAAAAFdj7+E=")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AND(Bills!AA871,"AAAAAFdj7+s=")</f>
        <v>#VALUE!</v>
      </c>
      <c r="IC205" t="e">
        <f>AND(Bills!AB871,"AAAAAFdj7+w=")</f>
        <v>#VALUE!</v>
      </c>
      <c r="ID205" t="e">
        <f>AND(Bills!#REF!,"AAAAAFdj7+0=")</f>
        <v>#REF!</v>
      </c>
      <c r="IE205" t="e">
        <f>AND(Bills!#REF!,"AAAAAFdj7+4=")</f>
        <v>#REF!</v>
      </c>
      <c r="IF205" t="e">
        <f>AND(Bills!#REF!,"AAAAAFdj7+8=")</f>
        <v>#REF!</v>
      </c>
      <c r="IG205" t="e">
        <f>AND(Bills!AC871,"AAAAAFdj7/A=")</f>
        <v>#VALUE!</v>
      </c>
      <c r="IH205" t="e">
        <f>AND(Bills!AD871,"AAAAAFdj7/E=")</f>
        <v>#VALUE!</v>
      </c>
      <c r="II205" t="e">
        <f>AND(Bills!#REF!,"AAAAAFdj7/I=")</f>
        <v>#REF!</v>
      </c>
      <c r="IJ205">
        <f>IF(Bills!872:872,"AAAAAFdj7/M=",0)</f>
        <v>0</v>
      </c>
      <c r="IK205" t="e">
        <f>AND(Bills!B872,"AAAAAFdj7/Q=")</f>
        <v>#VALUE!</v>
      </c>
      <c r="IL205" t="e">
        <f>AND(Bills!#REF!,"AAAAAFdj7/U=")</f>
        <v>#REF!</v>
      </c>
      <c r="IM205" t="e">
        <f>AND(Bills!C872,"AAAAAFdj7/Y=")</f>
        <v>#VALUE!</v>
      </c>
      <c r="IN205" t="e">
        <f>AND(Bills!D872,"AAAAAFdj7/c=")</f>
        <v>#VALUE!</v>
      </c>
      <c r="IO205" t="e">
        <f>AND(Bills!E872,"AAAAAFdj7/g=")</f>
        <v>#VALUE!</v>
      </c>
      <c r="IP205" t="e">
        <f>AND(Bills!#REF!,"AAAAAFdj7/k=")</f>
        <v>#REF!</v>
      </c>
      <c r="IQ205" t="e">
        <f>AND(Bills!#REF!,"AAAAAFdj7/o=")</f>
        <v>#REF!</v>
      </c>
      <c r="IR205" t="e">
        <f>AND(Bills!#REF!,"AAAAAFdj7/s=")</f>
        <v>#REF!</v>
      </c>
      <c r="IS205" t="e">
        <f>AND(Bills!F872,"AAAAAFdj7/w=")</f>
        <v>#VALUE!</v>
      </c>
      <c r="IT205" t="e">
        <f>AND(Bills!#REF!,"AAAAAFdj7/0=")</f>
        <v>#REF!</v>
      </c>
      <c r="IU205" t="e">
        <f>AND(Bills!G872,"AAAAAFdj7/4=")</f>
        <v>#VALUE!</v>
      </c>
      <c r="IV205" t="e">
        <f>AND(Bills!H872,"AAAAAFdj7/8=")</f>
        <v>#VALUE!</v>
      </c>
    </row>
    <row r="206" spans="1:256">
      <c r="A206" t="e">
        <f>AND(Bills!I872,"AAAAAB/YewA=")</f>
        <v>#VALUE!</v>
      </c>
      <c r="B206" t="e">
        <f>AND(Bills!J872,"AAAAAB/YewE=")</f>
        <v>#VALUE!</v>
      </c>
      <c r="C206" t="e">
        <f>AND(Bills!K872,"AAAAAB/YewI=")</f>
        <v>#VALUE!</v>
      </c>
      <c r="D206" t="e">
        <f>AND(Bills!L872,"AAAAAB/YewM=")</f>
        <v>#VALUE!</v>
      </c>
      <c r="E206" t="e">
        <f>AND(Bills!#REF!,"AAAAAB/YewQ=")</f>
        <v>#REF!</v>
      </c>
      <c r="F206" t="e">
        <f>AND(Bills!M872,"AAAAAB/YewU=")</f>
        <v>#VALUE!</v>
      </c>
      <c r="G206" t="e">
        <f>AND(Bills!N872,"AAAAAB/YewY=")</f>
        <v>#VALUE!</v>
      </c>
      <c r="H206" t="e">
        <f>AND(Bills!O872,"AAAAAB/Yewc=")</f>
        <v>#VALUE!</v>
      </c>
      <c r="I206" t="e">
        <f>AND(Bills!P872,"AAAAAB/Yewg=")</f>
        <v>#VALUE!</v>
      </c>
      <c r="J206" t="e">
        <f>AND(Bills!Q872,"AAAAAB/Yewk=")</f>
        <v>#VALUE!</v>
      </c>
      <c r="K206" t="e">
        <f>AND(Bills!R872,"AAAAAB/Yewo=")</f>
        <v>#VALUE!</v>
      </c>
      <c r="L206" t="e">
        <f>AND(Bills!S872,"AAAAAB/Yews=")</f>
        <v>#VALUE!</v>
      </c>
      <c r="M206" t="e">
        <f>AND(Bills!T872,"AAAAAB/Yeww=")</f>
        <v>#VALUE!</v>
      </c>
      <c r="N206" t="e">
        <f>AND(Bills!#REF!,"AAAAAB/Yew0=")</f>
        <v>#REF!</v>
      </c>
      <c r="O206" t="e">
        <f>AND(Bills!U872,"AAAAAB/Yew4=")</f>
        <v>#VALUE!</v>
      </c>
      <c r="P206" t="e">
        <f>AND(Bills!V872,"AAAAAB/Yew8=")</f>
        <v>#VALUE!</v>
      </c>
      <c r="Q206" t="e">
        <f>AND(Bills!W872,"AAAAAB/YexA=")</f>
        <v>#VALUE!</v>
      </c>
      <c r="R206" t="e">
        <f>AND(Bills!#REF!,"AAAAAB/YexE=")</f>
        <v>#REF!</v>
      </c>
      <c r="S206" t="e">
        <f>AND(Bills!#REF!,"AAAAAB/YexI=")</f>
        <v>#REF!</v>
      </c>
      <c r="T206" t="e">
        <f>AND(Bills!Y872,"AAAAAB/YexM=")</f>
        <v>#VALUE!</v>
      </c>
      <c r="U206" t="e">
        <f>AND(Bills!Z872,"AAAAAB/YexQ=")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AND(Bills!AA872,"AAAAAB/Yex4=")</f>
        <v>#VALUE!</v>
      </c>
      <c r="AF206" t="e">
        <f>AND(Bills!AB872,"AAAAAB/Yex8=")</f>
        <v>#VALUE!</v>
      </c>
      <c r="AG206" t="e">
        <f>AND(Bills!#REF!,"AAAAAB/YeyA=")</f>
        <v>#REF!</v>
      </c>
      <c r="AH206" t="e">
        <f>AND(Bills!#REF!,"AAAAAB/YeyE=")</f>
        <v>#REF!</v>
      </c>
      <c r="AI206" t="e">
        <f>AND(Bills!#REF!,"AAAAAB/YeyI=")</f>
        <v>#REF!</v>
      </c>
      <c r="AJ206" t="e">
        <f>AND(Bills!AC872,"AAAAAB/YeyM=")</f>
        <v>#VALUE!</v>
      </c>
      <c r="AK206" t="e">
        <f>AND(Bills!AD872,"AAAAAB/YeyQ=")</f>
        <v>#VALUE!</v>
      </c>
      <c r="AL206" t="e">
        <f>AND(Bills!#REF!,"AAAAAB/YeyU=")</f>
        <v>#REF!</v>
      </c>
      <c r="AM206">
        <f>IF(Bills!873:873,"AAAAAB/YeyY=",0)</f>
        <v>0</v>
      </c>
      <c r="AN206" t="e">
        <f>AND(Bills!B873,"AAAAAB/Yeyc=")</f>
        <v>#VALUE!</v>
      </c>
      <c r="AO206" t="e">
        <f>AND(Bills!#REF!,"AAAAAB/Yeyg=")</f>
        <v>#REF!</v>
      </c>
      <c r="AP206" t="e">
        <f>AND(Bills!C873,"AAAAAB/Yeyk=")</f>
        <v>#VALUE!</v>
      </c>
      <c r="AQ206" t="e">
        <f>AND(Bills!D873,"AAAAAB/Yeyo=")</f>
        <v>#VALUE!</v>
      </c>
      <c r="AR206" t="e">
        <f>AND(Bills!E873,"AAAAAB/Yeys=")</f>
        <v>#VALUE!</v>
      </c>
      <c r="AS206" t="e">
        <f>AND(Bills!#REF!,"AAAAAB/Yeyw=")</f>
        <v>#REF!</v>
      </c>
      <c r="AT206" t="e">
        <f>AND(Bills!#REF!,"AAAAAB/Yey0=")</f>
        <v>#REF!</v>
      </c>
      <c r="AU206" t="e">
        <f>AND(Bills!#REF!,"AAAAAB/Yey4=")</f>
        <v>#REF!</v>
      </c>
      <c r="AV206" t="e">
        <f>AND(Bills!F873,"AAAAAB/Yey8=")</f>
        <v>#VALUE!</v>
      </c>
      <c r="AW206" t="e">
        <f>AND(Bills!#REF!,"AAAAAB/YezA=")</f>
        <v>#REF!</v>
      </c>
      <c r="AX206" t="e">
        <f>AND(Bills!G873,"AAAAAB/YezE=")</f>
        <v>#VALUE!</v>
      </c>
      <c r="AY206" t="e">
        <f>AND(Bills!H873,"AAAAAB/YezI=")</f>
        <v>#VALUE!</v>
      </c>
      <c r="AZ206" t="e">
        <f>AND(Bills!I873,"AAAAAB/YezM=")</f>
        <v>#VALUE!</v>
      </c>
      <c r="BA206" t="e">
        <f>AND(Bills!J873,"AAAAAB/YezQ=")</f>
        <v>#VALUE!</v>
      </c>
      <c r="BB206" t="e">
        <f>AND(Bills!K873,"AAAAAB/YezU=")</f>
        <v>#VALUE!</v>
      </c>
      <c r="BC206" t="e">
        <f>AND(Bills!L873,"AAAAAB/YezY=")</f>
        <v>#VALUE!</v>
      </c>
      <c r="BD206" t="e">
        <f>AND(Bills!#REF!,"AAAAAB/Yezc=")</f>
        <v>#REF!</v>
      </c>
      <c r="BE206" t="e">
        <f>AND(Bills!M873,"AAAAAB/Yezg=")</f>
        <v>#VALUE!</v>
      </c>
      <c r="BF206" t="e">
        <f>AND(Bills!N873,"AAAAAB/Yezk=")</f>
        <v>#VALUE!</v>
      </c>
      <c r="BG206" t="e">
        <f>AND(Bills!O873,"AAAAAB/Yezo=")</f>
        <v>#VALUE!</v>
      </c>
      <c r="BH206" t="e">
        <f>AND(Bills!P873,"AAAAAB/Yezs=")</f>
        <v>#VALUE!</v>
      </c>
      <c r="BI206" t="e">
        <f>AND(Bills!Q873,"AAAAAB/Yezw=")</f>
        <v>#VALUE!</v>
      </c>
      <c r="BJ206" t="e">
        <f>AND(Bills!R873,"AAAAAB/Yez0=")</f>
        <v>#VALUE!</v>
      </c>
      <c r="BK206" t="e">
        <f>AND(Bills!S873,"AAAAAB/Yez4=")</f>
        <v>#VALUE!</v>
      </c>
      <c r="BL206" t="e">
        <f>AND(Bills!T873,"AAAAAB/Yez8=")</f>
        <v>#VALUE!</v>
      </c>
      <c r="BM206" t="e">
        <f>AND(Bills!#REF!,"AAAAAB/Ye0A=")</f>
        <v>#REF!</v>
      </c>
      <c r="BN206" t="e">
        <f>AND(Bills!U873,"AAAAAB/Ye0E=")</f>
        <v>#VALUE!</v>
      </c>
      <c r="BO206" t="e">
        <f>AND(Bills!V873,"AAAAAB/Ye0I=")</f>
        <v>#VALUE!</v>
      </c>
      <c r="BP206" t="e">
        <f>AND(Bills!W873,"AAAAAB/Ye0M=")</f>
        <v>#VALUE!</v>
      </c>
      <c r="BQ206" t="e">
        <f>AND(Bills!#REF!,"AAAAAB/Ye0Q=")</f>
        <v>#REF!</v>
      </c>
      <c r="BR206" t="e">
        <f>AND(Bills!#REF!,"AAAAAB/Ye0U=")</f>
        <v>#REF!</v>
      </c>
      <c r="BS206" t="e">
        <f>AND(Bills!Y873,"AAAAAB/Ye0Y=")</f>
        <v>#VALUE!</v>
      </c>
      <c r="BT206" t="e">
        <f>AND(Bills!Z873,"AAAAAB/Ye0c=")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AND(Bills!AA873,"AAAAAB/Ye1E=")</f>
        <v>#VALUE!</v>
      </c>
      <c r="CE206" t="e">
        <f>AND(Bills!AB873,"AAAAAB/Ye1I=")</f>
        <v>#VALUE!</v>
      </c>
      <c r="CF206" t="e">
        <f>AND(Bills!#REF!,"AAAAAB/Ye1M=")</f>
        <v>#REF!</v>
      </c>
      <c r="CG206" t="e">
        <f>AND(Bills!#REF!,"AAAAAB/Ye1Q=")</f>
        <v>#REF!</v>
      </c>
      <c r="CH206" t="e">
        <f>AND(Bills!#REF!,"AAAAAB/Ye1U=")</f>
        <v>#REF!</v>
      </c>
      <c r="CI206" t="e">
        <f>AND(Bills!AC873,"AAAAAB/Ye1Y=")</f>
        <v>#VALUE!</v>
      </c>
      <c r="CJ206" t="e">
        <f>AND(Bills!AD873,"AAAAAB/Ye1c=")</f>
        <v>#VALUE!</v>
      </c>
      <c r="CK206" t="e">
        <f>AND(Bills!#REF!,"AAAAAB/Ye1g=")</f>
        <v>#REF!</v>
      </c>
      <c r="CL206">
        <f>IF(Bills!874:874,"AAAAAB/Ye1k=",0)</f>
        <v>0</v>
      </c>
      <c r="CM206" t="e">
        <f>AND(Bills!B874,"AAAAAB/Ye1o=")</f>
        <v>#VALUE!</v>
      </c>
      <c r="CN206" t="e">
        <f>AND(Bills!#REF!,"AAAAAB/Ye1s=")</f>
        <v>#REF!</v>
      </c>
      <c r="CO206" t="e">
        <f>AND(Bills!C874,"AAAAAB/Ye1w=")</f>
        <v>#VALUE!</v>
      </c>
      <c r="CP206" t="e">
        <f>AND(Bills!D874,"AAAAAB/Ye10=")</f>
        <v>#VALUE!</v>
      </c>
      <c r="CQ206" t="e">
        <f>AND(Bills!E874,"AAAAAB/Ye14=")</f>
        <v>#VALUE!</v>
      </c>
      <c r="CR206" t="e">
        <f>AND(Bills!#REF!,"AAAAAB/Ye18=")</f>
        <v>#REF!</v>
      </c>
      <c r="CS206" t="e">
        <f>AND(Bills!#REF!,"AAAAAB/Ye2A=")</f>
        <v>#REF!</v>
      </c>
      <c r="CT206" t="e">
        <f>AND(Bills!#REF!,"AAAAAB/Ye2E=")</f>
        <v>#REF!</v>
      </c>
      <c r="CU206" t="e">
        <f>AND(Bills!F874,"AAAAAB/Ye2I=")</f>
        <v>#VALUE!</v>
      </c>
      <c r="CV206" t="e">
        <f>AND(Bills!#REF!,"AAAAAB/Ye2M=")</f>
        <v>#REF!</v>
      </c>
      <c r="CW206" t="e">
        <f>AND(Bills!G874,"AAAAAB/Ye2Q=")</f>
        <v>#VALUE!</v>
      </c>
      <c r="CX206" t="e">
        <f>AND(Bills!H874,"AAAAAB/Ye2U=")</f>
        <v>#VALUE!</v>
      </c>
      <c r="CY206" t="e">
        <f>AND(Bills!I874,"AAAAAB/Ye2Y=")</f>
        <v>#VALUE!</v>
      </c>
      <c r="CZ206" t="e">
        <f>AND(Bills!J874,"AAAAAB/Ye2c=")</f>
        <v>#VALUE!</v>
      </c>
      <c r="DA206" t="e">
        <f>AND(Bills!K874,"AAAAAB/Ye2g=")</f>
        <v>#VALUE!</v>
      </c>
      <c r="DB206" t="e">
        <f>AND(Bills!L874,"AAAAAB/Ye2k=")</f>
        <v>#VALUE!</v>
      </c>
      <c r="DC206" t="e">
        <f>AND(Bills!#REF!,"AAAAAB/Ye2o=")</f>
        <v>#REF!</v>
      </c>
      <c r="DD206" t="e">
        <f>AND(Bills!M874,"AAAAAB/Ye2s=")</f>
        <v>#VALUE!</v>
      </c>
      <c r="DE206" t="e">
        <f>AND(Bills!N874,"AAAAAB/Ye2w=")</f>
        <v>#VALUE!</v>
      </c>
      <c r="DF206" t="e">
        <f>AND(Bills!O874,"AAAAAB/Ye20=")</f>
        <v>#VALUE!</v>
      </c>
      <c r="DG206" t="e">
        <f>AND(Bills!P874,"AAAAAB/Ye24=")</f>
        <v>#VALUE!</v>
      </c>
      <c r="DH206" t="e">
        <f>AND(Bills!Q874,"AAAAAB/Ye28=")</f>
        <v>#VALUE!</v>
      </c>
      <c r="DI206" t="e">
        <f>AND(Bills!R874,"AAAAAB/Ye3A=")</f>
        <v>#VALUE!</v>
      </c>
      <c r="DJ206" t="e">
        <f>AND(Bills!S874,"AAAAAB/Ye3E=")</f>
        <v>#VALUE!</v>
      </c>
      <c r="DK206" t="e">
        <f>AND(Bills!T874,"AAAAAB/Ye3I=")</f>
        <v>#VALUE!</v>
      </c>
      <c r="DL206" t="e">
        <f>AND(Bills!#REF!,"AAAAAB/Ye3M=")</f>
        <v>#REF!</v>
      </c>
      <c r="DM206" t="e">
        <f>AND(Bills!U874,"AAAAAB/Ye3Q=")</f>
        <v>#VALUE!</v>
      </c>
      <c r="DN206" t="e">
        <f>AND(Bills!V874,"AAAAAB/Ye3U=")</f>
        <v>#VALUE!</v>
      </c>
      <c r="DO206" t="e">
        <f>AND(Bills!W874,"AAAAAB/Ye3Y=")</f>
        <v>#VALUE!</v>
      </c>
      <c r="DP206" t="e">
        <f>AND(Bills!#REF!,"AAAAAB/Ye3c=")</f>
        <v>#REF!</v>
      </c>
      <c r="DQ206" t="e">
        <f>AND(Bills!#REF!,"AAAAAB/Ye3g=")</f>
        <v>#REF!</v>
      </c>
      <c r="DR206" t="e">
        <f>AND(Bills!Y874,"AAAAAB/Ye3k=")</f>
        <v>#VALUE!</v>
      </c>
      <c r="DS206" t="e">
        <f>AND(Bills!Z874,"AAAAAB/Ye3o=")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AND(Bills!AA874,"AAAAAB/Ye4Q=")</f>
        <v>#VALUE!</v>
      </c>
      <c r="ED206" t="e">
        <f>AND(Bills!AB874,"AAAAAB/Ye4U=")</f>
        <v>#VALUE!</v>
      </c>
      <c r="EE206" t="e">
        <f>AND(Bills!#REF!,"AAAAAB/Ye4Y=")</f>
        <v>#REF!</v>
      </c>
      <c r="EF206" t="e">
        <f>AND(Bills!#REF!,"AAAAAB/Ye4c=")</f>
        <v>#REF!</v>
      </c>
      <c r="EG206" t="e">
        <f>AND(Bills!#REF!,"AAAAAB/Ye4g=")</f>
        <v>#REF!</v>
      </c>
      <c r="EH206" t="e">
        <f>AND(Bills!AC874,"AAAAAB/Ye4k=")</f>
        <v>#VALUE!</v>
      </c>
      <c r="EI206" t="e">
        <f>AND(Bills!AD874,"AAAAAB/Ye4o=")</f>
        <v>#VALUE!</v>
      </c>
      <c r="EJ206" t="e">
        <f>AND(Bills!#REF!,"AAAAAB/Ye4s=")</f>
        <v>#REF!</v>
      </c>
      <c r="EK206">
        <f>IF(Bills!875:875,"AAAAAB/Ye4w=",0)</f>
        <v>0</v>
      </c>
      <c r="EL206" t="e">
        <f>AND(Bills!B875,"AAAAAB/Ye40=")</f>
        <v>#VALUE!</v>
      </c>
      <c r="EM206" t="e">
        <f>AND(Bills!#REF!,"AAAAAB/Ye44=")</f>
        <v>#REF!</v>
      </c>
      <c r="EN206" t="e">
        <f>AND(Bills!C875,"AAAAAB/Ye48=")</f>
        <v>#VALUE!</v>
      </c>
      <c r="EO206" t="e">
        <f>AND(Bills!D875,"AAAAAB/Ye5A=")</f>
        <v>#VALUE!</v>
      </c>
      <c r="EP206" t="e">
        <f>AND(Bills!E875,"AAAAAB/Ye5E=")</f>
        <v>#VALUE!</v>
      </c>
      <c r="EQ206" t="e">
        <f>AND(Bills!#REF!,"AAAAAB/Ye5I=")</f>
        <v>#REF!</v>
      </c>
      <c r="ER206" t="e">
        <f>AND(Bills!#REF!,"AAAAAB/Ye5M=")</f>
        <v>#REF!</v>
      </c>
      <c r="ES206" t="e">
        <f>AND(Bills!#REF!,"AAAAAB/Ye5Q=")</f>
        <v>#REF!</v>
      </c>
      <c r="ET206" t="e">
        <f>AND(Bills!F875,"AAAAAB/Ye5U=")</f>
        <v>#VALUE!</v>
      </c>
      <c r="EU206" t="e">
        <f>AND(Bills!#REF!,"AAAAAB/Ye5Y=")</f>
        <v>#REF!</v>
      </c>
      <c r="EV206" t="e">
        <f>AND(Bills!G875,"AAAAAB/Ye5c=")</f>
        <v>#VALUE!</v>
      </c>
      <c r="EW206" t="e">
        <f>AND(Bills!H875,"AAAAAB/Ye5g=")</f>
        <v>#VALUE!</v>
      </c>
      <c r="EX206" t="e">
        <f>AND(Bills!I875,"AAAAAB/Ye5k=")</f>
        <v>#VALUE!</v>
      </c>
      <c r="EY206" t="e">
        <f>AND(Bills!J875,"AAAAAB/Ye5o=")</f>
        <v>#VALUE!</v>
      </c>
      <c r="EZ206" t="e">
        <f>AND(Bills!K875,"AAAAAB/Ye5s=")</f>
        <v>#VALUE!</v>
      </c>
      <c r="FA206" t="e">
        <f>AND(Bills!L875,"AAAAAB/Ye5w=")</f>
        <v>#VALUE!</v>
      </c>
      <c r="FB206" t="e">
        <f>AND(Bills!#REF!,"AAAAAB/Ye50=")</f>
        <v>#REF!</v>
      </c>
      <c r="FC206" t="e">
        <f>AND(Bills!M875,"AAAAAB/Ye54=")</f>
        <v>#VALUE!</v>
      </c>
      <c r="FD206" t="e">
        <f>AND(Bills!N875,"AAAAAB/Ye58=")</f>
        <v>#VALUE!</v>
      </c>
      <c r="FE206" t="e">
        <f>AND(Bills!O875,"AAAAAB/Ye6A=")</f>
        <v>#VALUE!</v>
      </c>
      <c r="FF206" t="e">
        <f>AND(Bills!P875,"AAAAAB/Ye6E=")</f>
        <v>#VALUE!</v>
      </c>
      <c r="FG206" t="e">
        <f>AND(Bills!Q875,"AAAAAB/Ye6I=")</f>
        <v>#VALUE!</v>
      </c>
      <c r="FH206" t="e">
        <f>AND(Bills!R875,"AAAAAB/Ye6M=")</f>
        <v>#VALUE!</v>
      </c>
      <c r="FI206" t="e">
        <f>AND(Bills!S875,"AAAAAB/Ye6Q=")</f>
        <v>#VALUE!</v>
      </c>
      <c r="FJ206" t="e">
        <f>AND(Bills!T875,"AAAAAB/Ye6U=")</f>
        <v>#VALUE!</v>
      </c>
      <c r="FK206" t="e">
        <f>AND(Bills!#REF!,"AAAAAB/Ye6Y=")</f>
        <v>#REF!</v>
      </c>
      <c r="FL206" t="e">
        <f>AND(Bills!U875,"AAAAAB/Ye6c=")</f>
        <v>#VALUE!</v>
      </c>
      <c r="FM206" t="e">
        <f>AND(Bills!V875,"AAAAAB/Ye6g=")</f>
        <v>#VALUE!</v>
      </c>
      <c r="FN206" t="e">
        <f>AND(Bills!W875,"AAAAAB/Ye6k=")</f>
        <v>#VALUE!</v>
      </c>
      <c r="FO206" t="e">
        <f>AND(Bills!#REF!,"AAAAAB/Ye6o=")</f>
        <v>#REF!</v>
      </c>
      <c r="FP206" t="e">
        <f>AND(Bills!#REF!,"AAAAAB/Ye6s=")</f>
        <v>#REF!</v>
      </c>
      <c r="FQ206" t="e">
        <f>AND(Bills!Y875,"AAAAAB/Ye6w=")</f>
        <v>#VALUE!</v>
      </c>
      <c r="FR206" t="e">
        <f>AND(Bills!Z875,"AAAAAB/Ye60=")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AND(Bills!AA875,"AAAAAB/Ye7c=")</f>
        <v>#VALUE!</v>
      </c>
      <c r="GC206" t="e">
        <f>AND(Bills!AB875,"AAAAAB/Ye7g=")</f>
        <v>#VALUE!</v>
      </c>
      <c r="GD206" t="e">
        <f>AND(Bills!#REF!,"AAAAAB/Ye7k=")</f>
        <v>#REF!</v>
      </c>
      <c r="GE206" t="e">
        <f>AND(Bills!#REF!,"AAAAAB/Ye7o=")</f>
        <v>#REF!</v>
      </c>
      <c r="GF206" t="e">
        <f>AND(Bills!#REF!,"AAAAAB/Ye7s=")</f>
        <v>#REF!</v>
      </c>
      <c r="GG206" t="e">
        <f>AND(Bills!AC875,"AAAAAB/Ye7w=")</f>
        <v>#VALUE!</v>
      </c>
      <c r="GH206" t="e">
        <f>AND(Bills!AD875,"AAAAAB/Ye70=")</f>
        <v>#VALUE!</v>
      </c>
      <c r="GI206" t="e">
        <f>AND(Bills!#REF!,"AAAAAB/Ye74=")</f>
        <v>#REF!</v>
      </c>
      <c r="GJ206">
        <f>IF(Bills!876:876,"AAAAAB/Ye78=",0)</f>
        <v>0</v>
      </c>
      <c r="GK206" t="e">
        <f>AND(Bills!B876,"AAAAAB/Ye8A=")</f>
        <v>#VALUE!</v>
      </c>
      <c r="GL206" t="e">
        <f>AND(Bills!#REF!,"AAAAAB/Ye8E=")</f>
        <v>#REF!</v>
      </c>
      <c r="GM206" t="e">
        <f>AND(Bills!C876,"AAAAAB/Ye8I=")</f>
        <v>#VALUE!</v>
      </c>
      <c r="GN206" t="e">
        <f>AND(Bills!D876,"AAAAAB/Ye8M=")</f>
        <v>#VALUE!</v>
      </c>
      <c r="GO206" t="e">
        <f>AND(Bills!E876,"AAAAAB/Ye8Q=")</f>
        <v>#VALUE!</v>
      </c>
      <c r="GP206" t="e">
        <f>AND(Bills!#REF!,"AAAAAB/Ye8U=")</f>
        <v>#REF!</v>
      </c>
      <c r="GQ206" t="e">
        <f>AND(Bills!#REF!,"AAAAAB/Ye8Y=")</f>
        <v>#REF!</v>
      </c>
      <c r="GR206" t="e">
        <f>AND(Bills!#REF!,"AAAAAB/Ye8c=")</f>
        <v>#REF!</v>
      </c>
      <c r="GS206" t="e">
        <f>AND(Bills!F876,"AAAAAB/Ye8g=")</f>
        <v>#VALUE!</v>
      </c>
      <c r="GT206" t="e">
        <f>AND(Bills!#REF!,"AAAAAB/Ye8k=")</f>
        <v>#REF!</v>
      </c>
      <c r="GU206" t="e">
        <f>AND(Bills!G876,"AAAAAB/Ye8o=")</f>
        <v>#VALUE!</v>
      </c>
      <c r="GV206" t="e">
        <f>AND(Bills!H876,"AAAAAB/Ye8s=")</f>
        <v>#VALUE!</v>
      </c>
      <c r="GW206" t="e">
        <f>AND(Bills!I876,"AAAAAB/Ye8w=")</f>
        <v>#VALUE!</v>
      </c>
      <c r="GX206" t="e">
        <f>AND(Bills!J876,"AAAAAB/Ye80=")</f>
        <v>#VALUE!</v>
      </c>
      <c r="GY206" t="e">
        <f>AND(Bills!K876,"AAAAAB/Ye84=")</f>
        <v>#VALUE!</v>
      </c>
      <c r="GZ206" t="e">
        <f>AND(Bills!L876,"AAAAAB/Ye88=")</f>
        <v>#VALUE!</v>
      </c>
      <c r="HA206" t="e">
        <f>AND(Bills!#REF!,"AAAAAB/Ye9A=")</f>
        <v>#REF!</v>
      </c>
      <c r="HB206" t="e">
        <f>AND(Bills!M876,"AAAAAB/Ye9E=")</f>
        <v>#VALUE!</v>
      </c>
      <c r="HC206" t="e">
        <f>AND(Bills!N876,"AAAAAB/Ye9I=")</f>
        <v>#VALUE!</v>
      </c>
      <c r="HD206" t="e">
        <f>AND(Bills!O876,"AAAAAB/Ye9M=")</f>
        <v>#VALUE!</v>
      </c>
      <c r="HE206" t="e">
        <f>AND(Bills!P876,"AAAAAB/Ye9Q=")</f>
        <v>#VALUE!</v>
      </c>
      <c r="HF206" t="e">
        <f>AND(Bills!Q876,"AAAAAB/Ye9U=")</f>
        <v>#VALUE!</v>
      </c>
      <c r="HG206" t="e">
        <f>AND(Bills!R876,"AAAAAB/Ye9Y=")</f>
        <v>#VALUE!</v>
      </c>
      <c r="HH206" t="e">
        <f>AND(Bills!S876,"AAAAAB/Ye9c=")</f>
        <v>#VALUE!</v>
      </c>
      <c r="HI206" t="e">
        <f>AND(Bills!T876,"AAAAAB/Ye9g=")</f>
        <v>#VALUE!</v>
      </c>
      <c r="HJ206" t="e">
        <f>AND(Bills!#REF!,"AAAAAB/Ye9k=")</f>
        <v>#REF!</v>
      </c>
      <c r="HK206" t="e">
        <f>AND(Bills!U876,"AAAAAB/Ye9o=")</f>
        <v>#VALUE!</v>
      </c>
      <c r="HL206" t="e">
        <f>AND(Bills!V876,"AAAAAB/Ye9s=")</f>
        <v>#VALUE!</v>
      </c>
      <c r="HM206" t="e">
        <f>AND(Bills!W876,"AAAAAB/Ye9w=")</f>
        <v>#VALUE!</v>
      </c>
      <c r="HN206" t="e">
        <f>AND(Bills!#REF!,"AAAAAB/Ye90=")</f>
        <v>#REF!</v>
      </c>
      <c r="HO206" t="e">
        <f>AND(Bills!#REF!,"AAAAAB/Ye94=")</f>
        <v>#REF!</v>
      </c>
      <c r="HP206" t="e">
        <f>AND(Bills!Y876,"AAAAAB/Ye98=")</f>
        <v>#VALUE!</v>
      </c>
      <c r="HQ206" t="e">
        <f>AND(Bills!Z876,"AAAAAB/Ye+A=")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AND(Bills!AA876,"AAAAAB/Ye+o=")</f>
        <v>#VALUE!</v>
      </c>
      <c r="IB206" t="e">
        <f>AND(Bills!AB876,"AAAAAB/Ye+s=")</f>
        <v>#VALUE!</v>
      </c>
      <c r="IC206" t="e">
        <f>AND(Bills!#REF!,"AAAAAB/Ye+w=")</f>
        <v>#REF!</v>
      </c>
      <c r="ID206" t="e">
        <f>AND(Bills!#REF!,"AAAAAB/Ye+0=")</f>
        <v>#REF!</v>
      </c>
      <c r="IE206" t="e">
        <f>AND(Bills!#REF!,"AAAAAB/Ye+4=")</f>
        <v>#REF!</v>
      </c>
      <c r="IF206" t="e">
        <f>AND(Bills!AC876,"AAAAAB/Ye+8=")</f>
        <v>#VALUE!</v>
      </c>
      <c r="IG206" t="e">
        <f>AND(Bills!AD876,"AAAAAB/Ye/A=")</f>
        <v>#VALUE!</v>
      </c>
      <c r="IH206" t="e">
        <f>AND(Bills!#REF!,"AAAAAB/Ye/E=")</f>
        <v>#REF!</v>
      </c>
      <c r="II206">
        <f>IF(Bills!877:877,"AAAAAB/Ye/I=",0)</f>
        <v>0</v>
      </c>
      <c r="IJ206" t="e">
        <f>AND(Bills!B877,"AAAAAB/Ye/M=")</f>
        <v>#VALUE!</v>
      </c>
      <c r="IK206" t="e">
        <f>AND(Bills!#REF!,"AAAAAB/Ye/Q=")</f>
        <v>#REF!</v>
      </c>
      <c r="IL206" t="e">
        <f>AND(Bills!C877,"AAAAAB/Ye/U=")</f>
        <v>#VALUE!</v>
      </c>
      <c r="IM206" t="e">
        <f>AND(Bills!D877,"AAAAAB/Ye/Y=")</f>
        <v>#VALUE!</v>
      </c>
      <c r="IN206" t="e">
        <f>AND(Bills!E877,"AAAAAB/Ye/c=")</f>
        <v>#VALUE!</v>
      </c>
      <c r="IO206" t="e">
        <f>AND(Bills!#REF!,"AAAAAB/Ye/g=")</f>
        <v>#REF!</v>
      </c>
      <c r="IP206" t="e">
        <f>AND(Bills!#REF!,"AAAAAB/Ye/k=")</f>
        <v>#REF!</v>
      </c>
      <c r="IQ206" t="e">
        <f>AND(Bills!#REF!,"AAAAAB/Ye/o=")</f>
        <v>#REF!</v>
      </c>
      <c r="IR206" t="e">
        <f>AND(Bills!F877,"AAAAAB/Ye/s=")</f>
        <v>#VALUE!</v>
      </c>
      <c r="IS206" t="e">
        <f>AND(Bills!#REF!,"AAAAAB/Ye/w=")</f>
        <v>#REF!</v>
      </c>
      <c r="IT206" t="e">
        <f>AND(Bills!G877,"AAAAAB/Ye/0=")</f>
        <v>#VALUE!</v>
      </c>
      <c r="IU206" t="e">
        <f>AND(Bills!H877,"AAAAAB/Ye/4=")</f>
        <v>#VALUE!</v>
      </c>
      <c r="IV206" t="e">
        <f>AND(Bills!I877,"AAAAAB/Ye/8=")</f>
        <v>#VALUE!</v>
      </c>
    </row>
    <row r="207" spans="1:256">
      <c r="A207" t="e">
        <f>AND(Bills!J877,"AAAAAHa7/QA=")</f>
        <v>#VALUE!</v>
      </c>
      <c r="B207" t="e">
        <f>AND(Bills!K877,"AAAAAHa7/QE=")</f>
        <v>#VALUE!</v>
      </c>
      <c r="C207" t="e">
        <f>AND(Bills!L877,"AAAAAHa7/QI=")</f>
        <v>#VALUE!</v>
      </c>
      <c r="D207" t="e">
        <f>AND(Bills!#REF!,"AAAAAHa7/QM=")</f>
        <v>#REF!</v>
      </c>
      <c r="E207" t="e">
        <f>AND(Bills!M877,"AAAAAHa7/QQ=")</f>
        <v>#VALUE!</v>
      </c>
      <c r="F207" t="e">
        <f>AND(Bills!N877,"AAAAAHa7/QU=")</f>
        <v>#VALUE!</v>
      </c>
      <c r="G207" t="e">
        <f>AND(Bills!O877,"AAAAAHa7/QY=")</f>
        <v>#VALUE!</v>
      </c>
      <c r="H207" t="e">
        <f>AND(Bills!P877,"AAAAAHa7/Qc=")</f>
        <v>#VALUE!</v>
      </c>
      <c r="I207" t="e">
        <f>AND(Bills!Q877,"AAAAAHa7/Qg=")</f>
        <v>#VALUE!</v>
      </c>
      <c r="J207" t="e">
        <f>AND(Bills!R877,"AAAAAHa7/Qk=")</f>
        <v>#VALUE!</v>
      </c>
      <c r="K207" t="e">
        <f>AND(Bills!S877,"AAAAAHa7/Qo=")</f>
        <v>#VALUE!</v>
      </c>
      <c r="L207" t="e">
        <f>AND(Bills!T877,"AAAAAHa7/Qs=")</f>
        <v>#VALUE!</v>
      </c>
      <c r="M207" t="e">
        <f>AND(Bills!#REF!,"AAAAAHa7/Qw=")</f>
        <v>#REF!</v>
      </c>
      <c r="N207" t="e">
        <f>AND(Bills!U877,"AAAAAHa7/Q0=")</f>
        <v>#VALUE!</v>
      </c>
      <c r="O207" t="e">
        <f>AND(Bills!V877,"AAAAAHa7/Q4=")</f>
        <v>#VALUE!</v>
      </c>
      <c r="P207" t="e">
        <f>AND(Bills!W877,"AAAAAHa7/Q8=")</f>
        <v>#VALUE!</v>
      </c>
      <c r="Q207" t="e">
        <f>AND(Bills!#REF!,"AAAAAHa7/RA=")</f>
        <v>#REF!</v>
      </c>
      <c r="R207" t="e">
        <f>AND(Bills!#REF!,"AAAAAHa7/RE=")</f>
        <v>#REF!</v>
      </c>
      <c r="S207" t="e">
        <f>AND(Bills!Y877,"AAAAAHa7/RI=")</f>
        <v>#VALUE!</v>
      </c>
      <c r="T207" t="e">
        <f>AND(Bills!Z877,"AAAAAHa7/RM=")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AND(Bills!AA877,"AAAAAHa7/R0=")</f>
        <v>#VALUE!</v>
      </c>
      <c r="AE207" t="e">
        <f>AND(Bills!AB877,"AAAAAHa7/R4=")</f>
        <v>#VALUE!</v>
      </c>
      <c r="AF207" t="e">
        <f>AND(Bills!#REF!,"AAAAAHa7/R8=")</f>
        <v>#REF!</v>
      </c>
      <c r="AG207" t="e">
        <f>AND(Bills!#REF!,"AAAAAHa7/SA=")</f>
        <v>#REF!</v>
      </c>
      <c r="AH207" t="e">
        <f>AND(Bills!#REF!,"AAAAAHa7/SE=")</f>
        <v>#REF!</v>
      </c>
      <c r="AI207" t="e">
        <f>AND(Bills!AC877,"AAAAAHa7/SI=")</f>
        <v>#VALUE!</v>
      </c>
      <c r="AJ207" t="e">
        <f>AND(Bills!AD877,"AAAAAHa7/SM=")</f>
        <v>#VALUE!</v>
      </c>
      <c r="AK207" t="e">
        <f>AND(Bills!#REF!,"AAAAAHa7/SQ=")</f>
        <v>#REF!</v>
      </c>
      <c r="AL207">
        <f>IF(Bills!878:878,"AAAAAHa7/SU=",0)</f>
        <v>0</v>
      </c>
      <c r="AM207" t="e">
        <f>AND(Bills!B878,"AAAAAHa7/SY=")</f>
        <v>#VALUE!</v>
      </c>
      <c r="AN207" t="e">
        <f>AND(Bills!#REF!,"AAAAAHa7/Sc=")</f>
        <v>#REF!</v>
      </c>
      <c r="AO207" t="e">
        <f>AND(Bills!C878,"AAAAAHa7/Sg=")</f>
        <v>#VALUE!</v>
      </c>
      <c r="AP207" t="e">
        <f>AND(Bills!D878,"AAAAAHa7/Sk=")</f>
        <v>#VALUE!</v>
      </c>
      <c r="AQ207" t="e">
        <f>AND(Bills!E878,"AAAAAHa7/So=")</f>
        <v>#VALUE!</v>
      </c>
      <c r="AR207" t="e">
        <f>AND(Bills!#REF!,"AAAAAHa7/Ss=")</f>
        <v>#REF!</v>
      </c>
      <c r="AS207" t="e">
        <f>AND(Bills!#REF!,"AAAAAHa7/Sw=")</f>
        <v>#REF!</v>
      </c>
      <c r="AT207" t="e">
        <f>AND(Bills!#REF!,"AAAAAHa7/S0=")</f>
        <v>#REF!</v>
      </c>
      <c r="AU207" t="e">
        <f>AND(Bills!F878,"AAAAAHa7/S4=")</f>
        <v>#VALUE!</v>
      </c>
      <c r="AV207" t="e">
        <f>AND(Bills!#REF!,"AAAAAHa7/S8=")</f>
        <v>#REF!</v>
      </c>
      <c r="AW207" t="e">
        <f>AND(Bills!G878,"AAAAAHa7/TA=")</f>
        <v>#VALUE!</v>
      </c>
      <c r="AX207" t="e">
        <f>AND(Bills!H878,"AAAAAHa7/TE=")</f>
        <v>#VALUE!</v>
      </c>
      <c r="AY207" t="e">
        <f>AND(Bills!I878,"AAAAAHa7/TI=")</f>
        <v>#VALUE!</v>
      </c>
      <c r="AZ207" t="e">
        <f>AND(Bills!J878,"AAAAAHa7/TM=")</f>
        <v>#VALUE!</v>
      </c>
      <c r="BA207" t="e">
        <f>AND(Bills!K878,"AAAAAHa7/TQ=")</f>
        <v>#VALUE!</v>
      </c>
      <c r="BB207" t="e">
        <f>AND(Bills!L878,"AAAAAHa7/TU=")</f>
        <v>#VALUE!</v>
      </c>
      <c r="BC207" t="e">
        <f>AND(Bills!#REF!,"AAAAAHa7/TY=")</f>
        <v>#REF!</v>
      </c>
      <c r="BD207" t="e">
        <f>AND(Bills!M878,"AAAAAHa7/Tc=")</f>
        <v>#VALUE!</v>
      </c>
      <c r="BE207" t="e">
        <f>AND(Bills!N878,"AAAAAHa7/Tg=")</f>
        <v>#VALUE!</v>
      </c>
      <c r="BF207" t="e">
        <f>AND(Bills!O878,"AAAAAHa7/Tk=")</f>
        <v>#VALUE!</v>
      </c>
      <c r="BG207" t="e">
        <f>AND(Bills!P878,"AAAAAHa7/To=")</f>
        <v>#VALUE!</v>
      </c>
      <c r="BH207" t="e">
        <f>AND(Bills!Q878,"AAAAAHa7/Ts=")</f>
        <v>#VALUE!</v>
      </c>
      <c r="BI207" t="e">
        <f>AND(Bills!R878,"AAAAAHa7/Tw=")</f>
        <v>#VALUE!</v>
      </c>
      <c r="BJ207" t="e">
        <f>AND(Bills!S878,"AAAAAHa7/T0=")</f>
        <v>#VALUE!</v>
      </c>
      <c r="BK207" t="e">
        <f>AND(Bills!T878,"AAAAAHa7/T4=")</f>
        <v>#VALUE!</v>
      </c>
      <c r="BL207" t="e">
        <f>AND(Bills!#REF!,"AAAAAHa7/T8=")</f>
        <v>#REF!</v>
      </c>
      <c r="BM207" t="e">
        <f>AND(Bills!U878,"AAAAAHa7/UA=")</f>
        <v>#VALUE!</v>
      </c>
      <c r="BN207" t="e">
        <f>AND(Bills!V878,"AAAAAHa7/UE=")</f>
        <v>#VALUE!</v>
      </c>
      <c r="BO207" t="e">
        <f>AND(Bills!W878,"AAAAAHa7/UI=")</f>
        <v>#VALUE!</v>
      </c>
      <c r="BP207" t="e">
        <f>AND(Bills!#REF!,"AAAAAHa7/UM=")</f>
        <v>#REF!</v>
      </c>
      <c r="BQ207" t="e">
        <f>AND(Bills!#REF!,"AAAAAHa7/UQ=")</f>
        <v>#REF!</v>
      </c>
      <c r="BR207" t="e">
        <f>AND(Bills!Y878,"AAAAAHa7/UU=")</f>
        <v>#VALUE!</v>
      </c>
      <c r="BS207" t="e">
        <f>AND(Bills!Z878,"AAAAAHa7/UY=")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AND(Bills!AA878,"AAAAAHa7/VA=")</f>
        <v>#VALUE!</v>
      </c>
      <c r="CD207" t="e">
        <f>AND(Bills!AB878,"AAAAAHa7/VE=")</f>
        <v>#VALUE!</v>
      </c>
      <c r="CE207" t="e">
        <f>AND(Bills!#REF!,"AAAAAHa7/VI=")</f>
        <v>#REF!</v>
      </c>
      <c r="CF207" t="e">
        <f>AND(Bills!#REF!,"AAAAAHa7/VM=")</f>
        <v>#REF!</v>
      </c>
      <c r="CG207" t="e">
        <f>AND(Bills!#REF!,"AAAAAHa7/VQ=")</f>
        <v>#REF!</v>
      </c>
      <c r="CH207" t="e">
        <f>AND(Bills!AC878,"AAAAAHa7/VU=")</f>
        <v>#VALUE!</v>
      </c>
      <c r="CI207" t="e">
        <f>AND(Bills!AD878,"AAAAAHa7/VY=")</f>
        <v>#VALUE!</v>
      </c>
      <c r="CJ207" t="e">
        <f>AND(Bills!#REF!,"AAAAAHa7/Vc=")</f>
        <v>#REF!</v>
      </c>
      <c r="CK207">
        <f>IF(Bills!879:879,"AAAAAHa7/Vg=",0)</f>
        <v>0</v>
      </c>
      <c r="CL207" t="e">
        <f>AND(Bills!B879,"AAAAAHa7/Vk=")</f>
        <v>#VALUE!</v>
      </c>
      <c r="CM207" t="e">
        <f>AND(Bills!#REF!,"AAAAAHa7/Vo=")</f>
        <v>#REF!</v>
      </c>
      <c r="CN207" t="e">
        <f>AND(Bills!C879,"AAAAAHa7/Vs=")</f>
        <v>#VALUE!</v>
      </c>
      <c r="CO207" t="e">
        <f>AND(Bills!D879,"AAAAAHa7/Vw=")</f>
        <v>#VALUE!</v>
      </c>
      <c r="CP207" t="e">
        <f>AND(Bills!E879,"AAAAAHa7/V0=")</f>
        <v>#VALUE!</v>
      </c>
      <c r="CQ207" t="e">
        <f>AND(Bills!#REF!,"AAAAAHa7/V4=")</f>
        <v>#REF!</v>
      </c>
      <c r="CR207" t="e">
        <f>AND(Bills!#REF!,"AAAAAHa7/V8=")</f>
        <v>#REF!</v>
      </c>
      <c r="CS207" t="e">
        <f>AND(Bills!#REF!,"AAAAAHa7/WA=")</f>
        <v>#REF!</v>
      </c>
      <c r="CT207" t="e">
        <f>AND(Bills!F879,"AAAAAHa7/WE=")</f>
        <v>#VALUE!</v>
      </c>
      <c r="CU207" t="e">
        <f>AND(Bills!#REF!,"AAAAAHa7/WI=")</f>
        <v>#REF!</v>
      </c>
      <c r="CV207" t="e">
        <f>AND(Bills!G879,"AAAAAHa7/WM=")</f>
        <v>#VALUE!</v>
      </c>
      <c r="CW207" t="e">
        <f>AND(Bills!H879,"AAAAAHa7/WQ=")</f>
        <v>#VALUE!</v>
      </c>
      <c r="CX207" t="e">
        <f>AND(Bills!I879,"AAAAAHa7/WU=")</f>
        <v>#VALUE!</v>
      </c>
      <c r="CY207" t="e">
        <f>AND(Bills!J879,"AAAAAHa7/WY=")</f>
        <v>#VALUE!</v>
      </c>
      <c r="CZ207" t="e">
        <f>AND(Bills!K879,"AAAAAHa7/Wc=")</f>
        <v>#VALUE!</v>
      </c>
      <c r="DA207" t="e">
        <f>AND(Bills!L879,"AAAAAHa7/Wg=")</f>
        <v>#VALUE!</v>
      </c>
      <c r="DB207" t="e">
        <f>AND(Bills!#REF!,"AAAAAHa7/Wk=")</f>
        <v>#REF!</v>
      </c>
      <c r="DC207" t="e">
        <f>AND(Bills!M879,"AAAAAHa7/Wo=")</f>
        <v>#VALUE!</v>
      </c>
      <c r="DD207" t="e">
        <f>AND(Bills!N879,"AAAAAHa7/Ws=")</f>
        <v>#VALUE!</v>
      </c>
      <c r="DE207" t="e">
        <f>AND(Bills!O879,"AAAAAHa7/Ww=")</f>
        <v>#VALUE!</v>
      </c>
      <c r="DF207" t="e">
        <f>AND(Bills!P879,"AAAAAHa7/W0=")</f>
        <v>#VALUE!</v>
      </c>
      <c r="DG207" t="e">
        <f>AND(Bills!Q879,"AAAAAHa7/W4=")</f>
        <v>#VALUE!</v>
      </c>
      <c r="DH207" t="e">
        <f>AND(Bills!R879,"AAAAAHa7/W8=")</f>
        <v>#VALUE!</v>
      </c>
      <c r="DI207" t="e">
        <f>AND(Bills!S879,"AAAAAHa7/XA=")</f>
        <v>#VALUE!</v>
      </c>
      <c r="DJ207" t="e">
        <f>AND(Bills!T879,"AAAAAHa7/XE=")</f>
        <v>#VALUE!</v>
      </c>
      <c r="DK207" t="e">
        <f>AND(Bills!#REF!,"AAAAAHa7/XI=")</f>
        <v>#REF!</v>
      </c>
      <c r="DL207" t="e">
        <f>AND(Bills!U879,"AAAAAHa7/XM=")</f>
        <v>#VALUE!</v>
      </c>
      <c r="DM207" t="e">
        <f>AND(Bills!V879,"AAAAAHa7/XQ=")</f>
        <v>#VALUE!</v>
      </c>
      <c r="DN207" t="e">
        <f>AND(Bills!W879,"AAAAAHa7/XU=")</f>
        <v>#VALUE!</v>
      </c>
      <c r="DO207" t="e">
        <f>AND(Bills!#REF!,"AAAAAHa7/XY=")</f>
        <v>#REF!</v>
      </c>
      <c r="DP207" t="e">
        <f>AND(Bills!#REF!,"AAAAAHa7/Xc=")</f>
        <v>#REF!</v>
      </c>
      <c r="DQ207" t="e">
        <f>AND(Bills!Y879,"AAAAAHa7/Xg=")</f>
        <v>#VALUE!</v>
      </c>
      <c r="DR207" t="e">
        <f>AND(Bills!Z879,"AAAAAHa7/Xk=")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AND(Bills!AA879,"AAAAAHa7/YM=")</f>
        <v>#VALUE!</v>
      </c>
      <c r="EC207" t="e">
        <f>AND(Bills!AB879,"AAAAAHa7/YQ=")</f>
        <v>#VALUE!</v>
      </c>
      <c r="ED207" t="e">
        <f>AND(Bills!#REF!,"AAAAAHa7/YU=")</f>
        <v>#REF!</v>
      </c>
      <c r="EE207" t="e">
        <f>AND(Bills!#REF!,"AAAAAHa7/YY=")</f>
        <v>#REF!</v>
      </c>
      <c r="EF207" t="e">
        <f>AND(Bills!#REF!,"AAAAAHa7/Yc=")</f>
        <v>#REF!</v>
      </c>
      <c r="EG207" t="e">
        <f>AND(Bills!AC879,"AAAAAHa7/Yg=")</f>
        <v>#VALUE!</v>
      </c>
      <c r="EH207" t="e">
        <f>AND(Bills!AD879,"AAAAAHa7/Yk=")</f>
        <v>#VALUE!</v>
      </c>
      <c r="EI207" t="e">
        <f>AND(Bills!#REF!,"AAAAAHa7/Yo=")</f>
        <v>#REF!</v>
      </c>
      <c r="EJ207">
        <f>IF(Bills!880:880,"AAAAAHa7/Ys=",0)</f>
        <v>0</v>
      </c>
      <c r="EK207" t="e">
        <f>AND(Bills!B880,"AAAAAHa7/Yw=")</f>
        <v>#VALUE!</v>
      </c>
      <c r="EL207" t="e">
        <f>AND(Bills!#REF!,"AAAAAHa7/Y0=")</f>
        <v>#REF!</v>
      </c>
      <c r="EM207" t="e">
        <f>AND(Bills!C880,"AAAAAHa7/Y4=")</f>
        <v>#VALUE!</v>
      </c>
      <c r="EN207" t="e">
        <f>AND(Bills!D880,"AAAAAHa7/Y8=")</f>
        <v>#VALUE!</v>
      </c>
      <c r="EO207" t="e">
        <f>AND(Bills!E880,"AAAAAHa7/ZA=")</f>
        <v>#VALUE!</v>
      </c>
      <c r="EP207" t="e">
        <f>AND(Bills!#REF!,"AAAAAHa7/ZE=")</f>
        <v>#REF!</v>
      </c>
      <c r="EQ207" t="e">
        <f>AND(Bills!#REF!,"AAAAAHa7/ZI=")</f>
        <v>#REF!</v>
      </c>
      <c r="ER207" t="e">
        <f>AND(Bills!#REF!,"AAAAAHa7/ZM=")</f>
        <v>#REF!</v>
      </c>
      <c r="ES207" t="e">
        <f>AND(Bills!F880,"AAAAAHa7/ZQ=")</f>
        <v>#VALUE!</v>
      </c>
      <c r="ET207" t="e">
        <f>AND(Bills!#REF!,"AAAAAHa7/ZU=")</f>
        <v>#REF!</v>
      </c>
      <c r="EU207" t="e">
        <f>AND(Bills!G880,"AAAAAHa7/ZY=")</f>
        <v>#VALUE!</v>
      </c>
      <c r="EV207" t="e">
        <f>AND(Bills!H880,"AAAAAHa7/Zc=")</f>
        <v>#VALUE!</v>
      </c>
      <c r="EW207" t="e">
        <f>AND(Bills!I880,"AAAAAHa7/Zg=")</f>
        <v>#VALUE!</v>
      </c>
      <c r="EX207" t="e">
        <f>AND(Bills!J880,"AAAAAHa7/Zk=")</f>
        <v>#VALUE!</v>
      </c>
      <c r="EY207" t="e">
        <f>AND(Bills!K880,"AAAAAHa7/Zo=")</f>
        <v>#VALUE!</v>
      </c>
      <c r="EZ207" t="e">
        <f>AND(Bills!L880,"AAAAAHa7/Zs=")</f>
        <v>#VALUE!</v>
      </c>
      <c r="FA207" t="e">
        <f>AND(Bills!#REF!,"AAAAAHa7/Zw=")</f>
        <v>#REF!</v>
      </c>
      <c r="FB207" t="e">
        <f>AND(Bills!M880,"AAAAAHa7/Z0=")</f>
        <v>#VALUE!</v>
      </c>
      <c r="FC207" t="e">
        <f>AND(Bills!N880,"AAAAAHa7/Z4=")</f>
        <v>#VALUE!</v>
      </c>
      <c r="FD207" t="e">
        <f>AND(Bills!O880,"AAAAAHa7/Z8=")</f>
        <v>#VALUE!</v>
      </c>
      <c r="FE207" t="e">
        <f>AND(Bills!P880,"AAAAAHa7/aA=")</f>
        <v>#VALUE!</v>
      </c>
      <c r="FF207" t="e">
        <f>AND(Bills!Q880,"AAAAAHa7/aE=")</f>
        <v>#VALUE!</v>
      </c>
      <c r="FG207" t="e">
        <f>AND(Bills!R880,"AAAAAHa7/aI=")</f>
        <v>#VALUE!</v>
      </c>
      <c r="FH207" t="e">
        <f>AND(Bills!S880,"AAAAAHa7/aM=")</f>
        <v>#VALUE!</v>
      </c>
      <c r="FI207" t="e">
        <f>AND(Bills!T880,"AAAAAHa7/aQ=")</f>
        <v>#VALUE!</v>
      </c>
      <c r="FJ207" t="e">
        <f>AND(Bills!#REF!,"AAAAAHa7/aU=")</f>
        <v>#REF!</v>
      </c>
      <c r="FK207" t="e">
        <f>AND(Bills!U880,"AAAAAHa7/aY=")</f>
        <v>#VALUE!</v>
      </c>
      <c r="FL207" t="e">
        <f>AND(Bills!V880,"AAAAAHa7/ac=")</f>
        <v>#VALUE!</v>
      </c>
      <c r="FM207" t="e">
        <f>AND(Bills!W880,"AAAAAHa7/ag=")</f>
        <v>#VALUE!</v>
      </c>
      <c r="FN207" t="e">
        <f>AND(Bills!#REF!,"AAAAAHa7/ak=")</f>
        <v>#REF!</v>
      </c>
      <c r="FO207" t="e">
        <f>AND(Bills!#REF!,"AAAAAHa7/ao=")</f>
        <v>#REF!</v>
      </c>
      <c r="FP207" t="e">
        <f>AND(Bills!Y880,"AAAAAHa7/as=")</f>
        <v>#VALUE!</v>
      </c>
      <c r="FQ207" t="e">
        <f>AND(Bills!Z880,"AAAAAHa7/aw=")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AND(Bills!AA880,"AAAAAHa7/bY=")</f>
        <v>#VALUE!</v>
      </c>
      <c r="GB207" t="e">
        <f>AND(Bills!AB880,"AAAAAHa7/bc=")</f>
        <v>#VALUE!</v>
      </c>
      <c r="GC207" t="e">
        <f>AND(Bills!#REF!,"AAAAAHa7/bg=")</f>
        <v>#REF!</v>
      </c>
      <c r="GD207" t="e">
        <f>AND(Bills!#REF!,"AAAAAHa7/bk=")</f>
        <v>#REF!</v>
      </c>
      <c r="GE207" t="e">
        <f>AND(Bills!#REF!,"AAAAAHa7/bo=")</f>
        <v>#REF!</v>
      </c>
      <c r="GF207" t="e">
        <f>AND(Bills!AC880,"AAAAAHa7/bs=")</f>
        <v>#VALUE!</v>
      </c>
      <c r="GG207" t="e">
        <f>AND(Bills!AD880,"AAAAAHa7/bw=")</f>
        <v>#VALUE!</v>
      </c>
      <c r="GH207" t="e">
        <f>AND(Bills!#REF!,"AAAAAHa7/b0=")</f>
        <v>#REF!</v>
      </c>
      <c r="GI207">
        <f>IF(Bills!881:881,"AAAAAHa7/b4=",0)</f>
        <v>0</v>
      </c>
      <c r="GJ207" t="e">
        <f>AND(Bills!B881,"AAAAAHa7/b8=")</f>
        <v>#VALUE!</v>
      </c>
      <c r="GK207" t="e">
        <f>AND(Bills!#REF!,"AAAAAHa7/cA=")</f>
        <v>#REF!</v>
      </c>
      <c r="GL207" t="e">
        <f>AND(Bills!C881,"AAAAAHa7/cE=")</f>
        <v>#VALUE!</v>
      </c>
      <c r="GM207" t="e">
        <f>AND(Bills!D881,"AAAAAHa7/cI=")</f>
        <v>#VALUE!</v>
      </c>
      <c r="GN207" t="e">
        <f>AND(Bills!E881,"AAAAAHa7/cM=")</f>
        <v>#VALUE!</v>
      </c>
      <c r="GO207" t="e">
        <f>AND(Bills!#REF!,"AAAAAHa7/cQ=")</f>
        <v>#REF!</v>
      </c>
      <c r="GP207" t="e">
        <f>AND(Bills!#REF!,"AAAAAHa7/cU=")</f>
        <v>#REF!</v>
      </c>
      <c r="GQ207" t="e">
        <f>AND(Bills!#REF!,"AAAAAHa7/cY=")</f>
        <v>#REF!</v>
      </c>
      <c r="GR207" t="e">
        <f>AND(Bills!F881,"AAAAAHa7/cc=")</f>
        <v>#VALUE!</v>
      </c>
      <c r="GS207" t="e">
        <f>AND(Bills!#REF!,"AAAAAHa7/cg=")</f>
        <v>#REF!</v>
      </c>
      <c r="GT207" t="e">
        <f>AND(Bills!G881,"AAAAAHa7/ck=")</f>
        <v>#VALUE!</v>
      </c>
      <c r="GU207" t="e">
        <f>AND(Bills!H881,"AAAAAHa7/co=")</f>
        <v>#VALUE!</v>
      </c>
      <c r="GV207" t="e">
        <f>AND(Bills!I881,"AAAAAHa7/cs=")</f>
        <v>#VALUE!</v>
      </c>
      <c r="GW207" t="e">
        <f>AND(Bills!J881,"AAAAAHa7/cw=")</f>
        <v>#VALUE!</v>
      </c>
      <c r="GX207" t="e">
        <f>AND(Bills!K881,"AAAAAHa7/c0=")</f>
        <v>#VALUE!</v>
      </c>
      <c r="GY207" t="e">
        <f>AND(Bills!L881,"AAAAAHa7/c4=")</f>
        <v>#VALUE!</v>
      </c>
      <c r="GZ207" t="e">
        <f>AND(Bills!#REF!,"AAAAAHa7/c8=")</f>
        <v>#REF!</v>
      </c>
      <c r="HA207" t="e">
        <f>AND(Bills!M881,"AAAAAHa7/dA=")</f>
        <v>#VALUE!</v>
      </c>
      <c r="HB207" t="e">
        <f>AND(Bills!N881,"AAAAAHa7/dE=")</f>
        <v>#VALUE!</v>
      </c>
      <c r="HC207" t="e">
        <f>AND(Bills!O881,"AAAAAHa7/dI=")</f>
        <v>#VALUE!</v>
      </c>
      <c r="HD207" t="e">
        <f>AND(Bills!P881,"AAAAAHa7/dM=")</f>
        <v>#VALUE!</v>
      </c>
      <c r="HE207" t="e">
        <f>AND(Bills!Q881,"AAAAAHa7/dQ=")</f>
        <v>#VALUE!</v>
      </c>
      <c r="HF207" t="e">
        <f>AND(Bills!R881,"AAAAAHa7/dU=")</f>
        <v>#VALUE!</v>
      </c>
      <c r="HG207" t="e">
        <f>AND(Bills!S881,"AAAAAHa7/dY=")</f>
        <v>#VALUE!</v>
      </c>
      <c r="HH207" t="e">
        <f>AND(Bills!T881,"AAAAAHa7/dc=")</f>
        <v>#VALUE!</v>
      </c>
      <c r="HI207" t="e">
        <f>AND(Bills!#REF!,"AAAAAHa7/dg=")</f>
        <v>#REF!</v>
      </c>
      <c r="HJ207" t="e">
        <f>AND(Bills!U881,"AAAAAHa7/dk=")</f>
        <v>#VALUE!</v>
      </c>
      <c r="HK207" t="e">
        <f>AND(Bills!V881,"AAAAAHa7/do=")</f>
        <v>#VALUE!</v>
      </c>
      <c r="HL207" t="e">
        <f>AND(Bills!W881,"AAAAAHa7/ds=")</f>
        <v>#VALUE!</v>
      </c>
      <c r="HM207" t="e">
        <f>AND(Bills!#REF!,"AAAAAHa7/dw=")</f>
        <v>#REF!</v>
      </c>
      <c r="HN207" t="e">
        <f>AND(Bills!#REF!,"AAAAAHa7/d0=")</f>
        <v>#REF!</v>
      </c>
      <c r="HO207" t="e">
        <f>AND(Bills!Y881,"AAAAAHa7/d4=")</f>
        <v>#VALUE!</v>
      </c>
      <c r="HP207" t="e">
        <f>AND(Bills!Z881,"AAAAAHa7/d8=")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AND(Bills!AA881,"AAAAAHa7/ek=")</f>
        <v>#VALUE!</v>
      </c>
      <c r="IA207" t="e">
        <f>AND(Bills!AB881,"AAAAAHa7/eo=")</f>
        <v>#VALUE!</v>
      </c>
      <c r="IB207" t="e">
        <f>AND(Bills!#REF!,"AAAAAHa7/es=")</f>
        <v>#REF!</v>
      </c>
      <c r="IC207" t="e">
        <f>AND(Bills!#REF!,"AAAAAHa7/ew=")</f>
        <v>#REF!</v>
      </c>
      <c r="ID207" t="e">
        <f>AND(Bills!#REF!,"AAAAAHa7/e0=")</f>
        <v>#REF!</v>
      </c>
      <c r="IE207" t="e">
        <f>AND(Bills!AC881,"AAAAAHa7/e4=")</f>
        <v>#VALUE!</v>
      </c>
      <c r="IF207" t="e">
        <f>AND(Bills!AD881,"AAAAAHa7/e8=")</f>
        <v>#VALUE!</v>
      </c>
      <c r="IG207" t="e">
        <f>AND(Bills!#REF!,"AAAAAHa7/fA=")</f>
        <v>#REF!</v>
      </c>
      <c r="IH207">
        <f>IF(Bills!882:882,"AAAAAHa7/fE=",0)</f>
        <v>0</v>
      </c>
      <c r="II207" t="e">
        <f>AND(Bills!B882,"AAAAAHa7/fI=")</f>
        <v>#VALUE!</v>
      </c>
      <c r="IJ207" t="e">
        <f>AND(Bills!#REF!,"AAAAAHa7/fM=")</f>
        <v>#REF!</v>
      </c>
      <c r="IK207" t="e">
        <f>AND(Bills!C882,"AAAAAHa7/fQ=")</f>
        <v>#VALUE!</v>
      </c>
      <c r="IL207" t="e">
        <f>AND(Bills!D882,"AAAAAHa7/fU=")</f>
        <v>#VALUE!</v>
      </c>
      <c r="IM207" t="e">
        <f>AND(Bills!E882,"AAAAAHa7/fY=")</f>
        <v>#VALUE!</v>
      </c>
      <c r="IN207" t="e">
        <f>AND(Bills!#REF!,"AAAAAHa7/fc=")</f>
        <v>#REF!</v>
      </c>
      <c r="IO207" t="e">
        <f>AND(Bills!#REF!,"AAAAAHa7/fg=")</f>
        <v>#REF!</v>
      </c>
      <c r="IP207" t="e">
        <f>AND(Bills!#REF!,"AAAAAHa7/fk=")</f>
        <v>#REF!</v>
      </c>
      <c r="IQ207" t="e">
        <f>AND(Bills!F882,"AAAAAHa7/fo=")</f>
        <v>#VALUE!</v>
      </c>
      <c r="IR207" t="e">
        <f>AND(Bills!#REF!,"AAAAAHa7/fs=")</f>
        <v>#REF!</v>
      </c>
      <c r="IS207" t="e">
        <f>AND(Bills!G882,"AAAAAHa7/fw=")</f>
        <v>#VALUE!</v>
      </c>
      <c r="IT207" t="e">
        <f>AND(Bills!H882,"AAAAAHa7/f0=")</f>
        <v>#VALUE!</v>
      </c>
      <c r="IU207" t="e">
        <f>AND(Bills!I882,"AAAAAHa7/f4=")</f>
        <v>#VALUE!</v>
      </c>
      <c r="IV207" t="e">
        <f>AND(Bills!J882,"AAAAAHa7/f8=")</f>
        <v>#VALUE!</v>
      </c>
    </row>
    <row r="208" spans="1:256">
      <c r="A208" t="e">
        <f>AND(Bills!K882,"AAAAAE+ztQA=")</f>
        <v>#VALUE!</v>
      </c>
      <c r="B208" t="e">
        <f>AND(Bills!L882,"AAAAAE+ztQE=")</f>
        <v>#VALUE!</v>
      </c>
      <c r="C208" t="e">
        <f>AND(Bills!#REF!,"AAAAAE+ztQI=")</f>
        <v>#REF!</v>
      </c>
      <c r="D208" t="e">
        <f>AND(Bills!M882,"AAAAAE+ztQM=")</f>
        <v>#VALUE!</v>
      </c>
      <c r="E208" t="e">
        <f>AND(Bills!N882,"AAAAAE+ztQQ=")</f>
        <v>#VALUE!</v>
      </c>
      <c r="F208" t="e">
        <f>AND(Bills!O882,"AAAAAE+ztQU=")</f>
        <v>#VALUE!</v>
      </c>
      <c r="G208" t="e">
        <f>AND(Bills!P882,"AAAAAE+ztQY=")</f>
        <v>#VALUE!</v>
      </c>
      <c r="H208" t="e">
        <f>AND(Bills!Q882,"AAAAAE+ztQc=")</f>
        <v>#VALUE!</v>
      </c>
      <c r="I208" t="e">
        <f>AND(Bills!R882,"AAAAAE+ztQg=")</f>
        <v>#VALUE!</v>
      </c>
      <c r="J208" t="e">
        <f>AND(Bills!S882,"AAAAAE+ztQk=")</f>
        <v>#VALUE!</v>
      </c>
      <c r="K208" t="e">
        <f>AND(Bills!T882,"AAAAAE+ztQo=")</f>
        <v>#VALUE!</v>
      </c>
      <c r="L208" t="e">
        <f>AND(Bills!#REF!,"AAAAAE+ztQs=")</f>
        <v>#REF!</v>
      </c>
      <c r="M208" t="e">
        <f>AND(Bills!U882,"AAAAAE+ztQw=")</f>
        <v>#VALUE!</v>
      </c>
      <c r="N208" t="e">
        <f>AND(Bills!V882,"AAAAAE+ztQ0=")</f>
        <v>#VALUE!</v>
      </c>
      <c r="O208" t="e">
        <f>AND(Bills!W882,"AAAAAE+ztQ4=")</f>
        <v>#VALUE!</v>
      </c>
      <c r="P208" t="e">
        <f>AND(Bills!#REF!,"AAAAAE+ztQ8=")</f>
        <v>#REF!</v>
      </c>
      <c r="Q208" t="e">
        <f>AND(Bills!#REF!,"AAAAAE+ztRA=")</f>
        <v>#REF!</v>
      </c>
      <c r="R208" t="e">
        <f>AND(Bills!Y882,"AAAAAE+ztRE=")</f>
        <v>#VALUE!</v>
      </c>
      <c r="S208" t="e">
        <f>AND(Bills!Z882,"AAAAAE+ztRI=")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AND(Bills!AA882,"AAAAAE+ztRw=")</f>
        <v>#VALUE!</v>
      </c>
      <c r="AD208" t="e">
        <f>AND(Bills!AB882,"AAAAAE+ztR0=")</f>
        <v>#VALUE!</v>
      </c>
      <c r="AE208" t="e">
        <f>AND(Bills!#REF!,"AAAAAE+ztR4=")</f>
        <v>#REF!</v>
      </c>
      <c r="AF208" t="e">
        <f>AND(Bills!#REF!,"AAAAAE+ztR8=")</f>
        <v>#REF!</v>
      </c>
      <c r="AG208" t="e">
        <f>AND(Bills!#REF!,"AAAAAE+ztSA=")</f>
        <v>#REF!</v>
      </c>
      <c r="AH208" t="e">
        <f>AND(Bills!AC882,"AAAAAE+ztSE=")</f>
        <v>#VALUE!</v>
      </c>
      <c r="AI208" t="e">
        <f>AND(Bills!AD882,"AAAAAE+ztSI=")</f>
        <v>#VALUE!</v>
      </c>
      <c r="AJ208" t="e">
        <f>AND(Bills!#REF!,"AAAAAE+ztSM=")</f>
        <v>#REF!</v>
      </c>
      <c r="AK208">
        <f>IF(Bills!883:883,"AAAAAE+ztSQ=",0)</f>
        <v>0</v>
      </c>
      <c r="AL208" t="e">
        <f>AND(Bills!B883,"AAAAAE+ztSU=")</f>
        <v>#VALUE!</v>
      </c>
      <c r="AM208" t="e">
        <f>AND(Bills!#REF!,"AAAAAE+ztSY=")</f>
        <v>#REF!</v>
      </c>
      <c r="AN208" t="e">
        <f>AND(Bills!C883,"AAAAAE+ztSc=")</f>
        <v>#VALUE!</v>
      </c>
      <c r="AO208" t="e">
        <f>AND(Bills!D883,"AAAAAE+ztSg=")</f>
        <v>#VALUE!</v>
      </c>
      <c r="AP208" t="e">
        <f>AND(Bills!E883,"AAAAAE+ztSk=")</f>
        <v>#VALUE!</v>
      </c>
      <c r="AQ208" t="e">
        <f>AND(Bills!#REF!,"AAAAAE+ztSo=")</f>
        <v>#REF!</v>
      </c>
      <c r="AR208" t="e">
        <f>AND(Bills!#REF!,"AAAAAE+ztSs=")</f>
        <v>#REF!</v>
      </c>
      <c r="AS208" t="e">
        <f>AND(Bills!#REF!,"AAAAAE+ztSw=")</f>
        <v>#REF!</v>
      </c>
      <c r="AT208" t="e">
        <f>AND(Bills!F883,"AAAAAE+ztS0=")</f>
        <v>#VALUE!</v>
      </c>
      <c r="AU208" t="e">
        <f>AND(Bills!#REF!,"AAAAAE+ztS4=")</f>
        <v>#REF!</v>
      </c>
      <c r="AV208" t="e">
        <f>AND(Bills!G883,"AAAAAE+ztS8=")</f>
        <v>#VALUE!</v>
      </c>
      <c r="AW208" t="e">
        <f>AND(Bills!H883,"AAAAAE+ztTA=")</f>
        <v>#VALUE!</v>
      </c>
      <c r="AX208" t="e">
        <f>AND(Bills!I883,"AAAAAE+ztTE=")</f>
        <v>#VALUE!</v>
      </c>
      <c r="AY208" t="e">
        <f>AND(Bills!J883,"AAAAAE+ztTI=")</f>
        <v>#VALUE!</v>
      </c>
      <c r="AZ208" t="e">
        <f>AND(Bills!K883,"AAAAAE+ztTM=")</f>
        <v>#VALUE!</v>
      </c>
      <c r="BA208" t="e">
        <f>AND(Bills!L883,"AAAAAE+ztTQ=")</f>
        <v>#VALUE!</v>
      </c>
      <c r="BB208" t="e">
        <f>AND(Bills!#REF!,"AAAAAE+ztTU=")</f>
        <v>#REF!</v>
      </c>
      <c r="BC208" t="e">
        <f>AND(Bills!M883,"AAAAAE+ztTY=")</f>
        <v>#VALUE!</v>
      </c>
      <c r="BD208" t="e">
        <f>AND(Bills!N883,"AAAAAE+ztTc=")</f>
        <v>#VALUE!</v>
      </c>
      <c r="BE208" t="e">
        <f>AND(Bills!O883,"AAAAAE+ztTg=")</f>
        <v>#VALUE!</v>
      </c>
      <c r="BF208" t="e">
        <f>AND(Bills!P883,"AAAAAE+ztTk=")</f>
        <v>#VALUE!</v>
      </c>
      <c r="BG208" t="e">
        <f>AND(Bills!Q883,"AAAAAE+ztTo=")</f>
        <v>#VALUE!</v>
      </c>
      <c r="BH208" t="e">
        <f>AND(Bills!R883,"AAAAAE+ztTs=")</f>
        <v>#VALUE!</v>
      </c>
      <c r="BI208" t="e">
        <f>AND(Bills!S883,"AAAAAE+ztTw=")</f>
        <v>#VALUE!</v>
      </c>
      <c r="BJ208" t="e">
        <f>AND(Bills!T883,"AAAAAE+ztT0=")</f>
        <v>#VALUE!</v>
      </c>
      <c r="BK208" t="e">
        <f>AND(Bills!#REF!,"AAAAAE+ztT4=")</f>
        <v>#REF!</v>
      </c>
      <c r="BL208" t="e">
        <f>AND(Bills!U883,"AAAAAE+ztT8=")</f>
        <v>#VALUE!</v>
      </c>
      <c r="BM208" t="e">
        <f>AND(Bills!V883,"AAAAAE+ztUA=")</f>
        <v>#VALUE!</v>
      </c>
      <c r="BN208" t="e">
        <f>AND(Bills!W883,"AAAAAE+ztUE=")</f>
        <v>#VALUE!</v>
      </c>
      <c r="BO208" t="e">
        <f>AND(Bills!#REF!,"AAAAAE+ztUI=")</f>
        <v>#REF!</v>
      </c>
      <c r="BP208" t="e">
        <f>AND(Bills!#REF!,"AAAAAE+ztUM=")</f>
        <v>#REF!</v>
      </c>
      <c r="BQ208" t="e">
        <f>AND(Bills!Y883,"AAAAAE+ztUQ=")</f>
        <v>#VALUE!</v>
      </c>
      <c r="BR208" t="e">
        <f>AND(Bills!Z883,"AAAAAE+ztUU=")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AND(Bills!AA883,"AAAAAE+ztU8=")</f>
        <v>#VALUE!</v>
      </c>
      <c r="CC208" t="e">
        <f>AND(Bills!AB883,"AAAAAE+ztVA=")</f>
        <v>#VALUE!</v>
      </c>
      <c r="CD208" t="e">
        <f>AND(Bills!#REF!,"AAAAAE+ztVE=")</f>
        <v>#REF!</v>
      </c>
      <c r="CE208" t="e">
        <f>AND(Bills!#REF!,"AAAAAE+ztVI=")</f>
        <v>#REF!</v>
      </c>
      <c r="CF208" t="e">
        <f>AND(Bills!#REF!,"AAAAAE+ztVM=")</f>
        <v>#REF!</v>
      </c>
      <c r="CG208" t="e">
        <f>AND(Bills!AC883,"AAAAAE+ztVQ=")</f>
        <v>#VALUE!</v>
      </c>
      <c r="CH208" t="e">
        <f>AND(Bills!AD883,"AAAAAE+ztVU=")</f>
        <v>#VALUE!</v>
      </c>
      <c r="CI208" t="e">
        <f>AND(Bills!#REF!,"AAAAAE+ztVY=")</f>
        <v>#REF!</v>
      </c>
      <c r="CJ208">
        <f>IF(Bills!884:884,"AAAAAE+ztVc=",0)</f>
        <v>0</v>
      </c>
      <c r="CK208" t="e">
        <f>AND(Bills!B884,"AAAAAE+ztVg=")</f>
        <v>#VALUE!</v>
      </c>
      <c r="CL208" t="e">
        <f>AND(Bills!#REF!,"AAAAAE+ztVk=")</f>
        <v>#REF!</v>
      </c>
      <c r="CM208" t="e">
        <f>AND(Bills!C884,"AAAAAE+ztVo=")</f>
        <v>#VALUE!</v>
      </c>
      <c r="CN208" t="e">
        <f>AND(Bills!D884,"AAAAAE+ztVs=")</f>
        <v>#VALUE!</v>
      </c>
      <c r="CO208" t="e">
        <f>AND(Bills!E884,"AAAAAE+ztVw=")</f>
        <v>#VALUE!</v>
      </c>
      <c r="CP208" t="e">
        <f>AND(Bills!#REF!,"AAAAAE+ztV0=")</f>
        <v>#REF!</v>
      </c>
      <c r="CQ208" t="e">
        <f>AND(Bills!#REF!,"AAAAAE+ztV4=")</f>
        <v>#REF!</v>
      </c>
      <c r="CR208" t="e">
        <f>AND(Bills!#REF!,"AAAAAE+ztV8=")</f>
        <v>#REF!</v>
      </c>
      <c r="CS208" t="e">
        <f>AND(Bills!F884,"AAAAAE+ztWA=")</f>
        <v>#VALUE!</v>
      </c>
      <c r="CT208" t="e">
        <f>AND(Bills!#REF!,"AAAAAE+ztWE=")</f>
        <v>#REF!</v>
      </c>
      <c r="CU208" t="e">
        <f>AND(Bills!G884,"AAAAAE+ztWI=")</f>
        <v>#VALUE!</v>
      </c>
      <c r="CV208" t="e">
        <f>AND(Bills!H884,"AAAAAE+ztWM=")</f>
        <v>#VALUE!</v>
      </c>
      <c r="CW208" t="e">
        <f>AND(Bills!I884,"AAAAAE+ztWQ=")</f>
        <v>#VALUE!</v>
      </c>
      <c r="CX208" t="e">
        <f>AND(Bills!J884,"AAAAAE+ztWU=")</f>
        <v>#VALUE!</v>
      </c>
      <c r="CY208" t="e">
        <f>AND(Bills!K884,"AAAAAE+ztWY=")</f>
        <v>#VALUE!</v>
      </c>
      <c r="CZ208" t="e">
        <f>AND(Bills!L884,"AAAAAE+ztWc=")</f>
        <v>#VALUE!</v>
      </c>
      <c r="DA208" t="e">
        <f>AND(Bills!#REF!,"AAAAAE+ztWg=")</f>
        <v>#REF!</v>
      </c>
      <c r="DB208" t="e">
        <f>AND(Bills!M884,"AAAAAE+ztWk=")</f>
        <v>#VALUE!</v>
      </c>
      <c r="DC208" t="e">
        <f>AND(Bills!N884,"AAAAAE+ztWo=")</f>
        <v>#VALUE!</v>
      </c>
      <c r="DD208" t="e">
        <f>AND(Bills!O884,"AAAAAE+ztWs=")</f>
        <v>#VALUE!</v>
      </c>
      <c r="DE208" t="e">
        <f>AND(Bills!P884,"AAAAAE+ztWw=")</f>
        <v>#VALUE!</v>
      </c>
      <c r="DF208" t="e">
        <f>AND(Bills!Q884,"AAAAAE+ztW0=")</f>
        <v>#VALUE!</v>
      </c>
      <c r="DG208" t="e">
        <f>AND(Bills!R884,"AAAAAE+ztW4=")</f>
        <v>#VALUE!</v>
      </c>
      <c r="DH208" t="e">
        <f>AND(Bills!S884,"AAAAAE+ztW8=")</f>
        <v>#VALUE!</v>
      </c>
      <c r="DI208" t="e">
        <f>AND(Bills!T884,"AAAAAE+ztXA=")</f>
        <v>#VALUE!</v>
      </c>
      <c r="DJ208" t="e">
        <f>AND(Bills!#REF!,"AAAAAE+ztXE=")</f>
        <v>#REF!</v>
      </c>
      <c r="DK208" t="e">
        <f>AND(Bills!U884,"AAAAAE+ztXI=")</f>
        <v>#VALUE!</v>
      </c>
      <c r="DL208" t="e">
        <f>AND(Bills!V884,"AAAAAE+ztXM=")</f>
        <v>#VALUE!</v>
      </c>
      <c r="DM208" t="e">
        <f>AND(Bills!W884,"AAAAAE+ztXQ=")</f>
        <v>#VALUE!</v>
      </c>
      <c r="DN208" t="e">
        <f>AND(Bills!#REF!,"AAAAAE+ztXU=")</f>
        <v>#REF!</v>
      </c>
      <c r="DO208" t="e">
        <f>AND(Bills!#REF!,"AAAAAE+ztXY=")</f>
        <v>#REF!</v>
      </c>
      <c r="DP208" t="e">
        <f>AND(Bills!Y884,"AAAAAE+ztXc=")</f>
        <v>#VALUE!</v>
      </c>
      <c r="DQ208" t="e">
        <f>AND(Bills!Z884,"AAAAAE+ztXg=")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AND(Bills!AA884,"AAAAAE+ztYI=")</f>
        <v>#VALUE!</v>
      </c>
      <c r="EB208" t="e">
        <f>AND(Bills!AB884,"AAAAAE+ztYM=")</f>
        <v>#VALUE!</v>
      </c>
      <c r="EC208" t="e">
        <f>AND(Bills!#REF!,"AAAAAE+ztYQ=")</f>
        <v>#REF!</v>
      </c>
      <c r="ED208" t="e">
        <f>AND(Bills!#REF!,"AAAAAE+ztYU=")</f>
        <v>#REF!</v>
      </c>
      <c r="EE208" t="e">
        <f>AND(Bills!#REF!,"AAAAAE+ztYY=")</f>
        <v>#REF!</v>
      </c>
      <c r="EF208" t="e">
        <f>AND(Bills!AC884,"AAAAAE+ztYc=")</f>
        <v>#VALUE!</v>
      </c>
      <c r="EG208" t="e">
        <f>AND(Bills!AD884,"AAAAAE+ztYg=")</f>
        <v>#VALUE!</v>
      </c>
      <c r="EH208" t="e">
        <f>AND(Bills!#REF!,"AAAAAE+ztYk=")</f>
        <v>#REF!</v>
      </c>
      <c r="EI208">
        <f>IF(Bills!885:885,"AAAAAE+ztYo=",0)</f>
        <v>0</v>
      </c>
      <c r="EJ208" t="e">
        <f>AND(Bills!B885,"AAAAAE+ztYs=")</f>
        <v>#VALUE!</v>
      </c>
      <c r="EK208" t="e">
        <f>AND(Bills!#REF!,"AAAAAE+ztYw=")</f>
        <v>#REF!</v>
      </c>
      <c r="EL208" t="e">
        <f>AND(Bills!C885,"AAAAAE+ztY0=")</f>
        <v>#VALUE!</v>
      </c>
      <c r="EM208" t="e">
        <f>AND(Bills!D885,"AAAAAE+ztY4=")</f>
        <v>#VALUE!</v>
      </c>
      <c r="EN208" t="e">
        <f>AND(Bills!E885,"AAAAAE+ztY8=")</f>
        <v>#VALUE!</v>
      </c>
      <c r="EO208" t="e">
        <f>AND(Bills!#REF!,"AAAAAE+ztZA=")</f>
        <v>#REF!</v>
      </c>
      <c r="EP208" t="e">
        <f>AND(Bills!#REF!,"AAAAAE+ztZE=")</f>
        <v>#REF!</v>
      </c>
      <c r="EQ208" t="e">
        <f>AND(Bills!#REF!,"AAAAAE+ztZI=")</f>
        <v>#REF!</v>
      </c>
      <c r="ER208" t="e">
        <f>AND(Bills!F885,"AAAAAE+ztZM=")</f>
        <v>#VALUE!</v>
      </c>
      <c r="ES208" t="e">
        <f>AND(Bills!#REF!,"AAAAAE+ztZQ=")</f>
        <v>#REF!</v>
      </c>
      <c r="ET208" t="e">
        <f>AND(Bills!G885,"AAAAAE+ztZU=")</f>
        <v>#VALUE!</v>
      </c>
      <c r="EU208" t="e">
        <f>AND(Bills!H885,"AAAAAE+ztZY=")</f>
        <v>#VALUE!</v>
      </c>
      <c r="EV208" t="e">
        <f>AND(Bills!I885,"AAAAAE+ztZc=")</f>
        <v>#VALUE!</v>
      </c>
      <c r="EW208" t="e">
        <f>AND(Bills!J885,"AAAAAE+ztZg=")</f>
        <v>#VALUE!</v>
      </c>
      <c r="EX208" t="e">
        <f>AND(Bills!K885,"AAAAAE+ztZk=")</f>
        <v>#VALUE!</v>
      </c>
      <c r="EY208" t="e">
        <f>AND(Bills!L885,"AAAAAE+ztZo=")</f>
        <v>#VALUE!</v>
      </c>
      <c r="EZ208" t="e">
        <f>AND(Bills!#REF!,"AAAAAE+ztZs=")</f>
        <v>#REF!</v>
      </c>
      <c r="FA208" t="e">
        <f>AND(Bills!M885,"AAAAAE+ztZw=")</f>
        <v>#VALUE!</v>
      </c>
      <c r="FB208" t="e">
        <f>AND(Bills!N885,"AAAAAE+ztZ0=")</f>
        <v>#VALUE!</v>
      </c>
      <c r="FC208" t="e">
        <f>AND(Bills!O885,"AAAAAE+ztZ4=")</f>
        <v>#VALUE!</v>
      </c>
      <c r="FD208" t="e">
        <f>AND(Bills!P885,"AAAAAE+ztZ8=")</f>
        <v>#VALUE!</v>
      </c>
      <c r="FE208" t="e">
        <f>AND(Bills!Q885,"AAAAAE+ztaA=")</f>
        <v>#VALUE!</v>
      </c>
      <c r="FF208" t="e">
        <f>AND(Bills!R885,"AAAAAE+ztaE=")</f>
        <v>#VALUE!</v>
      </c>
      <c r="FG208" t="e">
        <f>AND(Bills!S885,"AAAAAE+ztaI=")</f>
        <v>#VALUE!</v>
      </c>
      <c r="FH208" t="e">
        <f>AND(Bills!T885,"AAAAAE+ztaM=")</f>
        <v>#VALUE!</v>
      </c>
      <c r="FI208" t="e">
        <f>AND(Bills!#REF!,"AAAAAE+ztaQ=")</f>
        <v>#REF!</v>
      </c>
      <c r="FJ208" t="e">
        <f>AND(Bills!U885,"AAAAAE+ztaU=")</f>
        <v>#VALUE!</v>
      </c>
      <c r="FK208" t="e">
        <f>AND(Bills!V885,"AAAAAE+ztaY=")</f>
        <v>#VALUE!</v>
      </c>
      <c r="FL208" t="e">
        <f>AND(Bills!W885,"AAAAAE+ztac=")</f>
        <v>#VALUE!</v>
      </c>
      <c r="FM208" t="e">
        <f>AND(Bills!#REF!,"AAAAAE+ztag=")</f>
        <v>#REF!</v>
      </c>
      <c r="FN208" t="e">
        <f>AND(Bills!#REF!,"AAAAAE+ztak=")</f>
        <v>#REF!</v>
      </c>
      <c r="FO208" t="e">
        <f>AND(Bills!Y885,"AAAAAE+ztao=")</f>
        <v>#VALUE!</v>
      </c>
      <c r="FP208" t="e">
        <f>AND(Bills!Z885,"AAAAAE+ztas=")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AND(Bills!AA885,"AAAAAE+ztbU=")</f>
        <v>#VALUE!</v>
      </c>
      <c r="GA208" t="e">
        <f>AND(Bills!AB885,"AAAAAE+ztbY=")</f>
        <v>#VALUE!</v>
      </c>
      <c r="GB208" t="e">
        <f>AND(Bills!#REF!,"AAAAAE+ztbc=")</f>
        <v>#REF!</v>
      </c>
      <c r="GC208" t="e">
        <f>AND(Bills!#REF!,"AAAAAE+ztbg=")</f>
        <v>#REF!</v>
      </c>
      <c r="GD208" t="e">
        <f>AND(Bills!#REF!,"AAAAAE+ztbk=")</f>
        <v>#REF!</v>
      </c>
      <c r="GE208" t="e">
        <f>AND(Bills!AC885,"AAAAAE+ztbo=")</f>
        <v>#VALUE!</v>
      </c>
      <c r="GF208" t="e">
        <f>AND(Bills!AD885,"AAAAAE+ztbs=")</f>
        <v>#VALUE!</v>
      </c>
      <c r="GG208" t="e">
        <f>AND(Bills!#REF!,"AAAAAE+ztbw=")</f>
        <v>#REF!</v>
      </c>
      <c r="GH208">
        <f>IF(Bills!886:886,"AAAAAE+ztb0=",0)</f>
        <v>0</v>
      </c>
      <c r="GI208" t="e">
        <f>AND(Bills!B886,"AAAAAE+ztb4=")</f>
        <v>#VALUE!</v>
      </c>
      <c r="GJ208" t="e">
        <f>AND(Bills!#REF!,"AAAAAE+ztb8=")</f>
        <v>#REF!</v>
      </c>
      <c r="GK208" t="e">
        <f>AND(Bills!C886,"AAAAAE+ztcA=")</f>
        <v>#VALUE!</v>
      </c>
      <c r="GL208" t="e">
        <f>AND(Bills!D886,"AAAAAE+ztcE=")</f>
        <v>#VALUE!</v>
      </c>
      <c r="GM208" t="e">
        <f>AND(Bills!E886,"AAAAAE+ztcI=")</f>
        <v>#VALUE!</v>
      </c>
      <c r="GN208" t="e">
        <f>AND(Bills!#REF!,"AAAAAE+ztcM=")</f>
        <v>#REF!</v>
      </c>
      <c r="GO208" t="e">
        <f>AND(Bills!#REF!,"AAAAAE+ztcQ=")</f>
        <v>#REF!</v>
      </c>
      <c r="GP208" t="e">
        <f>AND(Bills!#REF!,"AAAAAE+ztcU=")</f>
        <v>#REF!</v>
      </c>
      <c r="GQ208" t="e">
        <f>AND(Bills!F886,"AAAAAE+ztcY=")</f>
        <v>#VALUE!</v>
      </c>
      <c r="GR208" t="e">
        <f>AND(Bills!#REF!,"AAAAAE+ztcc=")</f>
        <v>#REF!</v>
      </c>
      <c r="GS208" t="e">
        <f>AND(Bills!G886,"AAAAAE+ztcg=")</f>
        <v>#VALUE!</v>
      </c>
      <c r="GT208" t="e">
        <f>AND(Bills!H886,"AAAAAE+ztck=")</f>
        <v>#VALUE!</v>
      </c>
      <c r="GU208" t="e">
        <f>AND(Bills!I886,"AAAAAE+ztco=")</f>
        <v>#VALUE!</v>
      </c>
      <c r="GV208" t="e">
        <f>AND(Bills!J886,"AAAAAE+ztcs=")</f>
        <v>#VALUE!</v>
      </c>
      <c r="GW208" t="e">
        <f>AND(Bills!K886,"AAAAAE+ztcw=")</f>
        <v>#VALUE!</v>
      </c>
      <c r="GX208" t="e">
        <f>AND(Bills!L886,"AAAAAE+ztc0=")</f>
        <v>#VALUE!</v>
      </c>
      <c r="GY208" t="e">
        <f>AND(Bills!#REF!,"AAAAAE+ztc4=")</f>
        <v>#REF!</v>
      </c>
      <c r="GZ208" t="e">
        <f>AND(Bills!M886,"AAAAAE+ztc8=")</f>
        <v>#VALUE!</v>
      </c>
      <c r="HA208" t="e">
        <f>AND(Bills!N886,"AAAAAE+ztdA=")</f>
        <v>#VALUE!</v>
      </c>
      <c r="HB208" t="e">
        <f>AND(Bills!O886,"AAAAAE+ztdE=")</f>
        <v>#VALUE!</v>
      </c>
      <c r="HC208" t="e">
        <f>AND(Bills!P886,"AAAAAE+ztdI=")</f>
        <v>#VALUE!</v>
      </c>
      <c r="HD208" t="e">
        <f>AND(Bills!Q886,"AAAAAE+ztdM=")</f>
        <v>#VALUE!</v>
      </c>
      <c r="HE208" t="e">
        <f>AND(Bills!R886,"AAAAAE+ztdQ=")</f>
        <v>#VALUE!</v>
      </c>
      <c r="HF208" t="e">
        <f>AND(Bills!S886,"AAAAAE+ztdU=")</f>
        <v>#VALUE!</v>
      </c>
      <c r="HG208" t="e">
        <f>AND(Bills!T886,"AAAAAE+ztdY=")</f>
        <v>#VALUE!</v>
      </c>
      <c r="HH208" t="e">
        <f>AND(Bills!#REF!,"AAAAAE+ztdc=")</f>
        <v>#REF!</v>
      </c>
      <c r="HI208" t="e">
        <f>AND(Bills!U886,"AAAAAE+ztdg=")</f>
        <v>#VALUE!</v>
      </c>
      <c r="HJ208" t="e">
        <f>AND(Bills!V886,"AAAAAE+ztdk=")</f>
        <v>#VALUE!</v>
      </c>
      <c r="HK208" t="e">
        <f>AND(Bills!W886,"AAAAAE+ztdo=")</f>
        <v>#VALUE!</v>
      </c>
      <c r="HL208" t="e">
        <f>AND(Bills!#REF!,"AAAAAE+ztds=")</f>
        <v>#REF!</v>
      </c>
      <c r="HM208" t="e">
        <f>AND(Bills!#REF!,"AAAAAE+ztdw=")</f>
        <v>#REF!</v>
      </c>
      <c r="HN208" t="e">
        <f>AND(Bills!Y886,"AAAAAE+ztd0=")</f>
        <v>#VALUE!</v>
      </c>
      <c r="HO208" t="e">
        <f>AND(Bills!Z886,"AAAAAE+ztd4=")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AND(Bills!AA886,"AAAAAE+zteg=")</f>
        <v>#VALUE!</v>
      </c>
      <c r="HZ208" t="e">
        <f>AND(Bills!AB886,"AAAAAE+ztek=")</f>
        <v>#VALUE!</v>
      </c>
      <c r="IA208" t="e">
        <f>AND(Bills!#REF!,"AAAAAE+zteo=")</f>
        <v>#REF!</v>
      </c>
      <c r="IB208" t="e">
        <f>AND(Bills!#REF!,"AAAAAE+ztes=")</f>
        <v>#REF!</v>
      </c>
      <c r="IC208" t="e">
        <f>AND(Bills!#REF!,"AAAAAE+ztew=")</f>
        <v>#REF!</v>
      </c>
      <c r="ID208" t="e">
        <f>AND(Bills!AC886,"AAAAAE+zte0=")</f>
        <v>#VALUE!</v>
      </c>
      <c r="IE208" t="e">
        <f>AND(Bills!AD886,"AAAAAE+zte4=")</f>
        <v>#VALUE!</v>
      </c>
      <c r="IF208" t="e">
        <f>AND(Bills!#REF!,"AAAAAE+zte8=")</f>
        <v>#REF!</v>
      </c>
      <c r="IG208">
        <f>IF(Bills!887:887,"AAAAAE+ztfA=",0)</f>
        <v>0</v>
      </c>
      <c r="IH208" t="e">
        <f>AND(Bills!B887,"AAAAAE+ztfE=")</f>
        <v>#VALUE!</v>
      </c>
      <c r="II208" t="e">
        <f>AND(Bills!#REF!,"AAAAAE+ztfI=")</f>
        <v>#REF!</v>
      </c>
      <c r="IJ208" t="e">
        <f>AND(Bills!C887,"AAAAAE+ztfM=")</f>
        <v>#VALUE!</v>
      </c>
      <c r="IK208" t="e">
        <f>AND(Bills!D887,"AAAAAE+ztfQ=")</f>
        <v>#VALUE!</v>
      </c>
      <c r="IL208" t="e">
        <f>AND(Bills!E887,"AAAAAE+ztfU=")</f>
        <v>#VALUE!</v>
      </c>
      <c r="IM208" t="e">
        <f>AND(Bills!#REF!,"AAAAAE+ztfY=")</f>
        <v>#REF!</v>
      </c>
      <c r="IN208" t="e">
        <f>AND(Bills!#REF!,"AAAAAE+ztfc=")</f>
        <v>#REF!</v>
      </c>
      <c r="IO208" t="e">
        <f>AND(Bills!#REF!,"AAAAAE+ztfg=")</f>
        <v>#REF!</v>
      </c>
      <c r="IP208" t="e">
        <f>AND(Bills!F887,"AAAAAE+ztfk=")</f>
        <v>#VALUE!</v>
      </c>
      <c r="IQ208" t="e">
        <f>AND(Bills!#REF!,"AAAAAE+ztfo=")</f>
        <v>#REF!</v>
      </c>
      <c r="IR208" t="e">
        <f>AND(Bills!G887,"AAAAAE+ztfs=")</f>
        <v>#VALUE!</v>
      </c>
      <c r="IS208" t="e">
        <f>AND(Bills!H887,"AAAAAE+ztfw=")</f>
        <v>#VALUE!</v>
      </c>
      <c r="IT208" t="e">
        <f>AND(Bills!I887,"AAAAAE+ztf0=")</f>
        <v>#VALUE!</v>
      </c>
      <c r="IU208" t="e">
        <f>AND(Bills!J887,"AAAAAE+ztf4=")</f>
        <v>#VALUE!</v>
      </c>
      <c r="IV208" t="e">
        <f>AND(Bills!K887,"AAAAAE+ztf8=")</f>
        <v>#VALUE!</v>
      </c>
    </row>
    <row r="209" spans="1:256">
      <c r="A209" t="e">
        <f>AND(Bills!L887,"AAAAAF3+5wA=")</f>
        <v>#VALUE!</v>
      </c>
      <c r="B209" t="e">
        <f>AND(Bills!#REF!,"AAAAAF3+5wE=")</f>
        <v>#REF!</v>
      </c>
      <c r="C209" t="e">
        <f>AND(Bills!M887,"AAAAAF3+5wI=")</f>
        <v>#VALUE!</v>
      </c>
      <c r="D209" t="e">
        <f>AND(Bills!N887,"AAAAAF3+5wM=")</f>
        <v>#VALUE!</v>
      </c>
      <c r="E209" t="e">
        <f>AND(Bills!O887,"AAAAAF3+5wQ=")</f>
        <v>#VALUE!</v>
      </c>
      <c r="F209" t="e">
        <f>AND(Bills!P887,"AAAAAF3+5wU=")</f>
        <v>#VALUE!</v>
      </c>
      <c r="G209" t="e">
        <f>AND(Bills!Q887,"AAAAAF3+5wY=")</f>
        <v>#VALUE!</v>
      </c>
      <c r="H209" t="e">
        <f>AND(Bills!R887,"AAAAAF3+5wc=")</f>
        <v>#VALUE!</v>
      </c>
      <c r="I209" t="e">
        <f>AND(Bills!S887,"AAAAAF3+5wg=")</f>
        <v>#VALUE!</v>
      </c>
      <c r="J209" t="e">
        <f>AND(Bills!T887,"AAAAAF3+5wk=")</f>
        <v>#VALUE!</v>
      </c>
      <c r="K209" t="e">
        <f>AND(Bills!#REF!,"AAAAAF3+5wo=")</f>
        <v>#REF!</v>
      </c>
      <c r="L209" t="e">
        <f>AND(Bills!U887,"AAAAAF3+5ws=")</f>
        <v>#VALUE!</v>
      </c>
      <c r="M209" t="e">
        <f>AND(Bills!V887,"AAAAAF3+5ww=")</f>
        <v>#VALUE!</v>
      </c>
      <c r="N209" t="e">
        <f>AND(Bills!W887,"AAAAAF3+5w0=")</f>
        <v>#VALUE!</v>
      </c>
      <c r="O209" t="e">
        <f>AND(Bills!#REF!,"AAAAAF3+5w4=")</f>
        <v>#REF!</v>
      </c>
      <c r="P209" t="e">
        <f>AND(Bills!#REF!,"AAAAAF3+5w8=")</f>
        <v>#REF!</v>
      </c>
      <c r="Q209" t="e">
        <f>AND(Bills!Y887,"AAAAAF3+5xA=")</f>
        <v>#VALUE!</v>
      </c>
      <c r="R209" t="e">
        <f>AND(Bills!Z887,"AAAAAF3+5xE=")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AND(Bills!AA887,"AAAAAF3+5xs=")</f>
        <v>#VALUE!</v>
      </c>
      <c r="AC209" t="e">
        <f>AND(Bills!AB887,"AAAAAF3+5xw=")</f>
        <v>#VALUE!</v>
      </c>
      <c r="AD209" t="e">
        <f>AND(Bills!#REF!,"AAAAAF3+5x0=")</f>
        <v>#REF!</v>
      </c>
      <c r="AE209" t="e">
        <f>AND(Bills!#REF!,"AAAAAF3+5x4=")</f>
        <v>#REF!</v>
      </c>
      <c r="AF209" t="e">
        <f>AND(Bills!#REF!,"AAAAAF3+5x8=")</f>
        <v>#REF!</v>
      </c>
      <c r="AG209" t="e">
        <f>AND(Bills!AC887,"AAAAAF3+5yA=")</f>
        <v>#VALUE!</v>
      </c>
      <c r="AH209" t="e">
        <f>AND(Bills!AD887,"AAAAAF3+5yE=")</f>
        <v>#VALUE!</v>
      </c>
      <c r="AI209" t="e">
        <f>AND(Bills!#REF!,"AAAAAF3+5yI=")</f>
        <v>#REF!</v>
      </c>
      <c r="AJ209">
        <f>IF(Bills!888:888,"AAAAAF3+5yM=",0)</f>
        <v>0</v>
      </c>
      <c r="AK209" t="e">
        <f>AND(Bills!B888,"AAAAAF3+5yQ=")</f>
        <v>#VALUE!</v>
      </c>
      <c r="AL209" t="e">
        <f>AND(Bills!#REF!,"AAAAAF3+5yU=")</f>
        <v>#REF!</v>
      </c>
      <c r="AM209" t="e">
        <f>AND(Bills!C888,"AAAAAF3+5yY=")</f>
        <v>#VALUE!</v>
      </c>
      <c r="AN209" t="e">
        <f>AND(Bills!D888,"AAAAAF3+5yc=")</f>
        <v>#VALUE!</v>
      </c>
      <c r="AO209" t="e">
        <f>AND(Bills!E888,"AAAAAF3+5yg=")</f>
        <v>#VALUE!</v>
      </c>
      <c r="AP209" t="e">
        <f>AND(Bills!#REF!,"AAAAAF3+5yk=")</f>
        <v>#REF!</v>
      </c>
      <c r="AQ209" t="e">
        <f>AND(Bills!#REF!,"AAAAAF3+5yo=")</f>
        <v>#REF!</v>
      </c>
      <c r="AR209" t="e">
        <f>AND(Bills!#REF!,"AAAAAF3+5ys=")</f>
        <v>#REF!</v>
      </c>
      <c r="AS209" t="e">
        <f>AND(Bills!F888,"AAAAAF3+5yw=")</f>
        <v>#VALUE!</v>
      </c>
      <c r="AT209" t="e">
        <f>AND(Bills!#REF!,"AAAAAF3+5y0=")</f>
        <v>#REF!</v>
      </c>
      <c r="AU209" t="e">
        <f>AND(Bills!G888,"AAAAAF3+5y4=")</f>
        <v>#VALUE!</v>
      </c>
      <c r="AV209" t="e">
        <f>AND(Bills!H888,"AAAAAF3+5y8=")</f>
        <v>#VALUE!</v>
      </c>
      <c r="AW209" t="e">
        <f>AND(Bills!I888,"AAAAAF3+5zA=")</f>
        <v>#VALUE!</v>
      </c>
      <c r="AX209" t="e">
        <f>AND(Bills!J888,"AAAAAF3+5zE=")</f>
        <v>#VALUE!</v>
      </c>
      <c r="AY209" t="e">
        <f>AND(Bills!K888,"AAAAAF3+5zI=")</f>
        <v>#VALUE!</v>
      </c>
      <c r="AZ209" t="e">
        <f>AND(Bills!L888,"AAAAAF3+5zM=")</f>
        <v>#VALUE!</v>
      </c>
      <c r="BA209" t="e">
        <f>AND(Bills!#REF!,"AAAAAF3+5zQ=")</f>
        <v>#REF!</v>
      </c>
      <c r="BB209" t="e">
        <f>AND(Bills!M888,"AAAAAF3+5zU=")</f>
        <v>#VALUE!</v>
      </c>
      <c r="BC209" t="e">
        <f>AND(Bills!N888,"AAAAAF3+5zY=")</f>
        <v>#VALUE!</v>
      </c>
      <c r="BD209" t="e">
        <f>AND(Bills!O888,"AAAAAF3+5zc=")</f>
        <v>#VALUE!</v>
      </c>
      <c r="BE209" t="e">
        <f>AND(Bills!P888,"AAAAAF3+5zg=")</f>
        <v>#VALUE!</v>
      </c>
      <c r="BF209" t="e">
        <f>AND(Bills!Q888,"AAAAAF3+5zk=")</f>
        <v>#VALUE!</v>
      </c>
      <c r="BG209" t="e">
        <f>AND(Bills!R888,"AAAAAF3+5zo=")</f>
        <v>#VALUE!</v>
      </c>
      <c r="BH209" t="e">
        <f>AND(Bills!S888,"AAAAAF3+5zs=")</f>
        <v>#VALUE!</v>
      </c>
      <c r="BI209" t="e">
        <f>AND(Bills!T888,"AAAAAF3+5zw=")</f>
        <v>#VALUE!</v>
      </c>
      <c r="BJ209" t="e">
        <f>AND(Bills!#REF!,"AAAAAF3+5z0=")</f>
        <v>#REF!</v>
      </c>
      <c r="BK209" t="e">
        <f>AND(Bills!U888,"AAAAAF3+5z4=")</f>
        <v>#VALUE!</v>
      </c>
      <c r="BL209" t="e">
        <f>AND(Bills!V888,"AAAAAF3+5z8=")</f>
        <v>#VALUE!</v>
      </c>
      <c r="BM209" t="e">
        <f>AND(Bills!W888,"AAAAAF3+50A=")</f>
        <v>#VALUE!</v>
      </c>
      <c r="BN209" t="e">
        <f>AND(Bills!#REF!,"AAAAAF3+50E=")</f>
        <v>#REF!</v>
      </c>
      <c r="BO209" t="e">
        <f>AND(Bills!#REF!,"AAAAAF3+50I=")</f>
        <v>#REF!</v>
      </c>
      <c r="BP209" t="e">
        <f>AND(Bills!Y888,"AAAAAF3+50M=")</f>
        <v>#VALUE!</v>
      </c>
      <c r="BQ209" t="e">
        <f>AND(Bills!Z888,"AAAAAF3+50Q=")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AND(Bills!AA888,"AAAAAF3+504=")</f>
        <v>#VALUE!</v>
      </c>
      <c r="CB209" t="e">
        <f>AND(Bills!AB888,"AAAAAF3+508=")</f>
        <v>#VALUE!</v>
      </c>
      <c r="CC209" t="e">
        <f>AND(Bills!#REF!,"AAAAAF3+51A=")</f>
        <v>#REF!</v>
      </c>
      <c r="CD209" t="e">
        <f>AND(Bills!#REF!,"AAAAAF3+51E=")</f>
        <v>#REF!</v>
      </c>
      <c r="CE209" t="e">
        <f>AND(Bills!#REF!,"AAAAAF3+51I=")</f>
        <v>#REF!</v>
      </c>
      <c r="CF209" t="e">
        <f>AND(Bills!AC888,"AAAAAF3+51M=")</f>
        <v>#VALUE!</v>
      </c>
      <c r="CG209" t="e">
        <f>AND(Bills!AD888,"AAAAAF3+51Q=")</f>
        <v>#VALUE!</v>
      </c>
      <c r="CH209" t="e">
        <f>AND(Bills!#REF!,"AAAAAF3+51U=")</f>
        <v>#REF!</v>
      </c>
      <c r="CI209">
        <f>IF(Bills!889:889,"AAAAAF3+51Y=",0)</f>
        <v>0</v>
      </c>
      <c r="CJ209" t="e">
        <f>AND(Bills!B889,"AAAAAF3+51c=")</f>
        <v>#VALUE!</v>
      </c>
      <c r="CK209" t="e">
        <f>AND(Bills!#REF!,"AAAAAF3+51g=")</f>
        <v>#REF!</v>
      </c>
      <c r="CL209" t="e">
        <f>AND(Bills!C889,"AAAAAF3+51k=")</f>
        <v>#VALUE!</v>
      </c>
      <c r="CM209" t="e">
        <f>AND(Bills!D889,"AAAAAF3+51o=")</f>
        <v>#VALUE!</v>
      </c>
      <c r="CN209" t="e">
        <f>AND(Bills!E889,"AAAAAF3+51s=")</f>
        <v>#VALUE!</v>
      </c>
      <c r="CO209" t="e">
        <f>AND(Bills!#REF!,"AAAAAF3+51w=")</f>
        <v>#REF!</v>
      </c>
      <c r="CP209" t="e">
        <f>AND(Bills!#REF!,"AAAAAF3+510=")</f>
        <v>#REF!</v>
      </c>
      <c r="CQ209" t="e">
        <f>AND(Bills!#REF!,"AAAAAF3+514=")</f>
        <v>#REF!</v>
      </c>
      <c r="CR209" t="e">
        <f>AND(Bills!F889,"AAAAAF3+518=")</f>
        <v>#VALUE!</v>
      </c>
      <c r="CS209" t="e">
        <f>AND(Bills!#REF!,"AAAAAF3+52A=")</f>
        <v>#REF!</v>
      </c>
      <c r="CT209" t="e">
        <f>AND(Bills!G889,"AAAAAF3+52E=")</f>
        <v>#VALUE!</v>
      </c>
      <c r="CU209" t="e">
        <f>AND(Bills!H889,"AAAAAF3+52I=")</f>
        <v>#VALUE!</v>
      </c>
      <c r="CV209" t="e">
        <f>AND(Bills!I889,"AAAAAF3+52M=")</f>
        <v>#VALUE!</v>
      </c>
      <c r="CW209" t="e">
        <f>AND(Bills!J889,"AAAAAF3+52Q=")</f>
        <v>#VALUE!</v>
      </c>
      <c r="CX209" t="e">
        <f>AND(Bills!K889,"AAAAAF3+52U=")</f>
        <v>#VALUE!</v>
      </c>
      <c r="CY209" t="e">
        <f>AND(Bills!L889,"AAAAAF3+52Y=")</f>
        <v>#VALUE!</v>
      </c>
      <c r="CZ209" t="e">
        <f>AND(Bills!#REF!,"AAAAAF3+52c=")</f>
        <v>#REF!</v>
      </c>
      <c r="DA209" t="e">
        <f>AND(Bills!M889,"AAAAAF3+52g=")</f>
        <v>#VALUE!</v>
      </c>
      <c r="DB209" t="e">
        <f>AND(Bills!N889,"AAAAAF3+52k=")</f>
        <v>#VALUE!</v>
      </c>
      <c r="DC209" t="e">
        <f>AND(Bills!O889,"AAAAAF3+52o=")</f>
        <v>#VALUE!</v>
      </c>
      <c r="DD209" t="e">
        <f>AND(Bills!P889,"AAAAAF3+52s=")</f>
        <v>#VALUE!</v>
      </c>
      <c r="DE209" t="e">
        <f>AND(Bills!Q889,"AAAAAF3+52w=")</f>
        <v>#VALUE!</v>
      </c>
      <c r="DF209" t="e">
        <f>AND(Bills!R889,"AAAAAF3+520=")</f>
        <v>#VALUE!</v>
      </c>
      <c r="DG209" t="e">
        <f>AND(Bills!S889,"AAAAAF3+524=")</f>
        <v>#VALUE!</v>
      </c>
      <c r="DH209" t="e">
        <f>AND(Bills!T889,"AAAAAF3+528=")</f>
        <v>#VALUE!</v>
      </c>
      <c r="DI209" t="e">
        <f>AND(Bills!#REF!,"AAAAAF3+53A=")</f>
        <v>#REF!</v>
      </c>
      <c r="DJ209" t="e">
        <f>AND(Bills!U889,"AAAAAF3+53E=")</f>
        <v>#VALUE!</v>
      </c>
      <c r="DK209" t="e">
        <f>AND(Bills!V889,"AAAAAF3+53I=")</f>
        <v>#VALUE!</v>
      </c>
      <c r="DL209" t="e">
        <f>AND(Bills!W889,"AAAAAF3+53M=")</f>
        <v>#VALUE!</v>
      </c>
      <c r="DM209" t="e">
        <f>AND(Bills!#REF!,"AAAAAF3+53Q=")</f>
        <v>#REF!</v>
      </c>
      <c r="DN209" t="e">
        <f>AND(Bills!#REF!,"AAAAAF3+53U=")</f>
        <v>#REF!</v>
      </c>
      <c r="DO209" t="e">
        <f>AND(Bills!Y889,"AAAAAF3+53Y=")</f>
        <v>#VALUE!</v>
      </c>
      <c r="DP209" t="e">
        <f>AND(Bills!Z889,"AAAAAF3+53c=")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AND(Bills!AA889,"AAAAAF3+54E=")</f>
        <v>#VALUE!</v>
      </c>
      <c r="EA209" t="e">
        <f>AND(Bills!AB889,"AAAAAF3+54I=")</f>
        <v>#VALUE!</v>
      </c>
      <c r="EB209" t="e">
        <f>AND(Bills!#REF!,"AAAAAF3+54M=")</f>
        <v>#REF!</v>
      </c>
      <c r="EC209" t="e">
        <f>AND(Bills!#REF!,"AAAAAF3+54Q=")</f>
        <v>#REF!</v>
      </c>
      <c r="ED209" t="e">
        <f>AND(Bills!#REF!,"AAAAAF3+54U=")</f>
        <v>#REF!</v>
      </c>
      <c r="EE209" t="e">
        <f>AND(Bills!AC889,"AAAAAF3+54Y=")</f>
        <v>#VALUE!</v>
      </c>
      <c r="EF209" t="e">
        <f>AND(Bills!AD889,"AAAAAF3+54c=")</f>
        <v>#VALUE!</v>
      </c>
      <c r="EG209" t="e">
        <f>AND(Bills!#REF!,"AAAAAF3+54g=")</f>
        <v>#REF!</v>
      </c>
      <c r="EH209">
        <f>IF(Bills!890:890,"AAAAAF3+54k=",0)</f>
        <v>0</v>
      </c>
      <c r="EI209" t="e">
        <f>AND(Bills!B890,"AAAAAF3+54o=")</f>
        <v>#VALUE!</v>
      </c>
      <c r="EJ209" t="e">
        <f>AND(Bills!#REF!,"AAAAAF3+54s=")</f>
        <v>#REF!</v>
      </c>
      <c r="EK209" t="e">
        <f>AND(Bills!C890,"AAAAAF3+54w=")</f>
        <v>#VALUE!</v>
      </c>
      <c r="EL209" t="e">
        <f>AND(Bills!D890,"AAAAAF3+540=")</f>
        <v>#VALUE!</v>
      </c>
      <c r="EM209" t="e">
        <f>AND(Bills!E890,"AAAAAF3+544=")</f>
        <v>#VALUE!</v>
      </c>
      <c r="EN209" t="e">
        <f>AND(Bills!#REF!,"AAAAAF3+548=")</f>
        <v>#REF!</v>
      </c>
      <c r="EO209" t="e">
        <f>AND(Bills!#REF!,"AAAAAF3+55A=")</f>
        <v>#REF!</v>
      </c>
      <c r="EP209" t="e">
        <f>AND(Bills!#REF!,"AAAAAF3+55E=")</f>
        <v>#REF!</v>
      </c>
      <c r="EQ209" t="e">
        <f>AND(Bills!F890,"AAAAAF3+55I=")</f>
        <v>#VALUE!</v>
      </c>
      <c r="ER209" t="e">
        <f>AND(Bills!#REF!,"AAAAAF3+55M=")</f>
        <v>#REF!</v>
      </c>
      <c r="ES209" t="e">
        <f>AND(Bills!G890,"AAAAAF3+55Q=")</f>
        <v>#VALUE!</v>
      </c>
      <c r="ET209" t="e">
        <f>AND(Bills!H890,"AAAAAF3+55U=")</f>
        <v>#VALUE!</v>
      </c>
      <c r="EU209" t="e">
        <f>AND(Bills!I890,"AAAAAF3+55Y=")</f>
        <v>#VALUE!</v>
      </c>
      <c r="EV209" t="e">
        <f>AND(Bills!J890,"AAAAAF3+55c=")</f>
        <v>#VALUE!</v>
      </c>
      <c r="EW209" t="e">
        <f>AND(Bills!K890,"AAAAAF3+55g=")</f>
        <v>#VALUE!</v>
      </c>
      <c r="EX209" t="e">
        <f>AND(Bills!L890,"AAAAAF3+55k=")</f>
        <v>#VALUE!</v>
      </c>
      <c r="EY209" t="e">
        <f>AND(Bills!#REF!,"AAAAAF3+55o=")</f>
        <v>#REF!</v>
      </c>
      <c r="EZ209" t="e">
        <f>AND(Bills!M890,"AAAAAF3+55s=")</f>
        <v>#VALUE!</v>
      </c>
      <c r="FA209" t="e">
        <f>AND(Bills!N890,"AAAAAF3+55w=")</f>
        <v>#VALUE!</v>
      </c>
      <c r="FB209" t="e">
        <f>AND(Bills!O890,"AAAAAF3+550=")</f>
        <v>#VALUE!</v>
      </c>
      <c r="FC209" t="e">
        <f>AND(Bills!P890,"AAAAAF3+554=")</f>
        <v>#VALUE!</v>
      </c>
      <c r="FD209" t="e">
        <f>AND(Bills!Q890,"AAAAAF3+558=")</f>
        <v>#VALUE!</v>
      </c>
      <c r="FE209" t="e">
        <f>AND(Bills!R890,"AAAAAF3+56A=")</f>
        <v>#VALUE!</v>
      </c>
      <c r="FF209" t="e">
        <f>AND(Bills!S890,"AAAAAF3+56E=")</f>
        <v>#VALUE!</v>
      </c>
      <c r="FG209" t="e">
        <f>AND(Bills!T890,"AAAAAF3+56I=")</f>
        <v>#VALUE!</v>
      </c>
      <c r="FH209" t="e">
        <f>AND(Bills!#REF!,"AAAAAF3+56M=")</f>
        <v>#REF!</v>
      </c>
      <c r="FI209" t="e">
        <f>AND(Bills!U890,"AAAAAF3+56Q=")</f>
        <v>#VALUE!</v>
      </c>
      <c r="FJ209" t="e">
        <f>AND(Bills!V890,"AAAAAF3+56U=")</f>
        <v>#VALUE!</v>
      </c>
      <c r="FK209" t="e">
        <f>AND(Bills!W890,"AAAAAF3+56Y=")</f>
        <v>#VALUE!</v>
      </c>
      <c r="FL209" t="e">
        <f>AND(Bills!#REF!,"AAAAAF3+56c=")</f>
        <v>#REF!</v>
      </c>
      <c r="FM209" t="e">
        <f>AND(Bills!#REF!,"AAAAAF3+56g=")</f>
        <v>#REF!</v>
      </c>
      <c r="FN209" t="e">
        <f>AND(Bills!Y890,"AAAAAF3+56k=")</f>
        <v>#VALUE!</v>
      </c>
      <c r="FO209" t="e">
        <f>AND(Bills!Z890,"AAAAAF3+56o=")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AND(Bills!AA890,"AAAAAF3+57Q=")</f>
        <v>#VALUE!</v>
      </c>
      <c r="FZ209" t="e">
        <f>AND(Bills!AB890,"AAAAAF3+57U=")</f>
        <v>#VALUE!</v>
      </c>
      <c r="GA209" t="e">
        <f>AND(Bills!#REF!,"AAAAAF3+57Y=")</f>
        <v>#REF!</v>
      </c>
      <c r="GB209" t="e">
        <f>AND(Bills!#REF!,"AAAAAF3+57c=")</f>
        <v>#REF!</v>
      </c>
      <c r="GC209" t="e">
        <f>AND(Bills!#REF!,"AAAAAF3+57g=")</f>
        <v>#REF!</v>
      </c>
      <c r="GD209" t="e">
        <f>AND(Bills!AC890,"AAAAAF3+57k=")</f>
        <v>#VALUE!</v>
      </c>
      <c r="GE209" t="e">
        <f>AND(Bills!AD890,"AAAAAF3+57o=")</f>
        <v>#VALUE!</v>
      </c>
      <c r="GF209" t="e">
        <f>AND(Bills!#REF!,"AAAAAF3+57s=")</f>
        <v>#REF!</v>
      </c>
      <c r="GG209">
        <f>IF(Bills!891:891,"AAAAAF3+57w=",0)</f>
        <v>0</v>
      </c>
      <c r="GH209" t="e">
        <f>AND(Bills!B891,"AAAAAF3+570=")</f>
        <v>#VALUE!</v>
      </c>
      <c r="GI209" t="e">
        <f>AND(Bills!#REF!,"AAAAAF3+574=")</f>
        <v>#REF!</v>
      </c>
      <c r="GJ209" t="e">
        <f>AND(Bills!C891,"AAAAAF3+578=")</f>
        <v>#VALUE!</v>
      </c>
      <c r="GK209" t="e">
        <f>AND(Bills!D891,"AAAAAF3+58A=")</f>
        <v>#VALUE!</v>
      </c>
      <c r="GL209" t="e">
        <f>AND(Bills!E891,"AAAAAF3+58E=")</f>
        <v>#VALUE!</v>
      </c>
      <c r="GM209" t="e">
        <f>AND(Bills!#REF!,"AAAAAF3+58I=")</f>
        <v>#REF!</v>
      </c>
      <c r="GN209" t="e">
        <f>AND(Bills!#REF!,"AAAAAF3+58M=")</f>
        <v>#REF!</v>
      </c>
      <c r="GO209" t="e">
        <f>AND(Bills!#REF!,"AAAAAF3+58Q=")</f>
        <v>#REF!</v>
      </c>
      <c r="GP209" t="e">
        <f>AND(Bills!F891,"AAAAAF3+58U=")</f>
        <v>#VALUE!</v>
      </c>
      <c r="GQ209" t="e">
        <f>AND(Bills!#REF!,"AAAAAF3+58Y=")</f>
        <v>#REF!</v>
      </c>
      <c r="GR209" t="e">
        <f>AND(Bills!G891,"AAAAAF3+58c=")</f>
        <v>#VALUE!</v>
      </c>
      <c r="GS209" t="e">
        <f>AND(Bills!H891,"AAAAAF3+58g=")</f>
        <v>#VALUE!</v>
      </c>
      <c r="GT209" t="e">
        <f>AND(Bills!I891,"AAAAAF3+58k=")</f>
        <v>#VALUE!</v>
      </c>
      <c r="GU209" t="e">
        <f>AND(Bills!J891,"AAAAAF3+58o=")</f>
        <v>#VALUE!</v>
      </c>
      <c r="GV209" t="e">
        <f>AND(Bills!K891,"AAAAAF3+58s=")</f>
        <v>#VALUE!</v>
      </c>
      <c r="GW209" t="e">
        <f>AND(Bills!L891,"AAAAAF3+58w=")</f>
        <v>#VALUE!</v>
      </c>
      <c r="GX209" t="e">
        <f>AND(Bills!#REF!,"AAAAAF3+580=")</f>
        <v>#REF!</v>
      </c>
      <c r="GY209" t="e">
        <f>AND(Bills!M891,"AAAAAF3+584=")</f>
        <v>#VALUE!</v>
      </c>
      <c r="GZ209" t="e">
        <f>AND(Bills!N891,"AAAAAF3+588=")</f>
        <v>#VALUE!</v>
      </c>
      <c r="HA209" t="e">
        <f>AND(Bills!O891,"AAAAAF3+59A=")</f>
        <v>#VALUE!</v>
      </c>
      <c r="HB209" t="e">
        <f>AND(Bills!P891,"AAAAAF3+59E=")</f>
        <v>#VALUE!</v>
      </c>
      <c r="HC209" t="e">
        <f>AND(Bills!Q891,"AAAAAF3+59I=")</f>
        <v>#VALUE!</v>
      </c>
      <c r="HD209" t="e">
        <f>AND(Bills!R891,"AAAAAF3+59M=")</f>
        <v>#VALUE!</v>
      </c>
      <c r="HE209" t="e">
        <f>AND(Bills!S891,"AAAAAF3+59Q=")</f>
        <v>#VALUE!</v>
      </c>
      <c r="HF209" t="e">
        <f>AND(Bills!T891,"AAAAAF3+59U=")</f>
        <v>#VALUE!</v>
      </c>
      <c r="HG209" t="e">
        <f>AND(Bills!#REF!,"AAAAAF3+59Y=")</f>
        <v>#REF!</v>
      </c>
      <c r="HH209" t="e">
        <f>AND(Bills!U891,"AAAAAF3+59c=")</f>
        <v>#VALUE!</v>
      </c>
      <c r="HI209" t="e">
        <f>AND(Bills!V891,"AAAAAF3+59g=")</f>
        <v>#VALUE!</v>
      </c>
      <c r="HJ209" t="e">
        <f>AND(Bills!W891,"AAAAAF3+59k=")</f>
        <v>#VALUE!</v>
      </c>
      <c r="HK209" t="e">
        <f>AND(Bills!#REF!,"AAAAAF3+59o=")</f>
        <v>#REF!</v>
      </c>
      <c r="HL209" t="e">
        <f>AND(Bills!#REF!,"AAAAAF3+59s=")</f>
        <v>#REF!</v>
      </c>
      <c r="HM209" t="e">
        <f>AND(Bills!Y891,"AAAAAF3+59w=")</f>
        <v>#VALUE!</v>
      </c>
      <c r="HN209" t="e">
        <f>AND(Bills!Z891,"AAAAAF3+590=")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AND(Bills!AA891,"AAAAAF3+5+c=")</f>
        <v>#VALUE!</v>
      </c>
      <c r="HY209" t="e">
        <f>AND(Bills!AB891,"AAAAAF3+5+g=")</f>
        <v>#VALUE!</v>
      </c>
      <c r="HZ209" t="e">
        <f>AND(Bills!#REF!,"AAAAAF3+5+k=")</f>
        <v>#REF!</v>
      </c>
      <c r="IA209" t="e">
        <f>AND(Bills!#REF!,"AAAAAF3+5+o=")</f>
        <v>#REF!</v>
      </c>
      <c r="IB209" t="e">
        <f>AND(Bills!#REF!,"AAAAAF3+5+s=")</f>
        <v>#REF!</v>
      </c>
      <c r="IC209" t="e">
        <f>AND(Bills!AC891,"AAAAAF3+5+w=")</f>
        <v>#VALUE!</v>
      </c>
      <c r="ID209" t="e">
        <f>AND(Bills!AD891,"AAAAAF3+5+0=")</f>
        <v>#VALUE!</v>
      </c>
      <c r="IE209" t="e">
        <f>AND(Bills!#REF!,"AAAAAF3+5+4=")</f>
        <v>#REF!</v>
      </c>
      <c r="IF209">
        <f>IF(Bills!892:892,"AAAAAF3+5+8=",0)</f>
        <v>0</v>
      </c>
      <c r="IG209" t="e">
        <f>AND(Bills!B892,"AAAAAF3+5/A=")</f>
        <v>#VALUE!</v>
      </c>
      <c r="IH209" t="e">
        <f>AND(Bills!#REF!,"AAAAAF3+5/E=")</f>
        <v>#REF!</v>
      </c>
      <c r="II209" t="e">
        <f>AND(Bills!C892,"AAAAAF3+5/I=")</f>
        <v>#VALUE!</v>
      </c>
      <c r="IJ209" t="e">
        <f>AND(Bills!D892,"AAAAAF3+5/M=")</f>
        <v>#VALUE!</v>
      </c>
      <c r="IK209" t="e">
        <f>AND(Bills!E892,"AAAAAF3+5/Q=")</f>
        <v>#VALUE!</v>
      </c>
      <c r="IL209" t="e">
        <f>AND(Bills!#REF!,"AAAAAF3+5/U=")</f>
        <v>#REF!</v>
      </c>
      <c r="IM209" t="e">
        <f>AND(Bills!#REF!,"AAAAAF3+5/Y=")</f>
        <v>#REF!</v>
      </c>
      <c r="IN209" t="e">
        <f>AND(Bills!#REF!,"AAAAAF3+5/c=")</f>
        <v>#REF!</v>
      </c>
      <c r="IO209" t="e">
        <f>AND(Bills!F892,"AAAAAF3+5/g=")</f>
        <v>#VALUE!</v>
      </c>
      <c r="IP209" t="e">
        <f>AND(Bills!#REF!,"AAAAAF3+5/k=")</f>
        <v>#REF!</v>
      </c>
      <c r="IQ209" t="e">
        <f>AND(Bills!G892,"AAAAAF3+5/o=")</f>
        <v>#VALUE!</v>
      </c>
      <c r="IR209" t="e">
        <f>AND(Bills!H892,"AAAAAF3+5/s=")</f>
        <v>#VALUE!</v>
      </c>
      <c r="IS209" t="e">
        <f>AND(Bills!I892,"AAAAAF3+5/w=")</f>
        <v>#VALUE!</v>
      </c>
      <c r="IT209" t="e">
        <f>AND(Bills!J892,"AAAAAF3+5/0=")</f>
        <v>#VALUE!</v>
      </c>
      <c r="IU209" t="e">
        <f>AND(Bills!K892,"AAAAAF3+5/4=")</f>
        <v>#VALUE!</v>
      </c>
      <c r="IV209" t="e">
        <f>AND(Bills!L892,"AAAAAF3+5/8=")</f>
        <v>#VALUE!</v>
      </c>
    </row>
    <row r="210" spans="1:256">
      <c r="A210" t="e">
        <f>AND(Bills!#REF!,"AAAAAF3V3QA=")</f>
        <v>#REF!</v>
      </c>
      <c r="B210" t="e">
        <f>AND(Bills!M892,"AAAAAF3V3QE=")</f>
        <v>#VALUE!</v>
      </c>
      <c r="C210" t="e">
        <f>AND(Bills!N892,"AAAAAF3V3QI=")</f>
        <v>#VALUE!</v>
      </c>
      <c r="D210" t="e">
        <f>AND(Bills!O892,"AAAAAF3V3QM=")</f>
        <v>#VALUE!</v>
      </c>
      <c r="E210" t="e">
        <f>AND(Bills!P892,"AAAAAF3V3QQ=")</f>
        <v>#VALUE!</v>
      </c>
      <c r="F210" t="e">
        <f>AND(Bills!Q892,"AAAAAF3V3QU=")</f>
        <v>#VALUE!</v>
      </c>
      <c r="G210" t="e">
        <f>AND(Bills!R892,"AAAAAF3V3QY=")</f>
        <v>#VALUE!</v>
      </c>
      <c r="H210" t="e">
        <f>AND(Bills!S892,"AAAAAF3V3Qc=")</f>
        <v>#VALUE!</v>
      </c>
      <c r="I210" t="e">
        <f>AND(Bills!T892,"AAAAAF3V3Qg=")</f>
        <v>#VALUE!</v>
      </c>
      <c r="J210" t="e">
        <f>AND(Bills!#REF!,"AAAAAF3V3Qk=")</f>
        <v>#REF!</v>
      </c>
      <c r="K210" t="e">
        <f>AND(Bills!U892,"AAAAAF3V3Qo=")</f>
        <v>#VALUE!</v>
      </c>
      <c r="L210" t="e">
        <f>AND(Bills!V892,"AAAAAF3V3Qs=")</f>
        <v>#VALUE!</v>
      </c>
      <c r="M210" t="e">
        <f>AND(Bills!W892,"AAAAAF3V3Qw=")</f>
        <v>#VALUE!</v>
      </c>
      <c r="N210" t="e">
        <f>AND(Bills!#REF!,"AAAAAF3V3Q0=")</f>
        <v>#REF!</v>
      </c>
      <c r="O210" t="e">
        <f>AND(Bills!#REF!,"AAAAAF3V3Q4=")</f>
        <v>#REF!</v>
      </c>
      <c r="P210" t="e">
        <f>AND(Bills!Y892,"AAAAAF3V3Q8=")</f>
        <v>#VALUE!</v>
      </c>
      <c r="Q210" t="e">
        <f>AND(Bills!Z892,"AAAAAF3V3RA=")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AND(Bills!AA892,"AAAAAF3V3Ro=")</f>
        <v>#VALUE!</v>
      </c>
      <c r="AB210" t="e">
        <f>AND(Bills!AB892,"AAAAAF3V3Rs=")</f>
        <v>#VALUE!</v>
      </c>
      <c r="AC210" t="e">
        <f>AND(Bills!#REF!,"AAAAAF3V3Rw=")</f>
        <v>#REF!</v>
      </c>
      <c r="AD210" t="e">
        <f>AND(Bills!#REF!,"AAAAAF3V3R0=")</f>
        <v>#REF!</v>
      </c>
      <c r="AE210" t="e">
        <f>AND(Bills!#REF!,"AAAAAF3V3R4=")</f>
        <v>#REF!</v>
      </c>
      <c r="AF210" t="e">
        <f>AND(Bills!AC892,"AAAAAF3V3R8=")</f>
        <v>#VALUE!</v>
      </c>
      <c r="AG210" t="e">
        <f>AND(Bills!AD892,"AAAAAF3V3SA=")</f>
        <v>#VALUE!</v>
      </c>
      <c r="AH210" t="e">
        <f>AND(Bills!#REF!,"AAAAAF3V3SE=")</f>
        <v>#REF!</v>
      </c>
      <c r="AI210">
        <f>IF(Bills!893:893,"AAAAAF3V3SI=",0)</f>
        <v>0</v>
      </c>
      <c r="AJ210" t="e">
        <f>AND(Bills!B893,"AAAAAF3V3SM=")</f>
        <v>#VALUE!</v>
      </c>
      <c r="AK210" t="e">
        <f>AND(Bills!#REF!,"AAAAAF3V3SQ=")</f>
        <v>#REF!</v>
      </c>
      <c r="AL210" t="e">
        <f>AND(Bills!C893,"AAAAAF3V3SU=")</f>
        <v>#VALUE!</v>
      </c>
      <c r="AM210" t="e">
        <f>AND(Bills!D893,"AAAAAF3V3SY=")</f>
        <v>#VALUE!</v>
      </c>
      <c r="AN210" t="e">
        <f>AND(Bills!E893,"AAAAAF3V3Sc=")</f>
        <v>#VALUE!</v>
      </c>
      <c r="AO210" t="e">
        <f>AND(Bills!#REF!,"AAAAAF3V3Sg=")</f>
        <v>#REF!</v>
      </c>
      <c r="AP210" t="e">
        <f>AND(Bills!#REF!,"AAAAAF3V3Sk=")</f>
        <v>#REF!</v>
      </c>
      <c r="AQ210" t="e">
        <f>AND(Bills!#REF!,"AAAAAF3V3So=")</f>
        <v>#REF!</v>
      </c>
      <c r="AR210" t="e">
        <f>AND(Bills!F893,"AAAAAF3V3Ss=")</f>
        <v>#VALUE!</v>
      </c>
      <c r="AS210" t="e">
        <f>AND(Bills!#REF!,"AAAAAF3V3Sw=")</f>
        <v>#REF!</v>
      </c>
      <c r="AT210" t="e">
        <f>AND(Bills!G893,"AAAAAF3V3S0=")</f>
        <v>#VALUE!</v>
      </c>
      <c r="AU210" t="e">
        <f>AND(Bills!H893,"AAAAAF3V3S4=")</f>
        <v>#VALUE!</v>
      </c>
      <c r="AV210" t="e">
        <f>AND(Bills!I893,"AAAAAF3V3S8=")</f>
        <v>#VALUE!</v>
      </c>
      <c r="AW210" t="e">
        <f>AND(Bills!J893,"AAAAAF3V3TA=")</f>
        <v>#VALUE!</v>
      </c>
      <c r="AX210" t="e">
        <f>AND(Bills!K893,"AAAAAF3V3TE=")</f>
        <v>#VALUE!</v>
      </c>
      <c r="AY210" t="e">
        <f>AND(Bills!L893,"AAAAAF3V3TI=")</f>
        <v>#VALUE!</v>
      </c>
      <c r="AZ210" t="e">
        <f>AND(Bills!#REF!,"AAAAAF3V3TM=")</f>
        <v>#REF!</v>
      </c>
      <c r="BA210" t="e">
        <f>AND(Bills!M893,"AAAAAF3V3TQ=")</f>
        <v>#VALUE!</v>
      </c>
      <c r="BB210" t="e">
        <f>AND(Bills!N893,"AAAAAF3V3TU=")</f>
        <v>#VALUE!</v>
      </c>
      <c r="BC210" t="e">
        <f>AND(Bills!O893,"AAAAAF3V3TY=")</f>
        <v>#VALUE!</v>
      </c>
      <c r="BD210" t="e">
        <f>AND(Bills!P893,"AAAAAF3V3Tc=")</f>
        <v>#VALUE!</v>
      </c>
      <c r="BE210" t="e">
        <f>AND(Bills!Q893,"AAAAAF3V3Tg=")</f>
        <v>#VALUE!</v>
      </c>
      <c r="BF210" t="e">
        <f>AND(Bills!R893,"AAAAAF3V3Tk=")</f>
        <v>#VALUE!</v>
      </c>
      <c r="BG210" t="e">
        <f>AND(Bills!S893,"AAAAAF3V3To=")</f>
        <v>#VALUE!</v>
      </c>
      <c r="BH210" t="e">
        <f>AND(Bills!T893,"AAAAAF3V3Ts=")</f>
        <v>#VALUE!</v>
      </c>
      <c r="BI210" t="e">
        <f>AND(Bills!#REF!,"AAAAAF3V3Tw=")</f>
        <v>#REF!</v>
      </c>
      <c r="BJ210" t="e">
        <f>AND(Bills!U893,"AAAAAF3V3T0=")</f>
        <v>#VALUE!</v>
      </c>
      <c r="BK210" t="e">
        <f>AND(Bills!V893,"AAAAAF3V3T4=")</f>
        <v>#VALUE!</v>
      </c>
      <c r="BL210" t="e">
        <f>AND(Bills!W893,"AAAAAF3V3T8=")</f>
        <v>#VALUE!</v>
      </c>
      <c r="BM210" t="e">
        <f>AND(Bills!#REF!,"AAAAAF3V3UA=")</f>
        <v>#REF!</v>
      </c>
      <c r="BN210" t="e">
        <f>AND(Bills!#REF!,"AAAAAF3V3UE=")</f>
        <v>#REF!</v>
      </c>
      <c r="BO210" t="e">
        <f>AND(Bills!Y893,"AAAAAF3V3UI=")</f>
        <v>#VALUE!</v>
      </c>
      <c r="BP210" t="e">
        <f>AND(Bills!Z893,"AAAAAF3V3UM=")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AND(Bills!AA893,"AAAAAF3V3U0=")</f>
        <v>#VALUE!</v>
      </c>
      <c r="CA210" t="e">
        <f>AND(Bills!AB893,"AAAAAF3V3U4=")</f>
        <v>#VALUE!</v>
      </c>
      <c r="CB210" t="e">
        <f>AND(Bills!#REF!,"AAAAAF3V3U8=")</f>
        <v>#REF!</v>
      </c>
      <c r="CC210" t="e">
        <f>AND(Bills!#REF!,"AAAAAF3V3VA=")</f>
        <v>#REF!</v>
      </c>
      <c r="CD210" t="e">
        <f>AND(Bills!#REF!,"AAAAAF3V3VE=")</f>
        <v>#REF!</v>
      </c>
      <c r="CE210" t="e">
        <f>AND(Bills!AC893,"AAAAAF3V3VI=")</f>
        <v>#VALUE!</v>
      </c>
      <c r="CF210" t="e">
        <f>AND(Bills!AD893,"AAAAAF3V3VM=")</f>
        <v>#VALUE!</v>
      </c>
      <c r="CG210" t="e">
        <f>AND(Bills!#REF!,"AAAAAF3V3VQ=")</f>
        <v>#REF!</v>
      </c>
      <c r="CH210">
        <f>IF(Bills!894:894,"AAAAAF3V3VU=",0)</f>
        <v>0</v>
      </c>
      <c r="CI210" t="e">
        <f>AND(Bills!B894,"AAAAAF3V3VY=")</f>
        <v>#VALUE!</v>
      </c>
      <c r="CJ210" t="e">
        <f>AND(Bills!#REF!,"AAAAAF3V3Vc=")</f>
        <v>#REF!</v>
      </c>
      <c r="CK210" t="e">
        <f>AND(Bills!C894,"AAAAAF3V3Vg=")</f>
        <v>#VALUE!</v>
      </c>
      <c r="CL210" t="e">
        <f>AND(Bills!D894,"AAAAAF3V3Vk=")</f>
        <v>#VALUE!</v>
      </c>
      <c r="CM210" t="e">
        <f>AND(Bills!E894,"AAAAAF3V3Vo=")</f>
        <v>#VALUE!</v>
      </c>
      <c r="CN210" t="e">
        <f>AND(Bills!#REF!,"AAAAAF3V3Vs=")</f>
        <v>#REF!</v>
      </c>
      <c r="CO210" t="e">
        <f>AND(Bills!#REF!,"AAAAAF3V3Vw=")</f>
        <v>#REF!</v>
      </c>
      <c r="CP210" t="e">
        <f>AND(Bills!#REF!,"AAAAAF3V3V0=")</f>
        <v>#REF!</v>
      </c>
      <c r="CQ210" t="e">
        <f>AND(Bills!F894,"AAAAAF3V3V4=")</f>
        <v>#VALUE!</v>
      </c>
      <c r="CR210" t="e">
        <f>AND(Bills!#REF!,"AAAAAF3V3V8=")</f>
        <v>#REF!</v>
      </c>
      <c r="CS210" t="e">
        <f>AND(Bills!G894,"AAAAAF3V3WA=")</f>
        <v>#VALUE!</v>
      </c>
      <c r="CT210" t="e">
        <f>AND(Bills!H894,"AAAAAF3V3WE=")</f>
        <v>#VALUE!</v>
      </c>
      <c r="CU210" t="e">
        <f>AND(Bills!I894,"AAAAAF3V3WI=")</f>
        <v>#VALUE!</v>
      </c>
      <c r="CV210" t="e">
        <f>AND(Bills!J894,"AAAAAF3V3WM=")</f>
        <v>#VALUE!</v>
      </c>
      <c r="CW210" t="e">
        <f>AND(Bills!K894,"AAAAAF3V3WQ=")</f>
        <v>#VALUE!</v>
      </c>
      <c r="CX210" t="e">
        <f>AND(Bills!L894,"AAAAAF3V3WU=")</f>
        <v>#VALUE!</v>
      </c>
      <c r="CY210" t="e">
        <f>AND(Bills!#REF!,"AAAAAF3V3WY=")</f>
        <v>#REF!</v>
      </c>
      <c r="CZ210" t="e">
        <f>AND(Bills!M894,"AAAAAF3V3Wc=")</f>
        <v>#VALUE!</v>
      </c>
      <c r="DA210" t="e">
        <f>AND(Bills!N894,"AAAAAF3V3Wg=")</f>
        <v>#VALUE!</v>
      </c>
      <c r="DB210" t="e">
        <f>AND(Bills!O894,"AAAAAF3V3Wk=")</f>
        <v>#VALUE!</v>
      </c>
      <c r="DC210" t="e">
        <f>AND(Bills!P894,"AAAAAF3V3Wo=")</f>
        <v>#VALUE!</v>
      </c>
      <c r="DD210" t="e">
        <f>AND(Bills!Q894,"AAAAAF3V3Ws=")</f>
        <v>#VALUE!</v>
      </c>
      <c r="DE210" t="e">
        <f>AND(Bills!R894,"AAAAAF3V3Ww=")</f>
        <v>#VALUE!</v>
      </c>
      <c r="DF210" t="e">
        <f>AND(Bills!S894,"AAAAAF3V3W0=")</f>
        <v>#VALUE!</v>
      </c>
      <c r="DG210" t="e">
        <f>AND(Bills!T894,"AAAAAF3V3W4=")</f>
        <v>#VALUE!</v>
      </c>
      <c r="DH210" t="e">
        <f>AND(Bills!#REF!,"AAAAAF3V3W8=")</f>
        <v>#REF!</v>
      </c>
      <c r="DI210" t="e">
        <f>AND(Bills!U894,"AAAAAF3V3XA=")</f>
        <v>#VALUE!</v>
      </c>
      <c r="DJ210" t="e">
        <f>AND(Bills!V894,"AAAAAF3V3XE=")</f>
        <v>#VALUE!</v>
      </c>
      <c r="DK210" t="e">
        <f>AND(Bills!W894,"AAAAAF3V3XI=")</f>
        <v>#VALUE!</v>
      </c>
      <c r="DL210" t="e">
        <f>AND(Bills!#REF!,"AAAAAF3V3XM=")</f>
        <v>#REF!</v>
      </c>
      <c r="DM210" t="e">
        <f>AND(Bills!#REF!,"AAAAAF3V3XQ=")</f>
        <v>#REF!</v>
      </c>
      <c r="DN210" t="e">
        <f>AND(Bills!Y894,"AAAAAF3V3XU=")</f>
        <v>#VALUE!</v>
      </c>
      <c r="DO210" t="e">
        <f>AND(Bills!Z894,"AAAAAF3V3XY=")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AND(Bills!AA894,"AAAAAF3V3YA=")</f>
        <v>#VALUE!</v>
      </c>
      <c r="DZ210" t="e">
        <f>AND(Bills!AB894,"AAAAAF3V3YE=")</f>
        <v>#VALUE!</v>
      </c>
      <c r="EA210" t="e">
        <f>AND(Bills!#REF!,"AAAAAF3V3YI=")</f>
        <v>#REF!</v>
      </c>
      <c r="EB210" t="e">
        <f>AND(Bills!#REF!,"AAAAAF3V3YM=")</f>
        <v>#REF!</v>
      </c>
      <c r="EC210" t="e">
        <f>AND(Bills!#REF!,"AAAAAF3V3YQ=")</f>
        <v>#REF!</v>
      </c>
      <c r="ED210" t="e">
        <f>AND(Bills!AC894,"AAAAAF3V3YU=")</f>
        <v>#VALUE!</v>
      </c>
      <c r="EE210" t="e">
        <f>AND(Bills!AD894,"AAAAAF3V3YY=")</f>
        <v>#VALUE!</v>
      </c>
      <c r="EF210" t="e">
        <f>AND(Bills!#REF!,"AAAAAF3V3Yc=")</f>
        <v>#REF!</v>
      </c>
      <c r="EG210">
        <f>IF(Bills!895:895,"AAAAAF3V3Yg=",0)</f>
        <v>0</v>
      </c>
      <c r="EH210" t="e">
        <f>AND(Bills!B895,"AAAAAF3V3Yk=")</f>
        <v>#VALUE!</v>
      </c>
      <c r="EI210" t="e">
        <f>AND(Bills!#REF!,"AAAAAF3V3Yo=")</f>
        <v>#REF!</v>
      </c>
      <c r="EJ210" t="e">
        <f>AND(Bills!C895,"AAAAAF3V3Ys=")</f>
        <v>#VALUE!</v>
      </c>
      <c r="EK210" t="e">
        <f>AND(Bills!D895,"AAAAAF3V3Yw=")</f>
        <v>#VALUE!</v>
      </c>
      <c r="EL210" t="e">
        <f>AND(Bills!E895,"AAAAAF3V3Y0=")</f>
        <v>#VALUE!</v>
      </c>
      <c r="EM210" t="e">
        <f>AND(Bills!#REF!,"AAAAAF3V3Y4=")</f>
        <v>#REF!</v>
      </c>
      <c r="EN210" t="e">
        <f>AND(Bills!#REF!,"AAAAAF3V3Y8=")</f>
        <v>#REF!</v>
      </c>
      <c r="EO210" t="e">
        <f>AND(Bills!#REF!,"AAAAAF3V3ZA=")</f>
        <v>#REF!</v>
      </c>
      <c r="EP210" t="e">
        <f>AND(Bills!F895,"AAAAAF3V3ZE=")</f>
        <v>#VALUE!</v>
      </c>
      <c r="EQ210" t="e">
        <f>AND(Bills!#REF!,"AAAAAF3V3ZI=")</f>
        <v>#REF!</v>
      </c>
      <c r="ER210" t="e">
        <f>AND(Bills!G895,"AAAAAF3V3ZM=")</f>
        <v>#VALUE!</v>
      </c>
      <c r="ES210" t="e">
        <f>AND(Bills!H895,"AAAAAF3V3ZQ=")</f>
        <v>#VALUE!</v>
      </c>
      <c r="ET210" t="e">
        <f>AND(Bills!I895,"AAAAAF3V3ZU=")</f>
        <v>#VALUE!</v>
      </c>
      <c r="EU210" t="e">
        <f>AND(Bills!J895,"AAAAAF3V3ZY=")</f>
        <v>#VALUE!</v>
      </c>
      <c r="EV210" t="e">
        <f>AND(Bills!K895,"AAAAAF3V3Zc=")</f>
        <v>#VALUE!</v>
      </c>
      <c r="EW210" t="e">
        <f>AND(Bills!L895,"AAAAAF3V3Zg=")</f>
        <v>#VALUE!</v>
      </c>
      <c r="EX210" t="e">
        <f>AND(Bills!#REF!,"AAAAAF3V3Zk=")</f>
        <v>#REF!</v>
      </c>
      <c r="EY210" t="e">
        <f>AND(Bills!M895,"AAAAAF3V3Zo=")</f>
        <v>#VALUE!</v>
      </c>
      <c r="EZ210" t="e">
        <f>AND(Bills!N895,"AAAAAF3V3Zs=")</f>
        <v>#VALUE!</v>
      </c>
      <c r="FA210" t="e">
        <f>AND(Bills!O895,"AAAAAF3V3Zw=")</f>
        <v>#VALUE!</v>
      </c>
      <c r="FB210" t="e">
        <f>AND(Bills!P895,"AAAAAF3V3Z0=")</f>
        <v>#VALUE!</v>
      </c>
      <c r="FC210" t="e">
        <f>AND(Bills!Q895,"AAAAAF3V3Z4=")</f>
        <v>#VALUE!</v>
      </c>
      <c r="FD210" t="e">
        <f>AND(Bills!R895,"AAAAAF3V3Z8=")</f>
        <v>#VALUE!</v>
      </c>
      <c r="FE210" t="e">
        <f>AND(Bills!S895,"AAAAAF3V3aA=")</f>
        <v>#VALUE!</v>
      </c>
      <c r="FF210" t="e">
        <f>AND(Bills!T895,"AAAAAF3V3aE=")</f>
        <v>#VALUE!</v>
      </c>
      <c r="FG210" t="e">
        <f>AND(Bills!#REF!,"AAAAAF3V3aI=")</f>
        <v>#REF!</v>
      </c>
      <c r="FH210" t="e">
        <f>AND(Bills!U895,"AAAAAF3V3aM=")</f>
        <v>#VALUE!</v>
      </c>
      <c r="FI210" t="e">
        <f>AND(Bills!V895,"AAAAAF3V3aQ=")</f>
        <v>#VALUE!</v>
      </c>
      <c r="FJ210" t="e">
        <f>AND(Bills!W895,"AAAAAF3V3aU=")</f>
        <v>#VALUE!</v>
      </c>
      <c r="FK210" t="e">
        <f>AND(Bills!#REF!,"AAAAAF3V3aY=")</f>
        <v>#REF!</v>
      </c>
      <c r="FL210" t="e">
        <f>AND(Bills!#REF!,"AAAAAF3V3ac=")</f>
        <v>#REF!</v>
      </c>
      <c r="FM210" t="e">
        <f>AND(Bills!Y895,"AAAAAF3V3ag=")</f>
        <v>#VALUE!</v>
      </c>
      <c r="FN210" t="e">
        <f>AND(Bills!Z895,"AAAAAF3V3ak=")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AND(Bills!AA895,"AAAAAF3V3bM=")</f>
        <v>#VALUE!</v>
      </c>
      <c r="FY210" t="e">
        <f>AND(Bills!AB895,"AAAAAF3V3bQ=")</f>
        <v>#VALUE!</v>
      </c>
      <c r="FZ210" t="e">
        <f>AND(Bills!#REF!,"AAAAAF3V3bU=")</f>
        <v>#REF!</v>
      </c>
      <c r="GA210" t="e">
        <f>AND(Bills!#REF!,"AAAAAF3V3bY=")</f>
        <v>#REF!</v>
      </c>
      <c r="GB210" t="e">
        <f>AND(Bills!#REF!,"AAAAAF3V3bc=")</f>
        <v>#REF!</v>
      </c>
      <c r="GC210" t="e">
        <f>AND(Bills!AC895,"AAAAAF3V3bg=")</f>
        <v>#VALUE!</v>
      </c>
      <c r="GD210" t="e">
        <f>AND(Bills!AD895,"AAAAAF3V3bk=")</f>
        <v>#VALUE!</v>
      </c>
      <c r="GE210" t="e">
        <f>AND(Bills!#REF!,"AAAAAF3V3bo=")</f>
        <v>#REF!</v>
      </c>
      <c r="GF210">
        <f>IF(Bills!896:896,"AAAAAF3V3bs=",0)</f>
        <v>0</v>
      </c>
      <c r="GG210" t="e">
        <f>AND(Bills!B896,"AAAAAF3V3bw=")</f>
        <v>#VALUE!</v>
      </c>
      <c r="GH210" t="e">
        <f>AND(Bills!#REF!,"AAAAAF3V3b0=")</f>
        <v>#REF!</v>
      </c>
      <c r="GI210" t="e">
        <f>AND(Bills!C896,"AAAAAF3V3b4=")</f>
        <v>#VALUE!</v>
      </c>
      <c r="GJ210" t="e">
        <f>AND(Bills!D896,"AAAAAF3V3b8=")</f>
        <v>#VALUE!</v>
      </c>
      <c r="GK210" t="e">
        <f>AND(Bills!E896,"AAAAAF3V3cA=")</f>
        <v>#VALUE!</v>
      </c>
      <c r="GL210" t="e">
        <f>AND(Bills!#REF!,"AAAAAF3V3cE=")</f>
        <v>#REF!</v>
      </c>
      <c r="GM210" t="e">
        <f>AND(Bills!#REF!,"AAAAAF3V3cI=")</f>
        <v>#REF!</v>
      </c>
      <c r="GN210" t="e">
        <f>AND(Bills!#REF!,"AAAAAF3V3cM=")</f>
        <v>#REF!</v>
      </c>
      <c r="GO210" t="e">
        <f>AND(Bills!F896,"AAAAAF3V3cQ=")</f>
        <v>#VALUE!</v>
      </c>
      <c r="GP210" t="e">
        <f>AND(Bills!#REF!,"AAAAAF3V3cU=")</f>
        <v>#REF!</v>
      </c>
      <c r="GQ210" t="e">
        <f>AND(Bills!G896,"AAAAAF3V3cY=")</f>
        <v>#VALUE!</v>
      </c>
      <c r="GR210" t="e">
        <f>AND(Bills!H896,"AAAAAF3V3cc=")</f>
        <v>#VALUE!</v>
      </c>
      <c r="GS210" t="e">
        <f>AND(Bills!I896,"AAAAAF3V3cg=")</f>
        <v>#VALUE!</v>
      </c>
      <c r="GT210" t="e">
        <f>AND(Bills!J896,"AAAAAF3V3ck=")</f>
        <v>#VALUE!</v>
      </c>
      <c r="GU210" t="e">
        <f>AND(Bills!K896,"AAAAAF3V3co=")</f>
        <v>#VALUE!</v>
      </c>
      <c r="GV210" t="e">
        <f>AND(Bills!L896,"AAAAAF3V3cs=")</f>
        <v>#VALUE!</v>
      </c>
      <c r="GW210" t="e">
        <f>AND(Bills!#REF!,"AAAAAF3V3cw=")</f>
        <v>#REF!</v>
      </c>
      <c r="GX210" t="e">
        <f>AND(Bills!M896,"AAAAAF3V3c0=")</f>
        <v>#VALUE!</v>
      </c>
      <c r="GY210" t="e">
        <f>AND(Bills!N896,"AAAAAF3V3c4=")</f>
        <v>#VALUE!</v>
      </c>
      <c r="GZ210" t="e">
        <f>AND(Bills!O896,"AAAAAF3V3c8=")</f>
        <v>#VALUE!</v>
      </c>
      <c r="HA210" t="e">
        <f>AND(Bills!P896,"AAAAAF3V3dA=")</f>
        <v>#VALUE!</v>
      </c>
      <c r="HB210" t="e">
        <f>AND(Bills!Q896,"AAAAAF3V3dE=")</f>
        <v>#VALUE!</v>
      </c>
      <c r="HC210" t="e">
        <f>AND(Bills!R896,"AAAAAF3V3dI=")</f>
        <v>#VALUE!</v>
      </c>
      <c r="HD210" t="e">
        <f>AND(Bills!S896,"AAAAAF3V3dM=")</f>
        <v>#VALUE!</v>
      </c>
      <c r="HE210" t="e">
        <f>AND(Bills!T896,"AAAAAF3V3dQ=")</f>
        <v>#VALUE!</v>
      </c>
      <c r="HF210" t="e">
        <f>AND(Bills!#REF!,"AAAAAF3V3dU=")</f>
        <v>#REF!</v>
      </c>
      <c r="HG210" t="e">
        <f>AND(Bills!U896,"AAAAAF3V3dY=")</f>
        <v>#VALUE!</v>
      </c>
      <c r="HH210" t="e">
        <f>AND(Bills!V896,"AAAAAF3V3dc=")</f>
        <v>#VALUE!</v>
      </c>
      <c r="HI210" t="e">
        <f>AND(Bills!W896,"AAAAAF3V3dg=")</f>
        <v>#VALUE!</v>
      </c>
      <c r="HJ210" t="e">
        <f>AND(Bills!#REF!,"AAAAAF3V3dk=")</f>
        <v>#REF!</v>
      </c>
      <c r="HK210" t="e">
        <f>AND(Bills!#REF!,"AAAAAF3V3do=")</f>
        <v>#REF!</v>
      </c>
      <c r="HL210" t="e">
        <f>AND(Bills!Y896,"AAAAAF3V3ds=")</f>
        <v>#VALUE!</v>
      </c>
      <c r="HM210" t="e">
        <f>AND(Bills!Z896,"AAAAAF3V3dw=")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AND(Bills!AA896,"AAAAAF3V3eY=")</f>
        <v>#VALUE!</v>
      </c>
      <c r="HX210" t="e">
        <f>AND(Bills!AB896,"AAAAAF3V3ec=")</f>
        <v>#VALUE!</v>
      </c>
      <c r="HY210" t="e">
        <f>AND(Bills!#REF!,"AAAAAF3V3eg=")</f>
        <v>#REF!</v>
      </c>
      <c r="HZ210" t="e">
        <f>AND(Bills!#REF!,"AAAAAF3V3ek=")</f>
        <v>#REF!</v>
      </c>
      <c r="IA210" t="e">
        <f>AND(Bills!#REF!,"AAAAAF3V3eo=")</f>
        <v>#REF!</v>
      </c>
      <c r="IB210" t="e">
        <f>AND(Bills!AC896,"AAAAAF3V3es=")</f>
        <v>#VALUE!</v>
      </c>
      <c r="IC210" t="e">
        <f>AND(Bills!AD896,"AAAAAF3V3ew=")</f>
        <v>#VALUE!</v>
      </c>
      <c r="ID210" t="e">
        <f>AND(Bills!#REF!,"AAAAAF3V3e0=")</f>
        <v>#REF!</v>
      </c>
      <c r="IE210">
        <f>IF(Bills!897:897,"AAAAAF3V3e4=",0)</f>
        <v>0</v>
      </c>
      <c r="IF210" t="e">
        <f>AND(Bills!B897,"AAAAAF3V3e8=")</f>
        <v>#VALUE!</v>
      </c>
      <c r="IG210" t="e">
        <f>AND(Bills!#REF!,"AAAAAF3V3fA=")</f>
        <v>#REF!</v>
      </c>
      <c r="IH210" t="e">
        <f>AND(Bills!C897,"AAAAAF3V3fE=")</f>
        <v>#VALUE!</v>
      </c>
      <c r="II210" t="e">
        <f>AND(Bills!D897,"AAAAAF3V3fI=")</f>
        <v>#VALUE!</v>
      </c>
      <c r="IJ210" t="e">
        <f>AND(Bills!E897,"AAAAAF3V3fM=")</f>
        <v>#VALUE!</v>
      </c>
      <c r="IK210" t="e">
        <f>AND(Bills!#REF!,"AAAAAF3V3fQ=")</f>
        <v>#REF!</v>
      </c>
      <c r="IL210" t="e">
        <f>AND(Bills!#REF!,"AAAAAF3V3fU=")</f>
        <v>#REF!</v>
      </c>
      <c r="IM210" t="e">
        <f>AND(Bills!#REF!,"AAAAAF3V3fY=")</f>
        <v>#REF!</v>
      </c>
      <c r="IN210" t="e">
        <f>AND(Bills!F897,"AAAAAF3V3fc=")</f>
        <v>#VALUE!</v>
      </c>
      <c r="IO210" t="e">
        <f>AND(Bills!#REF!,"AAAAAF3V3fg=")</f>
        <v>#REF!</v>
      </c>
      <c r="IP210" t="e">
        <f>AND(Bills!G897,"AAAAAF3V3fk=")</f>
        <v>#VALUE!</v>
      </c>
      <c r="IQ210" t="e">
        <f>AND(Bills!H897,"AAAAAF3V3fo=")</f>
        <v>#VALUE!</v>
      </c>
      <c r="IR210" t="e">
        <f>AND(Bills!I897,"AAAAAF3V3fs=")</f>
        <v>#VALUE!</v>
      </c>
      <c r="IS210" t="e">
        <f>AND(Bills!J897,"AAAAAF3V3fw=")</f>
        <v>#VALUE!</v>
      </c>
      <c r="IT210" t="e">
        <f>AND(Bills!K897,"AAAAAF3V3f0=")</f>
        <v>#VALUE!</v>
      </c>
      <c r="IU210" t="e">
        <f>AND(Bills!L897,"AAAAAF3V3f4=")</f>
        <v>#VALUE!</v>
      </c>
      <c r="IV210" t="e">
        <f>AND(Bills!#REF!,"AAAAAF3V3f8=")</f>
        <v>#REF!</v>
      </c>
    </row>
    <row r="211" spans="1:256">
      <c r="A211" t="e">
        <f>AND(Bills!M897,"AAAAAH+fOwA=")</f>
        <v>#VALUE!</v>
      </c>
      <c r="B211" t="e">
        <f>AND(Bills!N897,"AAAAAH+fOwE=")</f>
        <v>#VALUE!</v>
      </c>
      <c r="C211" t="e">
        <f>AND(Bills!O897,"AAAAAH+fOwI=")</f>
        <v>#VALUE!</v>
      </c>
      <c r="D211" t="e">
        <f>AND(Bills!P897,"AAAAAH+fOwM=")</f>
        <v>#VALUE!</v>
      </c>
      <c r="E211" t="e">
        <f>AND(Bills!Q897,"AAAAAH+fOwQ=")</f>
        <v>#VALUE!</v>
      </c>
      <c r="F211" t="e">
        <f>AND(Bills!R897,"AAAAAH+fOwU=")</f>
        <v>#VALUE!</v>
      </c>
      <c r="G211" t="e">
        <f>AND(Bills!S897,"AAAAAH+fOwY=")</f>
        <v>#VALUE!</v>
      </c>
      <c r="H211" t="e">
        <f>AND(Bills!T897,"AAAAAH+fOwc=")</f>
        <v>#VALUE!</v>
      </c>
      <c r="I211" t="e">
        <f>AND(Bills!#REF!,"AAAAAH+fOwg=")</f>
        <v>#REF!</v>
      </c>
      <c r="J211" t="e">
        <f>AND(Bills!U897,"AAAAAH+fOwk=")</f>
        <v>#VALUE!</v>
      </c>
      <c r="K211" t="e">
        <f>AND(Bills!V897,"AAAAAH+fOwo=")</f>
        <v>#VALUE!</v>
      </c>
      <c r="L211" t="e">
        <f>AND(Bills!W897,"AAAAAH+fOws=")</f>
        <v>#VALUE!</v>
      </c>
      <c r="M211" t="e">
        <f>AND(Bills!#REF!,"AAAAAH+fOww=")</f>
        <v>#REF!</v>
      </c>
      <c r="N211" t="e">
        <f>AND(Bills!#REF!,"AAAAAH+fOw0=")</f>
        <v>#REF!</v>
      </c>
      <c r="O211" t="e">
        <f>AND(Bills!Y897,"AAAAAH+fOw4=")</f>
        <v>#VALUE!</v>
      </c>
      <c r="P211" t="e">
        <f>AND(Bills!Z897,"AAAAAH+fOw8=")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AND(Bills!AA897,"AAAAAH+fOxk=")</f>
        <v>#VALUE!</v>
      </c>
      <c r="AA211" t="e">
        <f>AND(Bills!AB897,"AAAAAH+fOxo=")</f>
        <v>#VALUE!</v>
      </c>
      <c r="AB211" t="e">
        <f>AND(Bills!#REF!,"AAAAAH+fOxs=")</f>
        <v>#REF!</v>
      </c>
      <c r="AC211" t="e">
        <f>AND(Bills!#REF!,"AAAAAH+fOxw=")</f>
        <v>#REF!</v>
      </c>
      <c r="AD211" t="e">
        <f>AND(Bills!#REF!,"AAAAAH+fOx0=")</f>
        <v>#REF!</v>
      </c>
      <c r="AE211" t="e">
        <f>AND(Bills!AC897,"AAAAAH+fOx4=")</f>
        <v>#VALUE!</v>
      </c>
      <c r="AF211" t="e">
        <f>AND(Bills!AD897,"AAAAAH+fOx8=")</f>
        <v>#VALUE!</v>
      </c>
      <c r="AG211" t="e">
        <f>AND(Bills!#REF!,"AAAAAH+fOyA=")</f>
        <v>#REF!</v>
      </c>
      <c r="AH211">
        <f>IF(Bills!898:898,"AAAAAH+fOyE=",0)</f>
        <v>0</v>
      </c>
      <c r="AI211" t="e">
        <f>AND(Bills!B898,"AAAAAH+fOyI=")</f>
        <v>#VALUE!</v>
      </c>
      <c r="AJ211" t="e">
        <f>AND(Bills!#REF!,"AAAAAH+fOyM=")</f>
        <v>#REF!</v>
      </c>
      <c r="AK211" t="e">
        <f>AND(Bills!C898,"AAAAAH+fOyQ=")</f>
        <v>#VALUE!</v>
      </c>
      <c r="AL211" t="e">
        <f>AND(Bills!D898,"AAAAAH+fOyU=")</f>
        <v>#VALUE!</v>
      </c>
      <c r="AM211" t="e">
        <f>AND(Bills!E898,"AAAAAH+fOyY=")</f>
        <v>#VALUE!</v>
      </c>
      <c r="AN211" t="e">
        <f>AND(Bills!#REF!,"AAAAAH+fOyc=")</f>
        <v>#REF!</v>
      </c>
      <c r="AO211" t="e">
        <f>AND(Bills!#REF!,"AAAAAH+fOyg=")</f>
        <v>#REF!</v>
      </c>
      <c r="AP211" t="e">
        <f>AND(Bills!#REF!,"AAAAAH+fOyk=")</f>
        <v>#REF!</v>
      </c>
      <c r="AQ211" t="e">
        <f>AND(Bills!F898,"AAAAAH+fOyo=")</f>
        <v>#VALUE!</v>
      </c>
      <c r="AR211" t="e">
        <f>AND(Bills!#REF!,"AAAAAH+fOys=")</f>
        <v>#REF!</v>
      </c>
      <c r="AS211" t="e">
        <f>AND(Bills!G898,"AAAAAH+fOyw=")</f>
        <v>#VALUE!</v>
      </c>
      <c r="AT211" t="e">
        <f>AND(Bills!H898,"AAAAAH+fOy0=")</f>
        <v>#VALUE!</v>
      </c>
      <c r="AU211" t="e">
        <f>AND(Bills!I898,"AAAAAH+fOy4=")</f>
        <v>#VALUE!</v>
      </c>
      <c r="AV211" t="e">
        <f>AND(Bills!J898,"AAAAAH+fOy8=")</f>
        <v>#VALUE!</v>
      </c>
      <c r="AW211" t="e">
        <f>AND(Bills!K898,"AAAAAH+fOzA=")</f>
        <v>#VALUE!</v>
      </c>
      <c r="AX211" t="e">
        <f>AND(Bills!L898,"AAAAAH+fOzE=")</f>
        <v>#VALUE!</v>
      </c>
      <c r="AY211" t="e">
        <f>AND(Bills!#REF!,"AAAAAH+fOzI=")</f>
        <v>#REF!</v>
      </c>
      <c r="AZ211" t="e">
        <f>AND(Bills!M898,"AAAAAH+fOzM=")</f>
        <v>#VALUE!</v>
      </c>
      <c r="BA211" t="e">
        <f>AND(Bills!N898,"AAAAAH+fOzQ=")</f>
        <v>#VALUE!</v>
      </c>
      <c r="BB211" t="e">
        <f>AND(Bills!O898,"AAAAAH+fOzU=")</f>
        <v>#VALUE!</v>
      </c>
      <c r="BC211" t="e">
        <f>AND(Bills!P898,"AAAAAH+fOzY=")</f>
        <v>#VALUE!</v>
      </c>
      <c r="BD211" t="e">
        <f>AND(Bills!Q898,"AAAAAH+fOzc=")</f>
        <v>#VALUE!</v>
      </c>
      <c r="BE211" t="e">
        <f>AND(Bills!R898,"AAAAAH+fOzg=")</f>
        <v>#VALUE!</v>
      </c>
      <c r="BF211" t="e">
        <f>AND(Bills!S898,"AAAAAH+fOzk=")</f>
        <v>#VALUE!</v>
      </c>
      <c r="BG211" t="e">
        <f>AND(Bills!T898,"AAAAAH+fOzo=")</f>
        <v>#VALUE!</v>
      </c>
      <c r="BH211" t="e">
        <f>AND(Bills!#REF!,"AAAAAH+fOzs=")</f>
        <v>#REF!</v>
      </c>
      <c r="BI211" t="e">
        <f>AND(Bills!U898,"AAAAAH+fOzw=")</f>
        <v>#VALUE!</v>
      </c>
      <c r="BJ211" t="e">
        <f>AND(Bills!V898,"AAAAAH+fOz0=")</f>
        <v>#VALUE!</v>
      </c>
      <c r="BK211" t="e">
        <f>AND(Bills!W898,"AAAAAH+fOz4=")</f>
        <v>#VALUE!</v>
      </c>
      <c r="BL211" t="e">
        <f>AND(Bills!#REF!,"AAAAAH+fOz8=")</f>
        <v>#REF!</v>
      </c>
      <c r="BM211" t="e">
        <f>AND(Bills!#REF!,"AAAAAH+fO0A=")</f>
        <v>#REF!</v>
      </c>
      <c r="BN211" t="e">
        <f>AND(Bills!Y898,"AAAAAH+fO0E=")</f>
        <v>#VALUE!</v>
      </c>
      <c r="BO211" t="e">
        <f>AND(Bills!Z898,"AAAAAH+fO0I=")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AND(Bills!AA898,"AAAAAH+fO0w=")</f>
        <v>#VALUE!</v>
      </c>
      <c r="BZ211" t="e">
        <f>AND(Bills!AB898,"AAAAAH+fO00=")</f>
        <v>#VALUE!</v>
      </c>
      <c r="CA211" t="e">
        <f>AND(Bills!#REF!,"AAAAAH+fO04=")</f>
        <v>#REF!</v>
      </c>
      <c r="CB211" t="e">
        <f>AND(Bills!#REF!,"AAAAAH+fO08=")</f>
        <v>#REF!</v>
      </c>
      <c r="CC211" t="e">
        <f>AND(Bills!#REF!,"AAAAAH+fO1A=")</f>
        <v>#REF!</v>
      </c>
      <c r="CD211" t="e">
        <f>AND(Bills!AC898,"AAAAAH+fO1E=")</f>
        <v>#VALUE!</v>
      </c>
      <c r="CE211" t="e">
        <f>AND(Bills!AD898,"AAAAAH+fO1I=")</f>
        <v>#VALUE!</v>
      </c>
      <c r="CF211" t="e">
        <f>AND(Bills!#REF!,"AAAAAH+fO1M=")</f>
        <v>#REF!</v>
      </c>
      <c r="CG211">
        <f>IF(Bills!899:899,"AAAAAH+fO1Q=",0)</f>
        <v>0</v>
      </c>
      <c r="CH211" t="e">
        <f>AND(Bills!B899,"AAAAAH+fO1U=")</f>
        <v>#VALUE!</v>
      </c>
      <c r="CI211" t="e">
        <f>AND(Bills!#REF!,"AAAAAH+fO1Y=")</f>
        <v>#REF!</v>
      </c>
      <c r="CJ211" t="e">
        <f>AND(Bills!C899,"AAAAAH+fO1c=")</f>
        <v>#VALUE!</v>
      </c>
      <c r="CK211" t="e">
        <f>AND(Bills!D899,"AAAAAH+fO1g=")</f>
        <v>#VALUE!</v>
      </c>
      <c r="CL211" t="e">
        <f>AND(Bills!E899,"AAAAAH+fO1k=")</f>
        <v>#VALUE!</v>
      </c>
      <c r="CM211" t="e">
        <f>AND(Bills!#REF!,"AAAAAH+fO1o=")</f>
        <v>#REF!</v>
      </c>
      <c r="CN211" t="e">
        <f>AND(Bills!#REF!,"AAAAAH+fO1s=")</f>
        <v>#REF!</v>
      </c>
      <c r="CO211" t="e">
        <f>AND(Bills!#REF!,"AAAAAH+fO1w=")</f>
        <v>#REF!</v>
      </c>
      <c r="CP211" t="e">
        <f>AND(Bills!F899,"AAAAAH+fO10=")</f>
        <v>#VALUE!</v>
      </c>
      <c r="CQ211" t="e">
        <f>AND(Bills!#REF!,"AAAAAH+fO14=")</f>
        <v>#REF!</v>
      </c>
      <c r="CR211" t="e">
        <f>AND(Bills!G899,"AAAAAH+fO18=")</f>
        <v>#VALUE!</v>
      </c>
      <c r="CS211" t="e">
        <f>AND(Bills!H899,"AAAAAH+fO2A=")</f>
        <v>#VALUE!</v>
      </c>
      <c r="CT211" t="e">
        <f>AND(Bills!I899,"AAAAAH+fO2E=")</f>
        <v>#VALUE!</v>
      </c>
      <c r="CU211" t="e">
        <f>AND(Bills!J899,"AAAAAH+fO2I=")</f>
        <v>#VALUE!</v>
      </c>
      <c r="CV211" t="e">
        <f>AND(Bills!K899,"AAAAAH+fO2M=")</f>
        <v>#VALUE!</v>
      </c>
      <c r="CW211" t="e">
        <f>AND(Bills!L899,"AAAAAH+fO2Q=")</f>
        <v>#VALUE!</v>
      </c>
      <c r="CX211" t="e">
        <f>AND(Bills!#REF!,"AAAAAH+fO2U=")</f>
        <v>#REF!</v>
      </c>
      <c r="CY211" t="e">
        <f>AND(Bills!M899,"AAAAAH+fO2Y=")</f>
        <v>#VALUE!</v>
      </c>
      <c r="CZ211" t="e">
        <f>AND(Bills!N899,"AAAAAH+fO2c=")</f>
        <v>#VALUE!</v>
      </c>
      <c r="DA211" t="e">
        <f>AND(Bills!O899,"AAAAAH+fO2g=")</f>
        <v>#VALUE!</v>
      </c>
      <c r="DB211" t="e">
        <f>AND(Bills!P899,"AAAAAH+fO2k=")</f>
        <v>#VALUE!</v>
      </c>
      <c r="DC211" t="e">
        <f>AND(Bills!Q899,"AAAAAH+fO2o=")</f>
        <v>#VALUE!</v>
      </c>
      <c r="DD211" t="e">
        <f>AND(Bills!R899,"AAAAAH+fO2s=")</f>
        <v>#VALUE!</v>
      </c>
      <c r="DE211" t="e">
        <f>AND(Bills!S899,"AAAAAH+fO2w=")</f>
        <v>#VALUE!</v>
      </c>
      <c r="DF211" t="e">
        <f>AND(Bills!T899,"AAAAAH+fO20=")</f>
        <v>#VALUE!</v>
      </c>
      <c r="DG211" t="e">
        <f>AND(Bills!#REF!,"AAAAAH+fO24=")</f>
        <v>#REF!</v>
      </c>
      <c r="DH211" t="e">
        <f>AND(Bills!U899,"AAAAAH+fO28=")</f>
        <v>#VALUE!</v>
      </c>
      <c r="DI211" t="e">
        <f>AND(Bills!V899,"AAAAAH+fO3A=")</f>
        <v>#VALUE!</v>
      </c>
      <c r="DJ211" t="e">
        <f>AND(Bills!W899,"AAAAAH+fO3E=")</f>
        <v>#VALUE!</v>
      </c>
      <c r="DK211" t="e">
        <f>AND(Bills!#REF!,"AAAAAH+fO3I=")</f>
        <v>#REF!</v>
      </c>
      <c r="DL211" t="e">
        <f>AND(Bills!#REF!,"AAAAAH+fO3M=")</f>
        <v>#REF!</v>
      </c>
      <c r="DM211" t="e">
        <f>AND(Bills!Y899,"AAAAAH+fO3Q=")</f>
        <v>#VALUE!</v>
      </c>
      <c r="DN211" t="e">
        <f>AND(Bills!Z899,"AAAAAH+fO3U=")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AND(Bills!AA899,"AAAAAH+fO38=")</f>
        <v>#VALUE!</v>
      </c>
      <c r="DY211" t="e">
        <f>AND(Bills!AB899,"AAAAAH+fO4A=")</f>
        <v>#VALUE!</v>
      </c>
      <c r="DZ211" t="e">
        <f>AND(Bills!#REF!,"AAAAAH+fO4E=")</f>
        <v>#REF!</v>
      </c>
      <c r="EA211" t="e">
        <f>AND(Bills!#REF!,"AAAAAH+fO4I=")</f>
        <v>#REF!</v>
      </c>
      <c r="EB211" t="e">
        <f>AND(Bills!#REF!,"AAAAAH+fO4M=")</f>
        <v>#REF!</v>
      </c>
      <c r="EC211" t="e">
        <f>AND(Bills!AC899,"AAAAAH+fO4Q=")</f>
        <v>#VALUE!</v>
      </c>
      <c r="ED211" t="e">
        <f>AND(Bills!AD899,"AAAAAH+fO4U=")</f>
        <v>#VALUE!</v>
      </c>
      <c r="EE211" t="e">
        <f>AND(Bills!#REF!,"AAAAAH+fO4Y=")</f>
        <v>#REF!</v>
      </c>
      <c r="EF211">
        <f>IF(Bills!900:900,"AAAAAH+fO4c=",0)</f>
        <v>0</v>
      </c>
      <c r="EG211" t="e">
        <f>AND(Bills!B900,"AAAAAH+fO4g=")</f>
        <v>#VALUE!</v>
      </c>
      <c r="EH211" t="e">
        <f>AND(Bills!#REF!,"AAAAAH+fO4k=")</f>
        <v>#REF!</v>
      </c>
      <c r="EI211" t="e">
        <f>AND(Bills!C900,"AAAAAH+fO4o=")</f>
        <v>#VALUE!</v>
      </c>
      <c r="EJ211" t="e">
        <f>AND(Bills!D900,"AAAAAH+fO4s=")</f>
        <v>#VALUE!</v>
      </c>
      <c r="EK211" t="e">
        <f>AND(Bills!E900,"AAAAAH+fO4w=")</f>
        <v>#VALUE!</v>
      </c>
      <c r="EL211" t="e">
        <f>AND(Bills!#REF!,"AAAAAH+fO40=")</f>
        <v>#REF!</v>
      </c>
      <c r="EM211" t="e">
        <f>AND(Bills!#REF!,"AAAAAH+fO44=")</f>
        <v>#REF!</v>
      </c>
      <c r="EN211" t="e">
        <f>AND(Bills!#REF!,"AAAAAH+fO48=")</f>
        <v>#REF!</v>
      </c>
      <c r="EO211" t="e">
        <f>AND(Bills!F900,"AAAAAH+fO5A=")</f>
        <v>#VALUE!</v>
      </c>
      <c r="EP211" t="e">
        <f>AND(Bills!#REF!,"AAAAAH+fO5E=")</f>
        <v>#REF!</v>
      </c>
      <c r="EQ211" t="e">
        <f>AND(Bills!G900,"AAAAAH+fO5I=")</f>
        <v>#VALUE!</v>
      </c>
      <c r="ER211" t="e">
        <f>AND(Bills!H900,"AAAAAH+fO5M=")</f>
        <v>#VALUE!</v>
      </c>
      <c r="ES211" t="e">
        <f>AND(Bills!I900,"AAAAAH+fO5Q=")</f>
        <v>#VALUE!</v>
      </c>
      <c r="ET211" t="e">
        <f>AND(Bills!J900,"AAAAAH+fO5U=")</f>
        <v>#VALUE!</v>
      </c>
      <c r="EU211" t="e">
        <f>AND(Bills!K900,"AAAAAH+fO5Y=")</f>
        <v>#VALUE!</v>
      </c>
      <c r="EV211" t="e">
        <f>AND(Bills!L900,"AAAAAH+fO5c=")</f>
        <v>#VALUE!</v>
      </c>
      <c r="EW211" t="e">
        <f>AND(Bills!#REF!,"AAAAAH+fO5g=")</f>
        <v>#REF!</v>
      </c>
      <c r="EX211" t="e">
        <f>AND(Bills!M900,"AAAAAH+fO5k=")</f>
        <v>#VALUE!</v>
      </c>
      <c r="EY211" t="e">
        <f>AND(Bills!N900,"AAAAAH+fO5o=")</f>
        <v>#VALUE!</v>
      </c>
      <c r="EZ211" t="e">
        <f>AND(Bills!O900,"AAAAAH+fO5s=")</f>
        <v>#VALUE!</v>
      </c>
      <c r="FA211" t="e">
        <f>AND(Bills!P900,"AAAAAH+fO5w=")</f>
        <v>#VALUE!</v>
      </c>
      <c r="FB211" t="e">
        <f>AND(Bills!Q900,"AAAAAH+fO50=")</f>
        <v>#VALUE!</v>
      </c>
      <c r="FC211" t="e">
        <f>AND(Bills!R900,"AAAAAH+fO54=")</f>
        <v>#VALUE!</v>
      </c>
      <c r="FD211" t="e">
        <f>AND(Bills!S900,"AAAAAH+fO58=")</f>
        <v>#VALUE!</v>
      </c>
      <c r="FE211" t="e">
        <f>AND(Bills!T900,"AAAAAH+fO6A=")</f>
        <v>#VALUE!</v>
      </c>
      <c r="FF211" t="e">
        <f>AND(Bills!#REF!,"AAAAAH+fO6E=")</f>
        <v>#REF!</v>
      </c>
      <c r="FG211" t="e">
        <f>AND(Bills!U900,"AAAAAH+fO6I=")</f>
        <v>#VALUE!</v>
      </c>
      <c r="FH211" t="e">
        <f>AND(Bills!V900,"AAAAAH+fO6M=")</f>
        <v>#VALUE!</v>
      </c>
      <c r="FI211" t="e">
        <f>AND(Bills!W900,"AAAAAH+fO6Q=")</f>
        <v>#VALUE!</v>
      </c>
      <c r="FJ211" t="e">
        <f>AND(Bills!#REF!,"AAAAAH+fO6U=")</f>
        <v>#REF!</v>
      </c>
      <c r="FK211" t="e">
        <f>AND(Bills!#REF!,"AAAAAH+fO6Y=")</f>
        <v>#REF!</v>
      </c>
      <c r="FL211" t="e">
        <f>AND(Bills!Y900,"AAAAAH+fO6c=")</f>
        <v>#VALUE!</v>
      </c>
      <c r="FM211" t="e">
        <f>AND(Bills!Z900,"AAAAAH+fO6g=")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AND(Bills!AA900,"AAAAAH+fO7I=")</f>
        <v>#VALUE!</v>
      </c>
      <c r="FX211" t="e">
        <f>AND(Bills!AB900,"AAAAAH+fO7M=")</f>
        <v>#VALUE!</v>
      </c>
      <c r="FY211" t="e">
        <f>AND(Bills!#REF!,"AAAAAH+fO7Q=")</f>
        <v>#REF!</v>
      </c>
      <c r="FZ211" t="e">
        <f>AND(Bills!#REF!,"AAAAAH+fO7U=")</f>
        <v>#REF!</v>
      </c>
      <c r="GA211" t="e">
        <f>AND(Bills!#REF!,"AAAAAH+fO7Y=")</f>
        <v>#REF!</v>
      </c>
      <c r="GB211" t="e">
        <f>AND(Bills!AC900,"AAAAAH+fO7c=")</f>
        <v>#VALUE!</v>
      </c>
      <c r="GC211" t="e">
        <f>AND(Bills!AD900,"AAAAAH+fO7g=")</f>
        <v>#VALUE!</v>
      </c>
      <c r="GD211" t="e">
        <f>AND(Bills!#REF!,"AAAAAH+fO7k=")</f>
        <v>#REF!</v>
      </c>
      <c r="GE211">
        <f>IF(Bills!901:901,"AAAAAH+fO7o=",0)</f>
        <v>0</v>
      </c>
      <c r="GF211" t="e">
        <f>AND(Bills!B901,"AAAAAH+fO7s=")</f>
        <v>#VALUE!</v>
      </c>
      <c r="GG211" t="e">
        <f>AND(Bills!#REF!,"AAAAAH+fO7w=")</f>
        <v>#REF!</v>
      </c>
      <c r="GH211" t="e">
        <f>AND(Bills!C901,"AAAAAH+fO70=")</f>
        <v>#VALUE!</v>
      </c>
      <c r="GI211" t="e">
        <f>AND(Bills!D901,"AAAAAH+fO74=")</f>
        <v>#VALUE!</v>
      </c>
      <c r="GJ211" t="e">
        <f>AND(Bills!E901,"AAAAAH+fO78=")</f>
        <v>#VALUE!</v>
      </c>
      <c r="GK211" t="e">
        <f>AND(Bills!#REF!,"AAAAAH+fO8A=")</f>
        <v>#REF!</v>
      </c>
      <c r="GL211" t="e">
        <f>AND(Bills!#REF!,"AAAAAH+fO8E=")</f>
        <v>#REF!</v>
      </c>
      <c r="GM211" t="e">
        <f>AND(Bills!#REF!,"AAAAAH+fO8I=")</f>
        <v>#REF!</v>
      </c>
      <c r="GN211" t="e">
        <f>AND(Bills!F901,"AAAAAH+fO8M=")</f>
        <v>#VALUE!</v>
      </c>
      <c r="GO211" t="e">
        <f>AND(Bills!#REF!,"AAAAAH+fO8Q=")</f>
        <v>#REF!</v>
      </c>
      <c r="GP211" t="e">
        <f>AND(Bills!G901,"AAAAAH+fO8U=")</f>
        <v>#VALUE!</v>
      </c>
      <c r="GQ211" t="e">
        <f>AND(Bills!H901,"AAAAAH+fO8Y=")</f>
        <v>#VALUE!</v>
      </c>
      <c r="GR211" t="e">
        <f>AND(Bills!I901,"AAAAAH+fO8c=")</f>
        <v>#VALUE!</v>
      </c>
      <c r="GS211" t="e">
        <f>AND(Bills!J901,"AAAAAH+fO8g=")</f>
        <v>#VALUE!</v>
      </c>
      <c r="GT211" t="e">
        <f>AND(Bills!K901,"AAAAAH+fO8k=")</f>
        <v>#VALUE!</v>
      </c>
      <c r="GU211" t="e">
        <f>AND(Bills!L901,"AAAAAH+fO8o=")</f>
        <v>#VALUE!</v>
      </c>
      <c r="GV211" t="e">
        <f>AND(Bills!#REF!,"AAAAAH+fO8s=")</f>
        <v>#REF!</v>
      </c>
      <c r="GW211" t="e">
        <f>AND(Bills!M901,"AAAAAH+fO8w=")</f>
        <v>#VALUE!</v>
      </c>
      <c r="GX211" t="e">
        <f>AND(Bills!N901,"AAAAAH+fO80=")</f>
        <v>#VALUE!</v>
      </c>
      <c r="GY211" t="e">
        <f>AND(Bills!O901,"AAAAAH+fO84=")</f>
        <v>#VALUE!</v>
      </c>
      <c r="GZ211" t="e">
        <f>AND(Bills!P901,"AAAAAH+fO88=")</f>
        <v>#VALUE!</v>
      </c>
      <c r="HA211" t="e">
        <f>AND(Bills!Q901,"AAAAAH+fO9A=")</f>
        <v>#VALUE!</v>
      </c>
      <c r="HB211" t="e">
        <f>AND(Bills!R901,"AAAAAH+fO9E=")</f>
        <v>#VALUE!</v>
      </c>
      <c r="HC211" t="e">
        <f>AND(Bills!S901,"AAAAAH+fO9I=")</f>
        <v>#VALUE!</v>
      </c>
      <c r="HD211" t="e">
        <f>AND(Bills!T901,"AAAAAH+fO9M=")</f>
        <v>#VALUE!</v>
      </c>
      <c r="HE211" t="e">
        <f>AND(Bills!#REF!,"AAAAAH+fO9Q=")</f>
        <v>#REF!</v>
      </c>
      <c r="HF211" t="e">
        <f>AND(Bills!U901,"AAAAAH+fO9U=")</f>
        <v>#VALUE!</v>
      </c>
      <c r="HG211" t="e">
        <f>AND(Bills!V901,"AAAAAH+fO9Y=")</f>
        <v>#VALUE!</v>
      </c>
      <c r="HH211" t="e">
        <f>AND(Bills!W901,"AAAAAH+fO9c=")</f>
        <v>#VALUE!</v>
      </c>
      <c r="HI211" t="e">
        <f>AND(Bills!#REF!,"AAAAAH+fO9g=")</f>
        <v>#REF!</v>
      </c>
      <c r="HJ211" t="e">
        <f>AND(Bills!#REF!,"AAAAAH+fO9k=")</f>
        <v>#REF!</v>
      </c>
      <c r="HK211" t="e">
        <f>AND(Bills!Y901,"AAAAAH+fO9o=")</f>
        <v>#VALUE!</v>
      </c>
      <c r="HL211" t="e">
        <f>AND(Bills!Z901,"AAAAAH+fO9s=")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AND(Bills!AA901,"AAAAAH+fO+U=")</f>
        <v>#VALUE!</v>
      </c>
      <c r="HW211" t="e">
        <f>AND(Bills!AB901,"AAAAAH+fO+Y=")</f>
        <v>#VALUE!</v>
      </c>
      <c r="HX211" t="e">
        <f>AND(Bills!#REF!,"AAAAAH+fO+c=")</f>
        <v>#REF!</v>
      </c>
      <c r="HY211" t="e">
        <f>AND(Bills!#REF!,"AAAAAH+fO+g=")</f>
        <v>#REF!</v>
      </c>
      <c r="HZ211" t="e">
        <f>AND(Bills!#REF!,"AAAAAH+fO+k=")</f>
        <v>#REF!</v>
      </c>
      <c r="IA211" t="e">
        <f>AND(Bills!AC901,"AAAAAH+fO+o=")</f>
        <v>#VALUE!</v>
      </c>
      <c r="IB211" t="e">
        <f>AND(Bills!AD901,"AAAAAH+fO+s=")</f>
        <v>#VALUE!</v>
      </c>
      <c r="IC211" t="e">
        <f>AND(Bills!#REF!,"AAAAAH+fO+w=")</f>
        <v>#REF!</v>
      </c>
      <c r="ID211">
        <f>IF(Bills!902:902,"AAAAAH+fO+0=",0)</f>
        <v>0</v>
      </c>
      <c r="IE211" t="e">
        <f>AND(Bills!B902,"AAAAAH+fO+4=")</f>
        <v>#VALUE!</v>
      </c>
      <c r="IF211" t="e">
        <f>AND(Bills!#REF!,"AAAAAH+fO+8=")</f>
        <v>#REF!</v>
      </c>
      <c r="IG211" t="e">
        <f>AND(Bills!C902,"AAAAAH+fO/A=")</f>
        <v>#VALUE!</v>
      </c>
      <c r="IH211" t="e">
        <f>AND(Bills!D902,"AAAAAH+fO/E=")</f>
        <v>#VALUE!</v>
      </c>
      <c r="II211" t="e">
        <f>AND(Bills!E902,"AAAAAH+fO/I=")</f>
        <v>#VALUE!</v>
      </c>
      <c r="IJ211" t="e">
        <f>AND(Bills!#REF!,"AAAAAH+fO/M=")</f>
        <v>#REF!</v>
      </c>
      <c r="IK211" t="e">
        <f>AND(Bills!#REF!,"AAAAAH+fO/Q=")</f>
        <v>#REF!</v>
      </c>
      <c r="IL211" t="e">
        <f>AND(Bills!#REF!,"AAAAAH+fO/U=")</f>
        <v>#REF!</v>
      </c>
      <c r="IM211" t="e">
        <f>AND(Bills!F902,"AAAAAH+fO/Y=")</f>
        <v>#VALUE!</v>
      </c>
      <c r="IN211" t="e">
        <f>AND(Bills!#REF!,"AAAAAH+fO/c=")</f>
        <v>#REF!</v>
      </c>
      <c r="IO211" t="e">
        <f>AND(Bills!G902,"AAAAAH+fO/g=")</f>
        <v>#VALUE!</v>
      </c>
      <c r="IP211" t="e">
        <f>AND(Bills!H902,"AAAAAH+fO/k=")</f>
        <v>#VALUE!</v>
      </c>
      <c r="IQ211" t="e">
        <f>AND(Bills!I902,"AAAAAH+fO/o=")</f>
        <v>#VALUE!</v>
      </c>
      <c r="IR211" t="e">
        <f>AND(Bills!J902,"AAAAAH+fO/s=")</f>
        <v>#VALUE!</v>
      </c>
      <c r="IS211" t="e">
        <f>AND(Bills!K902,"AAAAAH+fO/w=")</f>
        <v>#VALUE!</v>
      </c>
      <c r="IT211" t="e">
        <f>AND(Bills!L902,"AAAAAH+fO/0=")</f>
        <v>#VALUE!</v>
      </c>
      <c r="IU211" t="e">
        <f>AND(Bills!#REF!,"AAAAAH+fO/4=")</f>
        <v>#REF!</v>
      </c>
      <c r="IV211" t="e">
        <f>AND(Bills!M902,"AAAAAH+fO/8=")</f>
        <v>#VALUE!</v>
      </c>
    </row>
    <row r="212" spans="1:256">
      <c r="A212" t="e">
        <f>AND(Bills!N902,"AAAAAH/9vgA=")</f>
        <v>#VALUE!</v>
      </c>
      <c r="B212" t="e">
        <f>AND(Bills!O902,"AAAAAH/9vgE=")</f>
        <v>#VALUE!</v>
      </c>
      <c r="C212" t="e">
        <f>AND(Bills!P902,"AAAAAH/9vgI=")</f>
        <v>#VALUE!</v>
      </c>
      <c r="D212" t="e">
        <f>AND(Bills!Q902,"AAAAAH/9vgM=")</f>
        <v>#VALUE!</v>
      </c>
      <c r="E212" t="e">
        <f>AND(Bills!R902,"AAAAAH/9vgQ=")</f>
        <v>#VALUE!</v>
      </c>
      <c r="F212" t="e">
        <f>AND(Bills!S902,"AAAAAH/9vgU=")</f>
        <v>#VALUE!</v>
      </c>
      <c r="G212" t="e">
        <f>AND(Bills!T902,"AAAAAH/9vgY=")</f>
        <v>#VALUE!</v>
      </c>
      <c r="H212" t="e">
        <f>AND(Bills!#REF!,"AAAAAH/9vgc=")</f>
        <v>#REF!</v>
      </c>
      <c r="I212" t="e">
        <f>AND(Bills!U902,"AAAAAH/9vgg=")</f>
        <v>#VALUE!</v>
      </c>
      <c r="J212" t="e">
        <f>AND(Bills!V902,"AAAAAH/9vgk=")</f>
        <v>#VALUE!</v>
      </c>
      <c r="K212" t="e">
        <f>AND(Bills!W902,"AAAAAH/9vgo=")</f>
        <v>#VALUE!</v>
      </c>
      <c r="L212" t="e">
        <f>AND(Bills!#REF!,"AAAAAH/9vgs=")</f>
        <v>#REF!</v>
      </c>
      <c r="M212" t="e">
        <f>AND(Bills!#REF!,"AAAAAH/9vgw=")</f>
        <v>#REF!</v>
      </c>
      <c r="N212" t="e">
        <f>AND(Bills!Y902,"AAAAAH/9vg0=")</f>
        <v>#VALUE!</v>
      </c>
      <c r="O212" t="e">
        <f>AND(Bills!Z902,"AAAAAH/9vg4=")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AND(Bills!AA902,"AAAAAH/9vhg=")</f>
        <v>#VALUE!</v>
      </c>
      <c r="Z212" t="e">
        <f>AND(Bills!AB902,"AAAAAH/9vhk=")</f>
        <v>#VALUE!</v>
      </c>
      <c r="AA212" t="e">
        <f>AND(Bills!#REF!,"AAAAAH/9vho=")</f>
        <v>#REF!</v>
      </c>
      <c r="AB212" t="e">
        <f>AND(Bills!#REF!,"AAAAAH/9vhs=")</f>
        <v>#REF!</v>
      </c>
      <c r="AC212" t="e">
        <f>AND(Bills!#REF!,"AAAAAH/9vhw=")</f>
        <v>#REF!</v>
      </c>
      <c r="AD212" t="e">
        <f>AND(Bills!AC902,"AAAAAH/9vh0=")</f>
        <v>#VALUE!</v>
      </c>
      <c r="AE212" t="e">
        <f>AND(Bills!AD902,"AAAAAH/9vh4=")</f>
        <v>#VALUE!</v>
      </c>
      <c r="AF212" t="e">
        <f>AND(Bills!#REF!,"AAAAAH/9vh8=")</f>
        <v>#REF!</v>
      </c>
      <c r="AG212">
        <f>IF(Bills!903:903,"AAAAAH/9viA=",0)</f>
        <v>0</v>
      </c>
      <c r="AH212" t="e">
        <f>AND(Bills!B903,"AAAAAH/9viE=")</f>
        <v>#VALUE!</v>
      </c>
      <c r="AI212" t="e">
        <f>AND(Bills!#REF!,"AAAAAH/9viI=")</f>
        <v>#REF!</v>
      </c>
      <c r="AJ212" t="e">
        <f>AND(Bills!C903,"AAAAAH/9viM=")</f>
        <v>#VALUE!</v>
      </c>
      <c r="AK212" t="e">
        <f>AND(Bills!D903,"AAAAAH/9viQ=")</f>
        <v>#VALUE!</v>
      </c>
      <c r="AL212" t="e">
        <f>AND(Bills!E903,"AAAAAH/9viU=")</f>
        <v>#VALUE!</v>
      </c>
      <c r="AM212" t="e">
        <f>AND(Bills!#REF!,"AAAAAH/9viY=")</f>
        <v>#REF!</v>
      </c>
      <c r="AN212" t="e">
        <f>AND(Bills!#REF!,"AAAAAH/9vic=")</f>
        <v>#REF!</v>
      </c>
      <c r="AO212" t="e">
        <f>AND(Bills!#REF!,"AAAAAH/9vig=")</f>
        <v>#REF!</v>
      </c>
      <c r="AP212" t="e">
        <f>AND(Bills!F903,"AAAAAH/9vik=")</f>
        <v>#VALUE!</v>
      </c>
      <c r="AQ212" t="e">
        <f>AND(Bills!#REF!,"AAAAAH/9vio=")</f>
        <v>#REF!</v>
      </c>
      <c r="AR212" t="e">
        <f>AND(Bills!G903,"AAAAAH/9vis=")</f>
        <v>#VALUE!</v>
      </c>
      <c r="AS212" t="e">
        <f>AND(Bills!H903,"AAAAAH/9viw=")</f>
        <v>#VALUE!</v>
      </c>
      <c r="AT212" t="e">
        <f>AND(Bills!I903,"AAAAAH/9vi0=")</f>
        <v>#VALUE!</v>
      </c>
      <c r="AU212" t="e">
        <f>AND(Bills!J903,"AAAAAH/9vi4=")</f>
        <v>#VALUE!</v>
      </c>
      <c r="AV212" t="e">
        <f>AND(Bills!K903,"AAAAAH/9vi8=")</f>
        <v>#VALUE!</v>
      </c>
      <c r="AW212" t="e">
        <f>AND(Bills!L903,"AAAAAH/9vjA=")</f>
        <v>#VALUE!</v>
      </c>
      <c r="AX212" t="e">
        <f>AND(Bills!#REF!,"AAAAAH/9vjE=")</f>
        <v>#REF!</v>
      </c>
      <c r="AY212" t="e">
        <f>AND(Bills!M903,"AAAAAH/9vjI=")</f>
        <v>#VALUE!</v>
      </c>
      <c r="AZ212" t="e">
        <f>AND(Bills!N903,"AAAAAH/9vjM=")</f>
        <v>#VALUE!</v>
      </c>
      <c r="BA212" t="e">
        <f>AND(Bills!O903,"AAAAAH/9vjQ=")</f>
        <v>#VALUE!</v>
      </c>
      <c r="BB212" t="e">
        <f>AND(Bills!P903,"AAAAAH/9vjU=")</f>
        <v>#VALUE!</v>
      </c>
      <c r="BC212" t="e">
        <f>AND(Bills!Q903,"AAAAAH/9vjY=")</f>
        <v>#VALUE!</v>
      </c>
      <c r="BD212" t="e">
        <f>AND(Bills!R903,"AAAAAH/9vjc=")</f>
        <v>#VALUE!</v>
      </c>
      <c r="BE212" t="e">
        <f>AND(Bills!S903,"AAAAAH/9vjg=")</f>
        <v>#VALUE!</v>
      </c>
      <c r="BF212" t="e">
        <f>AND(Bills!T903,"AAAAAH/9vjk=")</f>
        <v>#VALUE!</v>
      </c>
      <c r="BG212" t="e">
        <f>AND(Bills!#REF!,"AAAAAH/9vjo=")</f>
        <v>#REF!</v>
      </c>
      <c r="BH212" t="e">
        <f>AND(Bills!U903,"AAAAAH/9vjs=")</f>
        <v>#VALUE!</v>
      </c>
      <c r="BI212" t="e">
        <f>AND(Bills!V903,"AAAAAH/9vjw=")</f>
        <v>#VALUE!</v>
      </c>
      <c r="BJ212" t="e">
        <f>AND(Bills!W903,"AAAAAH/9vj0=")</f>
        <v>#VALUE!</v>
      </c>
      <c r="BK212" t="e">
        <f>AND(Bills!#REF!,"AAAAAH/9vj4=")</f>
        <v>#REF!</v>
      </c>
      <c r="BL212" t="e">
        <f>AND(Bills!#REF!,"AAAAAH/9vj8=")</f>
        <v>#REF!</v>
      </c>
      <c r="BM212" t="e">
        <f>AND(Bills!Y903,"AAAAAH/9vkA=")</f>
        <v>#VALUE!</v>
      </c>
      <c r="BN212" t="e">
        <f>AND(Bills!Z903,"AAAAAH/9vkE=")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AND(Bills!AA903,"AAAAAH/9vks=")</f>
        <v>#VALUE!</v>
      </c>
      <c r="BY212" t="e">
        <f>AND(Bills!AB903,"AAAAAH/9vkw=")</f>
        <v>#VALUE!</v>
      </c>
      <c r="BZ212" t="e">
        <f>AND(Bills!#REF!,"AAAAAH/9vk0=")</f>
        <v>#REF!</v>
      </c>
      <c r="CA212" t="e">
        <f>AND(Bills!#REF!,"AAAAAH/9vk4=")</f>
        <v>#REF!</v>
      </c>
      <c r="CB212" t="e">
        <f>AND(Bills!#REF!,"AAAAAH/9vk8=")</f>
        <v>#REF!</v>
      </c>
      <c r="CC212" t="e">
        <f>AND(Bills!AC903,"AAAAAH/9vlA=")</f>
        <v>#VALUE!</v>
      </c>
      <c r="CD212" t="e">
        <f>AND(Bills!AD903,"AAAAAH/9vlE=")</f>
        <v>#VALUE!</v>
      </c>
      <c r="CE212" t="e">
        <f>AND(Bills!#REF!,"AAAAAH/9vlI=")</f>
        <v>#REF!</v>
      </c>
      <c r="CF212">
        <f>IF(Bills!904:904,"AAAAAH/9vlM=",0)</f>
        <v>0</v>
      </c>
      <c r="CG212" t="e">
        <f>AND(Bills!B904,"AAAAAH/9vlQ=")</f>
        <v>#VALUE!</v>
      </c>
      <c r="CH212" t="e">
        <f>AND(Bills!#REF!,"AAAAAH/9vlU=")</f>
        <v>#REF!</v>
      </c>
      <c r="CI212" t="e">
        <f>AND(Bills!C904,"AAAAAH/9vlY=")</f>
        <v>#VALUE!</v>
      </c>
      <c r="CJ212" t="e">
        <f>AND(Bills!D904,"AAAAAH/9vlc=")</f>
        <v>#VALUE!</v>
      </c>
      <c r="CK212" t="e">
        <f>AND(Bills!E904,"AAAAAH/9vlg=")</f>
        <v>#VALUE!</v>
      </c>
      <c r="CL212" t="e">
        <f>AND(Bills!#REF!,"AAAAAH/9vlk=")</f>
        <v>#REF!</v>
      </c>
      <c r="CM212" t="e">
        <f>AND(Bills!#REF!,"AAAAAH/9vlo=")</f>
        <v>#REF!</v>
      </c>
      <c r="CN212" t="e">
        <f>AND(Bills!#REF!,"AAAAAH/9vls=")</f>
        <v>#REF!</v>
      </c>
      <c r="CO212" t="e">
        <f>AND(Bills!F904,"AAAAAH/9vlw=")</f>
        <v>#VALUE!</v>
      </c>
      <c r="CP212" t="e">
        <f>AND(Bills!#REF!,"AAAAAH/9vl0=")</f>
        <v>#REF!</v>
      </c>
      <c r="CQ212" t="e">
        <f>AND(Bills!G904,"AAAAAH/9vl4=")</f>
        <v>#VALUE!</v>
      </c>
      <c r="CR212" t="e">
        <f>AND(Bills!H904,"AAAAAH/9vl8=")</f>
        <v>#VALUE!</v>
      </c>
      <c r="CS212" t="e">
        <f>AND(Bills!I904,"AAAAAH/9vmA=")</f>
        <v>#VALUE!</v>
      </c>
      <c r="CT212" t="e">
        <f>AND(Bills!J904,"AAAAAH/9vmE=")</f>
        <v>#VALUE!</v>
      </c>
      <c r="CU212" t="e">
        <f>AND(Bills!K904,"AAAAAH/9vmI=")</f>
        <v>#VALUE!</v>
      </c>
      <c r="CV212" t="e">
        <f>AND(Bills!L904,"AAAAAH/9vmM=")</f>
        <v>#VALUE!</v>
      </c>
      <c r="CW212" t="e">
        <f>AND(Bills!#REF!,"AAAAAH/9vmQ=")</f>
        <v>#REF!</v>
      </c>
      <c r="CX212" t="e">
        <f>AND(Bills!M904,"AAAAAH/9vmU=")</f>
        <v>#VALUE!</v>
      </c>
      <c r="CY212" t="e">
        <f>AND(Bills!N904,"AAAAAH/9vmY=")</f>
        <v>#VALUE!</v>
      </c>
      <c r="CZ212" t="e">
        <f>AND(Bills!O904,"AAAAAH/9vmc=")</f>
        <v>#VALUE!</v>
      </c>
      <c r="DA212" t="e">
        <f>AND(Bills!P904,"AAAAAH/9vmg=")</f>
        <v>#VALUE!</v>
      </c>
      <c r="DB212" t="e">
        <f>AND(Bills!Q904,"AAAAAH/9vmk=")</f>
        <v>#VALUE!</v>
      </c>
      <c r="DC212" t="e">
        <f>AND(Bills!R904,"AAAAAH/9vmo=")</f>
        <v>#VALUE!</v>
      </c>
      <c r="DD212" t="e">
        <f>AND(Bills!S904,"AAAAAH/9vms=")</f>
        <v>#VALUE!</v>
      </c>
      <c r="DE212" t="e">
        <f>AND(Bills!T904,"AAAAAH/9vmw=")</f>
        <v>#VALUE!</v>
      </c>
      <c r="DF212" t="e">
        <f>AND(Bills!#REF!,"AAAAAH/9vm0=")</f>
        <v>#REF!</v>
      </c>
      <c r="DG212" t="e">
        <f>AND(Bills!U904,"AAAAAH/9vm4=")</f>
        <v>#VALUE!</v>
      </c>
      <c r="DH212" t="e">
        <f>AND(Bills!V904,"AAAAAH/9vm8=")</f>
        <v>#VALUE!</v>
      </c>
      <c r="DI212" t="e">
        <f>AND(Bills!W904,"AAAAAH/9vnA=")</f>
        <v>#VALUE!</v>
      </c>
      <c r="DJ212" t="e">
        <f>AND(Bills!#REF!,"AAAAAH/9vnE=")</f>
        <v>#REF!</v>
      </c>
      <c r="DK212" t="e">
        <f>AND(Bills!#REF!,"AAAAAH/9vnI=")</f>
        <v>#REF!</v>
      </c>
      <c r="DL212" t="e">
        <f>AND(Bills!Y904,"AAAAAH/9vnM=")</f>
        <v>#VALUE!</v>
      </c>
      <c r="DM212" t="e">
        <f>AND(Bills!Z904,"AAAAAH/9vnQ=")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AND(Bills!AA904,"AAAAAH/9vn4=")</f>
        <v>#VALUE!</v>
      </c>
      <c r="DX212" t="e">
        <f>AND(Bills!AB904,"AAAAAH/9vn8=")</f>
        <v>#VALUE!</v>
      </c>
      <c r="DY212" t="e">
        <f>AND(Bills!#REF!,"AAAAAH/9voA=")</f>
        <v>#REF!</v>
      </c>
      <c r="DZ212" t="e">
        <f>AND(Bills!#REF!,"AAAAAH/9voE=")</f>
        <v>#REF!</v>
      </c>
      <c r="EA212" t="e">
        <f>AND(Bills!#REF!,"AAAAAH/9voI=")</f>
        <v>#REF!</v>
      </c>
      <c r="EB212" t="e">
        <f>AND(Bills!AC904,"AAAAAH/9voM=")</f>
        <v>#VALUE!</v>
      </c>
      <c r="EC212" t="e">
        <f>AND(Bills!AD904,"AAAAAH/9voQ=")</f>
        <v>#VALUE!</v>
      </c>
      <c r="ED212" t="e">
        <f>AND(Bills!#REF!,"AAAAAH/9voU=")</f>
        <v>#REF!</v>
      </c>
      <c r="EE212">
        <f>IF(Bills!905:905,"AAAAAH/9voY=",0)</f>
        <v>0</v>
      </c>
      <c r="EF212" t="e">
        <f>AND(Bills!B905,"AAAAAH/9voc=")</f>
        <v>#VALUE!</v>
      </c>
      <c r="EG212" t="e">
        <f>AND(Bills!#REF!,"AAAAAH/9vog=")</f>
        <v>#REF!</v>
      </c>
      <c r="EH212" t="e">
        <f>AND(Bills!C905,"AAAAAH/9vok=")</f>
        <v>#VALUE!</v>
      </c>
      <c r="EI212" t="e">
        <f>AND(Bills!D905,"AAAAAH/9voo=")</f>
        <v>#VALUE!</v>
      </c>
      <c r="EJ212" t="e">
        <f>AND(Bills!E905,"AAAAAH/9vos=")</f>
        <v>#VALUE!</v>
      </c>
      <c r="EK212" t="e">
        <f>AND(Bills!#REF!,"AAAAAH/9vow=")</f>
        <v>#REF!</v>
      </c>
      <c r="EL212" t="e">
        <f>AND(Bills!#REF!,"AAAAAH/9vo0=")</f>
        <v>#REF!</v>
      </c>
      <c r="EM212" t="e">
        <f>AND(Bills!#REF!,"AAAAAH/9vo4=")</f>
        <v>#REF!</v>
      </c>
      <c r="EN212" t="e">
        <f>AND(Bills!F905,"AAAAAH/9vo8=")</f>
        <v>#VALUE!</v>
      </c>
      <c r="EO212" t="e">
        <f>AND(Bills!#REF!,"AAAAAH/9vpA=")</f>
        <v>#REF!</v>
      </c>
      <c r="EP212" t="e">
        <f>AND(Bills!G905,"AAAAAH/9vpE=")</f>
        <v>#VALUE!</v>
      </c>
      <c r="EQ212" t="e">
        <f>AND(Bills!H905,"AAAAAH/9vpI=")</f>
        <v>#VALUE!</v>
      </c>
      <c r="ER212" t="e">
        <f>AND(Bills!I905,"AAAAAH/9vpM=")</f>
        <v>#VALUE!</v>
      </c>
      <c r="ES212" t="e">
        <f>AND(Bills!J905,"AAAAAH/9vpQ=")</f>
        <v>#VALUE!</v>
      </c>
      <c r="ET212" t="e">
        <f>AND(Bills!K905,"AAAAAH/9vpU=")</f>
        <v>#VALUE!</v>
      </c>
      <c r="EU212" t="e">
        <f>AND(Bills!L905,"AAAAAH/9vpY=")</f>
        <v>#VALUE!</v>
      </c>
      <c r="EV212" t="e">
        <f>AND(Bills!#REF!,"AAAAAH/9vpc=")</f>
        <v>#REF!</v>
      </c>
      <c r="EW212" t="e">
        <f>AND(Bills!M905,"AAAAAH/9vpg=")</f>
        <v>#VALUE!</v>
      </c>
      <c r="EX212" t="e">
        <f>AND(Bills!N905,"AAAAAH/9vpk=")</f>
        <v>#VALUE!</v>
      </c>
      <c r="EY212" t="e">
        <f>AND(Bills!O905,"AAAAAH/9vpo=")</f>
        <v>#VALUE!</v>
      </c>
      <c r="EZ212" t="e">
        <f>AND(Bills!P905,"AAAAAH/9vps=")</f>
        <v>#VALUE!</v>
      </c>
      <c r="FA212" t="e">
        <f>AND(Bills!Q905,"AAAAAH/9vpw=")</f>
        <v>#VALUE!</v>
      </c>
      <c r="FB212" t="e">
        <f>AND(Bills!R905,"AAAAAH/9vp0=")</f>
        <v>#VALUE!</v>
      </c>
      <c r="FC212" t="e">
        <f>AND(Bills!S905,"AAAAAH/9vp4=")</f>
        <v>#VALUE!</v>
      </c>
      <c r="FD212" t="e">
        <f>AND(Bills!T905,"AAAAAH/9vp8=")</f>
        <v>#VALUE!</v>
      </c>
      <c r="FE212" t="e">
        <f>AND(Bills!#REF!,"AAAAAH/9vqA=")</f>
        <v>#REF!</v>
      </c>
      <c r="FF212" t="e">
        <f>AND(Bills!U905,"AAAAAH/9vqE=")</f>
        <v>#VALUE!</v>
      </c>
      <c r="FG212" t="e">
        <f>AND(Bills!V905,"AAAAAH/9vqI=")</f>
        <v>#VALUE!</v>
      </c>
      <c r="FH212" t="e">
        <f>AND(Bills!W905,"AAAAAH/9vqM=")</f>
        <v>#VALUE!</v>
      </c>
      <c r="FI212" t="e">
        <f>AND(Bills!#REF!,"AAAAAH/9vqQ=")</f>
        <v>#REF!</v>
      </c>
      <c r="FJ212" t="e">
        <f>AND(Bills!#REF!,"AAAAAH/9vqU=")</f>
        <v>#REF!</v>
      </c>
      <c r="FK212" t="e">
        <f>AND(Bills!Y905,"AAAAAH/9vqY=")</f>
        <v>#VALUE!</v>
      </c>
      <c r="FL212" t="e">
        <f>AND(Bills!Z905,"AAAAAH/9vqc=")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AND(Bills!AA905,"AAAAAH/9vrE=")</f>
        <v>#VALUE!</v>
      </c>
      <c r="FW212" t="e">
        <f>AND(Bills!AB905,"AAAAAH/9vrI=")</f>
        <v>#VALUE!</v>
      </c>
      <c r="FX212" t="e">
        <f>AND(Bills!#REF!,"AAAAAH/9vrM=")</f>
        <v>#REF!</v>
      </c>
      <c r="FY212" t="e">
        <f>AND(Bills!#REF!,"AAAAAH/9vrQ=")</f>
        <v>#REF!</v>
      </c>
      <c r="FZ212" t="e">
        <f>AND(Bills!#REF!,"AAAAAH/9vrU=")</f>
        <v>#REF!</v>
      </c>
      <c r="GA212" t="e">
        <f>AND(Bills!AC905,"AAAAAH/9vrY=")</f>
        <v>#VALUE!</v>
      </c>
      <c r="GB212" t="e">
        <f>AND(Bills!AD905,"AAAAAH/9vrc=")</f>
        <v>#VALUE!</v>
      </c>
      <c r="GC212" t="e">
        <f>AND(Bills!#REF!,"AAAAAH/9vrg=")</f>
        <v>#REF!</v>
      </c>
      <c r="GD212">
        <f>IF(Bills!906:906,"AAAAAH/9vrk=",0)</f>
        <v>0</v>
      </c>
      <c r="GE212" t="e">
        <f>AND(Bills!B906,"AAAAAH/9vro=")</f>
        <v>#VALUE!</v>
      </c>
      <c r="GF212" t="e">
        <f>AND(Bills!#REF!,"AAAAAH/9vrs=")</f>
        <v>#REF!</v>
      </c>
      <c r="GG212" t="e">
        <f>AND(Bills!C906,"AAAAAH/9vrw=")</f>
        <v>#VALUE!</v>
      </c>
      <c r="GH212" t="e">
        <f>AND(Bills!D906,"AAAAAH/9vr0=")</f>
        <v>#VALUE!</v>
      </c>
      <c r="GI212" t="e">
        <f>AND(Bills!E906,"AAAAAH/9vr4=")</f>
        <v>#VALUE!</v>
      </c>
      <c r="GJ212" t="e">
        <f>AND(Bills!#REF!,"AAAAAH/9vr8=")</f>
        <v>#REF!</v>
      </c>
      <c r="GK212" t="e">
        <f>AND(Bills!#REF!,"AAAAAH/9vsA=")</f>
        <v>#REF!</v>
      </c>
      <c r="GL212" t="e">
        <f>AND(Bills!#REF!,"AAAAAH/9vsE=")</f>
        <v>#REF!</v>
      </c>
      <c r="GM212" t="e">
        <f>AND(Bills!F906,"AAAAAH/9vsI=")</f>
        <v>#VALUE!</v>
      </c>
      <c r="GN212" t="e">
        <f>AND(Bills!#REF!,"AAAAAH/9vsM=")</f>
        <v>#REF!</v>
      </c>
      <c r="GO212" t="e">
        <f>AND(Bills!G906,"AAAAAH/9vsQ=")</f>
        <v>#VALUE!</v>
      </c>
      <c r="GP212" t="e">
        <f>AND(Bills!H906,"AAAAAH/9vsU=")</f>
        <v>#VALUE!</v>
      </c>
      <c r="GQ212" t="e">
        <f>AND(Bills!I906,"AAAAAH/9vsY=")</f>
        <v>#VALUE!</v>
      </c>
      <c r="GR212" t="e">
        <f>AND(Bills!J906,"AAAAAH/9vsc=")</f>
        <v>#VALUE!</v>
      </c>
      <c r="GS212" t="e">
        <f>AND(Bills!K906,"AAAAAH/9vsg=")</f>
        <v>#VALUE!</v>
      </c>
      <c r="GT212" t="e">
        <f>AND(Bills!L906,"AAAAAH/9vsk=")</f>
        <v>#VALUE!</v>
      </c>
      <c r="GU212" t="e">
        <f>AND(Bills!#REF!,"AAAAAH/9vso=")</f>
        <v>#REF!</v>
      </c>
      <c r="GV212" t="e">
        <f>AND(Bills!M906,"AAAAAH/9vss=")</f>
        <v>#VALUE!</v>
      </c>
      <c r="GW212" t="e">
        <f>AND(Bills!N906,"AAAAAH/9vsw=")</f>
        <v>#VALUE!</v>
      </c>
      <c r="GX212" t="e">
        <f>AND(Bills!O906,"AAAAAH/9vs0=")</f>
        <v>#VALUE!</v>
      </c>
      <c r="GY212" t="e">
        <f>AND(Bills!P906,"AAAAAH/9vs4=")</f>
        <v>#VALUE!</v>
      </c>
      <c r="GZ212" t="e">
        <f>AND(Bills!Q906,"AAAAAH/9vs8=")</f>
        <v>#VALUE!</v>
      </c>
      <c r="HA212" t="e">
        <f>AND(Bills!R906,"AAAAAH/9vtA=")</f>
        <v>#VALUE!</v>
      </c>
      <c r="HB212" t="e">
        <f>AND(Bills!S906,"AAAAAH/9vtE=")</f>
        <v>#VALUE!</v>
      </c>
      <c r="HC212" t="e">
        <f>AND(Bills!T906,"AAAAAH/9vtI=")</f>
        <v>#VALUE!</v>
      </c>
      <c r="HD212" t="e">
        <f>AND(Bills!#REF!,"AAAAAH/9vtM=")</f>
        <v>#REF!</v>
      </c>
      <c r="HE212" t="e">
        <f>AND(Bills!U906,"AAAAAH/9vtQ=")</f>
        <v>#VALUE!</v>
      </c>
      <c r="HF212" t="e">
        <f>AND(Bills!V906,"AAAAAH/9vtU=")</f>
        <v>#VALUE!</v>
      </c>
      <c r="HG212" t="e">
        <f>AND(Bills!W906,"AAAAAH/9vtY=")</f>
        <v>#VALUE!</v>
      </c>
      <c r="HH212" t="e">
        <f>AND(Bills!#REF!,"AAAAAH/9vtc=")</f>
        <v>#REF!</v>
      </c>
      <c r="HI212" t="e">
        <f>AND(Bills!#REF!,"AAAAAH/9vtg=")</f>
        <v>#REF!</v>
      </c>
      <c r="HJ212" t="e">
        <f>AND(Bills!Y906,"AAAAAH/9vtk=")</f>
        <v>#VALUE!</v>
      </c>
      <c r="HK212" t="e">
        <f>AND(Bills!Z906,"AAAAAH/9vto=")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AND(Bills!AA906,"AAAAAH/9vuQ=")</f>
        <v>#VALUE!</v>
      </c>
      <c r="HV212" t="e">
        <f>AND(Bills!AB906,"AAAAAH/9vuU=")</f>
        <v>#VALUE!</v>
      </c>
      <c r="HW212" t="e">
        <f>AND(Bills!#REF!,"AAAAAH/9vuY=")</f>
        <v>#REF!</v>
      </c>
      <c r="HX212" t="e">
        <f>AND(Bills!#REF!,"AAAAAH/9vuc=")</f>
        <v>#REF!</v>
      </c>
      <c r="HY212" t="e">
        <f>AND(Bills!#REF!,"AAAAAH/9vug=")</f>
        <v>#REF!</v>
      </c>
      <c r="HZ212" t="e">
        <f>AND(Bills!AC906,"AAAAAH/9vuk=")</f>
        <v>#VALUE!</v>
      </c>
      <c r="IA212" t="e">
        <f>AND(Bills!AD906,"AAAAAH/9vuo=")</f>
        <v>#VALUE!</v>
      </c>
      <c r="IB212" t="e">
        <f>AND(Bills!#REF!,"AAAAAH/9vus=")</f>
        <v>#REF!</v>
      </c>
      <c r="IC212">
        <f>IF(Bills!907:907,"AAAAAH/9vuw=",0)</f>
        <v>0</v>
      </c>
      <c r="ID212" t="e">
        <f>AND(Bills!B907,"AAAAAH/9vu0=")</f>
        <v>#VALUE!</v>
      </c>
      <c r="IE212" t="e">
        <f>AND(Bills!#REF!,"AAAAAH/9vu4=")</f>
        <v>#REF!</v>
      </c>
      <c r="IF212" t="e">
        <f>AND(Bills!C907,"AAAAAH/9vu8=")</f>
        <v>#VALUE!</v>
      </c>
      <c r="IG212" t="e">
        <f>AND(Bills!D907,"AAAAAH/9vvA=")</f>
        <v>#VALUE!</v>
      </c>
      <c r="IH212" t="e">
        <f>AND(Bills!E907,"AAAAAH/9vvE=")</f>
        <v>#VALUE!</v>
      </c>
      <c r="II212" t="e">
        <f>AND(Bills!#REF!,"AAAAAH/9vvI=")</f>
        <v>#REF!</v>
      </c>
      <c r="IJ212" t="e">
        <f>AND(Bills!#REF!,"AAAAAH/9vvM=")</f>
        <v>#REF!</v>
      </c>
      <c r="IK212" t="e">
        <f>AND(Bills!#REF!,"AAAAAH/9vvQ=")</f>
        <v>#REF!</v>
      </c>
      <c r="IL212" t="e">
        <f>AND(Bills!F907,"AAAAAH/9vvU=")</f>
        <v>#VALUE!</v>
      </c>
      <c r="IM212" t="e">
        <f>AND(Bills!#REF!,"AAAAAH/9vvY=")</f>
        <v>#REF!</v>
      </c>
      <c r="IN212" t="e">
        <f>AND(Bills!G907,"AAAAAH/9vvc=")</f>
        <v>#VALUE!</v>
      </c>
      <c r="IO212" t="e">
        <f>AND(Bills!H907,"AAAAAH/9vvg=")</f>
        <v>#VALUE!</v>
      </c>
      <c r="IP212" t="e">
        <f>AND(Bills!I907,"AAAAAH/9vvk=")</f>
        <v>#VALUE!</v>
      </c>
      <c r="IQ212" t="e">
        <f>AND(Bills!J907,"AAAAAH/9vvo=")</f>
        <v>#VALUE!</v>
      </c>
      <c r="IR212" t="e">
        <f>AND(Bills!K907,"AAAAAH/9vvs=")</f>
        <v>#VALUE!</v>
      </c>
      <c r="IS212" t="e">
        <f>AND(Bills!L907,"AAAAAH/9vvw=")</f>
        <v>#VALUE!</v>
      </c>
      <c r="IT212" t="e">
        <f>AND(Bills!#REF!,"AAAAAH/9vv0=")</f>
        <v>#REF!</v>
      </c>
      <c r="IU212" t="e">
        <f>AND(Bills!M907,"AAAAAH/9vv4=")</f>
        <v>#VALUE!</v>
      </c>
      <c r="IV212" t="e">
        <f>AND(Bills!N907,"AAAAAH/9vv8=")</f>
        <v>#VALUE!</v>
      </c>
    </row>
    <row r="213" spans="1:256">
      <c r="A213" t="e">
        <f>AND(Bills!O907,"AAAAAH//+gA=")</f>
        <v>#VALUE!</v>
      </c>
      <c r="B213" t="e">
        <f>AND(Bills!P907,"AAAAAH//+gE=")</f>
        <v>#VALUE!</v>
      </c>
      <c r="C213" t="e">
        <f>AND(Bills!Q907,"AAAAAH//+gI=")</f>
        <v>#VALUE!</v>
      </c>
      <c r="D213" t="e">
        <f>AND(Bills!R907,"AAAAAH//+gM=")</f>
        <v>#VALUE!</v>
      </c>
      <c r="E213" t="e">
        <f>AND(Bills!S907,"AAAAAH//+gQ=")</f>
        <v>#VALUE!</v>
      </c>
      <c r="F213" t="e">
        <f>AND(Bills!T907,"AAAAAH//+gU=")</f>
        <v>#VALUE!</v>
      </c>
      <c r="G213" t="e">
        <f>AND(Bills!#REF!,"AAAAAH//+gY=")</f>
        <v>#REF!</v>
      </c>
      <c r="H213" t="e">
        <f>AND(Bills!U907,"AAAAAH//+gc=")</f>
        <v>#VALUE!</v>
      </c>
      <c r="I213" t="e">
        <f>AND(Bills!V907,"AAAAAH//+gg=")</f>
        <v>#VALUE!</v>
      </c>
      <c r="J213" t="e">
        <f>AND(Bills!W907,"AAAAAH//+gk=")</f>
        <v>#VALUE!</v>
      </c>
      <c r="K213" t="e">
        <f>AND(Bills!#REF!,"AAAAAH//+go=")</f>
        <v>#REF!</v>
      </c>
      <c r="L213" t="e">
        <f>AND(Bills!#REF!,"AAAAAH//+gs=")</f>
        <v>#REF!</v>
      </c>
      <c r="M213" t="e">
        <f>AND(Bills!Y907,"AAAAAH//+gw=")</f>
        <v>#VALUE!</v>
      </c>
      <c r="N213" t="e">
        <f>AND(Bills!Z907,"AAAAAH//+g0=")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AND(Bills!AA907,"AAAAAH//+hc=")</f>
        <v>#VALUE!</v>
      </c>
      <c r="Y213" t="e">
        <f>AND(Bills!AB907,"AAAAAH//+hg=")</f>
        <v>#VALUE!</v>
      </c>
      <c r="Z213" t="e">
        <f>AND(Bills!#REF!,"AAAAAH//+hk=")</f>
        <v>#REF!</v>
      </c>
      <c r="AA213" t="e">
        <f>AND(Bills!#REF!,"AAAAAH//+ho=")</f>
        <v>#REF!</v>
      </c>
      <c r="AB213" t="e">
        <f>AND(Bills!#REF!,"AAAAAH//+hs=")</f>
        <v>#REF!</v>
      </c>
      <c r="AC213" t="e">
        <f>AND(Bills!AC907,"AAAAAH//+hw=")</f>
        <v>#VALUE!</v>
      </c>
      <c r="AD213" t="e">
        <f>AND(Bills!AD907,"AAAAAH//+h0=")</f>
        <v>#VALUE!</v>
      </c>
      <c r="AE213" t="e">
        <f>AND(Bills!#REF!,"AAAAAH//+h4=")</f>
        <v>#REF!</v>
      </c>
      <c r="AF213">
        <f>IF(Bills!908:908,"AAAAAH//+h8=",0)</f>
        <v>0</v>
      </c>
      <c r="AG213" t="e">
        <f>AND(Bills!B908,"AAAAAH//+iA=")</f>
        <v>#VALUE!</v>
      </c>
      <c r="AH213" t="e">
        <f>AND(Bills!#REF!,"AAAAAH//+iE=")</f>
        <v>#REF!</v>
      </c>
      <c r="AI213" t="e">
        <f>AND(Bills!C908,"AAAAAH//+iI=")</f>
        <v>#VALUE!</v>
      </c>
      <c r="AJ213" t="e">
        <f>AND(Bills!D908,"AAAAAH//+iM=")</f>
        <v>#VALUE!</v>
      </c>
      <c r="AK213" t="e">
        <f>AND(Bills!E908,"AAAAAH//+iQ=")</f>
        <v>#VALUE!</v>
      </c>
      <c r="AL213" t="e">
        <f>AND(Bills!#REF!,"AAAAAH//+iU=")</f>
        <v>#REF!</v>
      </c>
      <c r="AM213" t="e">
        <f>AND(Bills!#REF!,"AAAAAH//+iY=")</f>
        <v>#REF!</v>
      </c>
      <c r="AN213" t="e">
        <f>AND(Bills!#REF!,"AAAAAH//+ic=")</f>
        <v>#REF!</v>
      </c>
      <c r="AO213" t="e">
        <f>AND(Bills!F908,"AAAAAH//+ig=")</f>
        <v>#VALUE!</v>
      </c>
      <c r="AP213" t="e">
        <f>AND(Bills!#REF!,"AAAAAH//+ik=")</f>
        <v>#REF!</v>
      </c>
      <c r="AQ213" t="e">
        <f>AND(Bills!G908,"AAAAAH//+io=")</f>
        <v>#VALUE!</v>
      </c>
      <c r="AR213" t="e">
        <f>AND(Bills!H908,"AAAAAH//+is=")</f>
        <v>#VALUE!</v>
      </c>
      <c r="AS213" t="e">
        <f>AND(Bills!I908,"AAAAAH//+iw=")</f>
        <v>#VALUE!</v>
      </c>
      <c r="AT213" t="e">
        <f>AND(Bills!J908,"AAAAAH//+i0=")</f>
        <v>#VALUE!</v>
      </c>
      <c r="AU213" t="e">
        <f>AND(Bills!K908,"AAAAAH//+i4=")</f>
        <v>#VALUE!</v>
      </c>
      <c r="AV213" t="e">
        <f>AND(Bills!L908,"AAAAAH//+i8=")</f>
        <v>#VALUE!</v>
      </c>
      <c r="AW213" t="e">
        <f>AND(Bills!#REF!,"AAAAAH//+jA=")</f>
        <v>#REF!</v>
      </c>
      <c r="AX213" t="e">
        <f>AND(Bills!M908,"AAAAAH//+jE=")</f>
        <v>#VALUE!</v>
      </c>
      <c r="AY213" t="e">
        <f>AND(Bills!N908,"AAAAAH//+jI=")</f>
        <v>#VALUE!</v>
      </c>
      <c r="AZ213" t="e">
        <f>AND(Bills!O908,"AAAAAH//+jM=")</f>
        <v>#VALUE!</v>
      </c>
      <c r="BA213" t="e">
        <f>AND(Bills!P908,"AAAAAH//+jQ=")</f>
        <v>#VALUE!</v>
      </c>
      <c r="BB213" t="e">
        <f>AND(Bills!Q908,"AAAAAH//+jU=")</f>
        <v>#VALUE!</v>
      </c>
      <c r="BC213" t="e">
        <f>AND(Bills!R908,"AAAAAH//+jY=")</f>
        <v>#VALUE!</v>
      </c>
      <c r="BD213" t="e">
        <f>AND(Bills!S908,"AAAAAH//+jc=")</f>
        <v>#VALUE!</v>
      </c>
      <c r="BE213" t="e">
        <f>AND(Bills!T908,"AAAAAH//+jg=")</f>
        <v>#VALUE!</v>
      </c>
      <c r="BF213" t="e">
        <f>AND(Bills!#REF!,"AAAAAH//+jk=")</f>
        <v>#REF!</v>
      </c>
      <c r="BG213" t="e">
        <f>AND(Bills!U908,"AAAAAH//+jo=")</f>
        <v>#VALUE!</v>
      </c>
      <c r="BH213" t="e">
        <f>AND(Bills!V908,"AAAAAH//+js=")</f>
        <v>#VALUE!</v>
      </c>
      <c r="BI213" t="e">
        <f>AND(Bills!W908,"AAAAAH//+jw=")</f>
        <v>#VALUE!</v>
      </c>
      <c r="BJ213" t="e">
        <f>AND(Bills!#REF!,"AAAAAH//+j0=")</f>
        <v>#REF!</v>
      </c>
      <c r="BK213" t="e">
        <f>AND(Bills!#REF!,"AAAAAH//+j4=")</f>
        <v>#REF!</v>
      </c>
      <c r="BL213" t="e">
        <f>AND(Bills!Y908,"AAAAAH//+j8=")</f>
        <v>#VALUE!</v>
      </c>
      <c r="BM213" t="e">
        <f>AND(Bills!Z908,"AAAAAH//+kA=")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AND(Bills!AA908,"AAAAAH//+ko=")</f>
        <v>#VALUE!</v>
      </c>
      <c r="BX213" t="e">
        <f>AND(Bills!AB908,"AAAAAH//+ks=")</f>
        <v>#VALUE!</v>
      </c>
      <c r="BY213" t="e">
        <f>AND(Bills!#REF!,"AAAAAH//+kw=")</f>
        <v>#REF!</v>
      </c>
      <c r="BZ213" t="e">
        <f>AND(Bills!#REF!,"AAAAAH//+k0=")</f>
        <v>#REF!</v>
      </c>
      <c r="CA213" t="e">
        <f>AND(Bills!#REF!,"AAAAAH//+k4=")</f>
        <v>#REF!</v>
      </c>
      <c r="CB213" t="e">
        <f>AND(Bills!AC908,"AAAAAH//+k8=")</f>
        <v>#VALUE!</v>
      </c>
      <c r="CC213" t="e">
        <f>AND(Bills!AD908,"AAAAAH//+lA=")</f>
        <v>#VALUE!</v>
      </c>
      <c r="CD213" t="e">
        <f>AND(Bills!#REF!,"AAAAAH//+lE=")</f>
        <v>#REF!</v>
      </c>
      <c r="CE213">
        <f>IF(Bills!909:909,"AAAAAH//+lI=",0)</f>
        <v>0</v>
      </c>
      <c r="CF213" t="e">
        <f>AND(Bills!B909,"AAAAAH//+lM=")</f>
        <v>#VALUE!</v>
      </c>
      <c r="CG213" t="e">
        <f>AND(Bills!#REF!,"AAAAAH//+lQ=")</f>
        <v>#REF!</v>
      </c>
      <c r="CH213" t="e">
        <f>AND(Bills!C909,"AAAAAH//+lU=")</f>
        <v>#VALUE!</v>
      </c>
      <c r="CI213" t="e">
        <f>AND(Bills!D909,"AAAAAH//+lY=")</f>
        <v>#VALUE!</v>
      </c>
      <c r="CJ213" t="e">
        <f>AND(Bills!E909,"AAAAAH//+lc=")</f>
        <v>#VALUE!</v>
      </c>
      <c r="CK213" t="e">
        <f>AND(Bills!#REF!,"AAAAAH//+lg=")</f>
        <v>#REF!</v>
      </c>
      <c r="CL213" t="e">
        <f>AND(Bills!#REF!,"AAAAAH//+lk=")</f>
        <v>#REF!</v>
      </c>
      <c r="CM213" t="e">
        <f>AND(Bills!#REF!,"AAAAAH//+lo=")</f>
        <v>#REF!</v>
      </c>
      <c r="CN213" t="e">
        <f>AND(Bills!F909,"AAAAAH//+ls=")</f>
        <v>#VALUE!</v>
      </c>
      <c r="CO213" t="e">
        <f>AND(Bills!#REF!,"AAAAAH//+lw=")</f>
        <v>#REF!</v>
      </c>
      <c r="CP213" t="e">
        <f>AND(Bills!G909,"AAAAAH//+l0=")</f>
        <v>#VALUE!</v>
      </c>
      <c r="CQ213" t="e">
        <f>AND(Bills!H909,"AAAAAH//+l4=")</f>
        <v>#VALUE!</v>
      </c>
      <c r="CR213" t="e">
        <f>AND(Bills!I909,"AAAAAH//+l8=")</f>
        <v>#VALUE!</v>
      </c>
      <c r="CS213" t="e">
        <f>AND(Bills!J909,"AAAAAH//+mA=")</f>
        <v>#VALUE!</v>
      </c>
      <c r="CT213" t="e">
        <f>AND(Bills!K909,"AAAAAH//+mE=")</f>
        <v>#VALUE!</v>
      </c>
      <c r="CU213" t="e">
        <f>AND(Bills!L909,"AAAAAH//+mI=")</f>
        <v>#VALUE!</v>
      </c>
      <c r="CV213" t="e">
        <f>AND(Bills!#REF!,"AAAAAH//+mM=")</f>
        <v>#REF!</v>
      </c>
      <c r="CW213" t="e">
        <f>AND(Bills!M909,"AAAAAH//+mQ=")</f>
        <v>#VALUE!</v>
      </c>
      <c r="CX213" t="e">
        <f>AND(Bills!N909,"AAAAAH//+mU=")</f>
        <v>#VALUE!</v>
      </c>
      <c r="CY213" t="e">
        <f>AND(Bills!O909,"AAAAAH//+mY=")</f>
        <v>#VALUE!</v>
      </c>
      <c r="CZ213" t="e">
        <f>AND(Bills!P909,"AAAAAH//+mc=")</f>
        <v>#VALUE!</v>
      </c>
      <c r="DA213" t="e">
        <f>AND(Bills!Q909,"AAAAAH//+mg=")</f>
        <v>#VALUE!</v>
      </c>
      <c r="DB213" t="e">
        <f>AND(Bills!R909,"AAAAAH//+mk=")</f>
        <v>#VALUE!</v>
      </c>
      <c r="DC213" t="e">
        <f>AND(Bills!S909,"AAAAAH//+mo=")</f>
        <v>#VALUE!</v>
      </c>
      <c r="DD213" t="e">
        <f>AND(Bills!T909,"AAAAAH//+ms=")</f>
        <v>#VALUE!</v>
      </c>
      <c r="DE213" t="e">
        <f>AND(Bills!#REF!,"AAAAAH//+mw=")</f>
        <v>#REF!</v>
      </c>
      <c r="DF213" t="e">
        <f>AND(Bills!U909,"AAAAAH//+m0=")</f>
        <v>#VALUE!</v>
      </c>
      <c r="DG213" t="e">
        <f>AND(Bills!V909,"AAAAAH//+m4=")</f>
        <v>#VALUE!</v>
      </c>
      <c r="DH213" t="e">
        <f>AND(Bills!W909,"AAAAAH//+m8=")</f>
        <v>#VALUE!</v>
      </c>
      <c r="DI213" t="e">
        <f>AND(Bills!#REF!,"AAAAAH//+nA=")</f>
        <v>#REF!</v>
      </c>
      <c r="DJ213" t="e">
        <f>AND(Bills!#REF!,"AAAAAH//+nE=")</f>
        <v>#REF!</v>
      </c>
      <c r="DK213" t="e">
        <f>AND(Bills!Y909,"AAAAAH//+nI=")</f>
        <v>#VALUE!</v>
      </c>
      <c r="DL213" t="e">
        <f>AND(Bills!Z909,"AAAAAH//+nM=")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AND(Bills!AA909,"AAAAAH//+n0=")</f>
        <v>#VALUE!</v>
      </c>
      <c r="DW213" t="e">
        <f>AND(Bills!AB909,"AAAAAH//+n4=")</f>
        <v>#VALUE!</v>
      </c>
      <c r="DX213" t="e">
        <f>AND(Bills!#REF!,"AAAAAH//+n8=")</f>
        <v>#REF!</v>
      </c>
      <c r="DY213" t="e">
        <f>AND(Bills!#REF!,"AAAAAH//+oA=")</f>
        <v>#REF!</v>
      </c>
      <c r="DZ213" t="e">
        <f>AND(Bills!#REF!,"AAAAAH//+oE=")</f>
        <v>#REF!</v>
      </c>
      <c r="EA213" t="e">
        <f>AND(Bills!AC909,"AAAAAH//+oI=")</f>
        <v>#VALUE!</v>
      </c>
      <c r="EB213" t="e">
        <f>AND(Bills!AD909,"AAAAAH//+oM=")</f>
        <v>#VALUE!</v>
      </c>
      <c r="EC213" t="e">
        <f>AND(Bills!#REF!,"AAAAAH//+oQ=")</f>
        <v>#REF!</v>
      </c>
      <c r="ED213">
        <f>IF(Bills!910:910,"AAAAAH//+oU=",0)</f>
        <v>0</v>
      </c>
      <c r="EE213" t="e">
        <f>AND(Bills!B910,"AAAAAH//+oY=")</f>
        <v>#VALUE!</v>
      </c>
      <c r="EF213" t="e">
        <f>AND(Bills!#REF!,"AAAAAH//+oc=")</f>
        <v>#REF!</v>
      </c>
      <c r="EG213" t="e">
        <f>AND(Bills!C910,"AAAAAH//+og=")</f>
        <v>#VALUE!</v>
      </c>
      <c r="EH213" t="e">
        <f>AND(Bills!D910,"AAAAAH//+ok=")</f>
        <v>#VALUE!</v>
      </c>
      <c r="EI213" t="e">
        <f>AND(Bills!E910,"AAAAAH//+oo=")</f>
        <v>#VALUE!</v>
      </c>
      <c r="EJ213" t="e">
        <f>AND(Bills!#REF!,"AAAAAH//+os=")</f>
        <v>#REF!</v>
      </c>
      <c r="EK213" t="e">
        <f>AND(Bills!#REF!,"AAAAAH//+ow=")</f>
        <v>#REF!</v>
      </c>
      <c r="EL213" t="e">
        <f>AND(Bills!#REF!,"AAAAAH//+o0=")</f>
        <v>#REF!</v>
      </c>
      <c r="EM213" t="e">
        <f>AND(Bills!F910,"AAAAAH//+o4=")</f>
        <v>#VALUE!</v>
      </c>
      <c r="EN213" t="e">
        <f>AND(Bills!#REF!,"AAAAAH//+o8=")</f>
        <v>#REF!</v>
      </c>
      <c r="EO213" t="e">
        <f>AND(Bills!G910,"AAAAAH//+pA=")</f>
        <v>#VALUE!</v>
      </c>
      <c r="EP213" t="e">
        <f>AND(Bills!H910,"AAAAAH//+pE=")</f>
        <v>#VALUE!</v>
      </c>
      <c r="EQ213" t="e">
        <f>AND(Bills!I910,"AAAAAH//+pI=")</f>
        <v>#VALUE!</v>
      </c>
      <c r="ER213" t="e">
        <f>AND(Bills!J910,"AAAAAH//+pM=")</f>
        <v>#VALUE!</v>
      </c>
      <c r="ES213" t="e">
        <f>AND(Bills!K910,"AAAAAH//+pQ=")</f>
        <v>#VALUE!</v>
      </c>
      <c r="ET213" t="e">
        <f>AND(Bills!L910,"AAAAAH//+pU=")</f>
        <v>#VALUE!</v>
      </c>
      <c r="EU213" t="e">
        <f>AND(Bills!#REF!,"AAAAAH//+pY=")</f>
        <v>#REF!</v>
      </c>
      <c r="EV213" t="e">
        <f>AND(Bills!M910,"AAAAAH//+pc=")</f>
        <v>#VALUE!</v>
      </c>
      <c r="EW213" t="e">
        <f>AND(Bills!N910,"AAAAAH//+pg=")</f>
        <v>#VALUE!</v>
      </c>
      <c r="EX213" t="e">
        <f>AND(Bills!O910,"AAAAAH//+pk=")</f>
        <v>#VALUE!</v>
      </c>
      <c r="EY213" t="e">
        <f>AND(Bills!P910,"AAAAAH//+po=")</f>
        <v>#VALUE!</v>
      </c>
      <c r="EZ213" t="e">
        <f>AND(Bills!Q910,"AAAAAH//+ps=")</f>
        <v>#VALUE!</v>
      </c>
      <c r="FA213" t="e">
        <f>AND(Bills!R910,"AAAAAH//+pw=")</f>
        <v>#VALUE!</v>
      </c>
      <c r="FB213" t="e">
        <f>AND(Bills!S910,"AAAAAH//+p0=")</f>
        <v>#VALUE!</v>
      </c>
      <c r="FC213" t="e">
        <f>AND(Bills!T910,"AAAAAH//+p4=")</f>
        <v>#VALUE!</v>
      </c>
      <c r="FD213" t="e">
        <f>AND(Bills!#REF!,"AAAAAH//+p8=")</f>
        <v>#REF!</v>
      </c>
      <c r="FE213" t="e">
        <f>AND(Bills!U910,"AAAAAH//+qA=")</f>
        <v>#VALUE!</v>
      </c>
      <c r="FF213" t="e">
        <f>AND(Bills!V910,"AAAAAH//+qE=")</f>
        <v>#VALUE!</v>
      </c>
      <c r="FG213" t="e">
        <f>AND(Bills!W910,"AAAAAH//+qI=")</f>
        <v>#VALUE!</v>
      </c>
      <c r="FH213" t="e">
        <f>AND(Bills!#REF!,"AAAAAH//+qM=")</f>
        <v>#REF!</v>
      </c>
      <c r="FI213" t="e">
        <f>AND(Bills!#REF!,"AAAAAH//+qQ=")</f>
        <v>#REF!</v>
      </c>
      <c r="FJ213" t="e">
        <f>AND(Bills!Y910,"AAAAAH//+qU=")</f>
        <v>#VALUE!</v>
      </c>
      <c r="FK213" t="e">
        <f>AND(Bills!Z910,"AAAAAH//+qY=")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AND(Bills!AA910,"AAAAAH//+rA=")</f>
        <v>#VALUE!</v>
      </c>
      <c r="FV213" t="e">
        <f>AND(Bills!AB910,"AAAAAH//+rE=")</f>
        <v>#VALUE!</v>
      </c>
      <c r="FW213" t="e">
        <f>AND(Bills!#REF!,"AAAAAH//+rI=")</f>
        <v>#REF!</v>
      </c>
      <c r="FX213" t="e">
        <f>AND(Bills!#REF!,"AAAAAH//+rM=")</f>
        <v>#REF!</v>
      </c>
      <c r="FY213" t="e">
        <f>AND(Bills!#REF!,"AAAAAH//+rQ=")</f>
        <v>#REF!</v>
      </c>
      <c r="FZ213" t="e">
        <f>AND(Bills!AC910,"AAAAAH//+rU=")</f>
        <v>#VALUE!</v>
      </c>
      <c r="GA213" t="e">
        <f>AND(Bills!AD910,"AAAAAH//+rY=")</f>
        <v>#VALUE!</v>
      </c>
      <c r="GB213" t="e">
        <f>AND(Bills!#REF!,"AAAAAH//+rc=")</f>
        <v>#REF!</v>
      </c>
      <c r="GC213">
        <f>IF(Bills!911:911,"AAAAAH//+rg=",0)</f>
        <v>0</v>
      </c>
      <c r="GD213" t="e">
        <f>AND(Bills!B911,"AAAAAH//+rk=")</f>
        <v>#VALUE!</v>
      </c>
      <c r="GE213" t="e">
        <f>AND(Bills!#REF!,"AAAAAH//+ro=")</f>
        <v>#REF!</v>
      </c>
      <c r="GF213" t="e">
        <f>AND(Bills!C911,"AAAAAH//+rs=")</f>
        <v>#VALUE!</v>
      </c>
      <c r="GG213" t="e">
        <f>AND(Bills!D911,"AAAAAH//+rw=")</f>
        <v>#VALUE!</v>
      </c>
      <c r="GH213" t="e">
        <f>AND(Bills!E911,"AAAAAH//+r0=")</f>
        <v>#VALUE!</v>
      </c>
      <c r="GI213" t="e">
        <f>AND(Bills!#REF!,"AAAAAH//+r4=")</f>
        <v>#REF!</v>
      </c>
      <c r="GJ213" t="e">
        <f>AND(Bills!#REF!,"AAAAAH//+r8=")</f>
        <v>#REF!</v>
      </c>
      <c r="GK213" t="e">
        <f>AND(Bills!#REF!,"AAAAAH//+sA=")</f>
        <v>#REF!</v>
      </c>
      <c r="GL213" t="e">
        <f>AND(Bills!F911,"AAAAAH//+sE=")</f>
        <v>#VALUE!</v>
      </c>
      <c r="GM213" t="e">
        <f>AND(Bills!#REF!,"AAAAAH//+sI=")</f>
        <v>#REF!</v>
      </c>
      <c r="GN213" t="e">
        <f>AND(Bills!G911,"AAAAAH//+sM=")</f>
        <v>#VALUE!</v>
      </c>
      <c r="GO213" t="e">
        <f>AND(Bills!H911,"AAAAAH//+sQ=")</f>
        <v>#VALUE!</v>
      </c>
      <c r="GP213" t="e">
        <f>AND(Bills!I911,"AAAAAH//+sU=")</f>
        <v>#VALUE!</v>
      </c>
      <c r="GQ213" t="e">
        <f>AND(Bills!J911,"AAAAAH//+sY=")</f>
        <v>#VALUE!</v>
      </c>
      <c r="GR213" t="e">
        <f>AND(Bills!K911,"AAAAAH//+sc=")</f>
        <v>#VALUE!</v>
      </c>
      <c r="GS213" t="e">
        <f>AND(Bills!L911,"AAAAAH//+sg=")</f>
        <v>#VALUE!</v>
      </c>
      <c r="GT213" t="e">
        <f>AND(Bills!#REF!,"AAAAAH//+sk=")</f>
        <v>#REF!</v>
      </c>
      <c r="GU213" t="e">
        <f>AND(Bills!M911,"AAAAAH//+so=")</f>
        <v>#VALUE!</v>
      </c>
      <c r="GV213" t="e">
        <f>AND(Bills!N911,"AAAAAH//+ss=")</f>
        <v>#VALUE!</v>
      </c>
      <c r="GW213" t="e">
        <f>AND(Bills!O911,"AAAAAH//+sw=")</f>
        <v>#VALUE!</v>
      </c>
      <c r="GX213" t="e">
        <f>AND(Bills!P911,"AAAAAH//+s0=")</f>
        <v>#VALUE!</v>
      </c>
      <c r="GY213" t="e">
        <f>AND(Bills!Q911,"AAAAAH//+s4=")</f>
        <v>#VALUE!</v>
      </c>
      <c r="GZ213" t="e">
        <f>AND(Bills!R911,"AAAAAH//+s8=")</f>
        <v>#VALUE!</v>
      </c>
      <c r="HA213" t="e">
        <f>AND(Bills!S911,"AAAAAH//+tA=")</f>
        <v>#VALUE!</v>
      </c>
      <c r="HB213" t="e">
        <f>AND(Bills!T911,"AAAAAH//+tE=")</f>
        <v>#VALUE!</v>
      </c>
      <c r="HC213" t="e">
        <f>AND(Bills!#REF!,"AAAAAH//+tI=")</f>
        <v>#REF!</v>
      </c>
      <c r="HD213" t="e">
        <f>AND(Bills!U911,"AAAAAH//+tM=")</f>
        <v>#VALUE!</v>
      </c>
      <c r="HE213" t="e">
        <f>AND(Bills!V911,"AAAAAH//+tQ=")</f>
        <v>#VALUE!</v>
      </c>
      <c r="HF213" t="e">
        <f>AND(Bills!W911,"AAAAAH//+tU=")</f>
        <v>#VALUE!</v>
      </c>
      <c r="HG213" t="e">
        <f>AND(Bills!#REF!,"AAAAAH//+tY=")</f>
        <v>#REF!</v>
      </c>
      <c r="HH213" t="e">
        <f>AND(Bills!#REF!,"AAAAAH//+tc=")</f>
        <v>#REF!</v>
      </c>
      <c r="HI213" t="e">
        <f>AND(Bills!Y911,"AAAAAH//+tg=")</f>
        <v>#VALUE!</v>
      </c>
      <c r="HJ213" t="e">
        <f>AND(Bills!Z911,"AAAAAH//+tk=")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AND(Bills!AA911,"AAAAAH//+uM=")</f>
        <v>#VALUE!</v>
      </c>
      <c r="HU213" t="e">
        <f>AND(Bills!AB911,"AAAAAH//+uQ=")</f>
        <v>#VALUE!</v>
      </c>
      <c r="HV213" t="e">
        <f>AND(Bills!#REF!,"AAAAAH//+uU=")</f>
        <v>#REF!</v>
      </c>
      <c r="HW213" t="e">
        <f>AND(Bills!#REF!,"AAAAAH//+uY=")</f>
        <v>#REF!</v>
      </c>
      <c r="HX213" t="e">
        <f>AND(Bills!#REF!,"AAAAAH//+uc=")</f>
        <v>#REF!</v>
      </c>
      <c r="HY213" t="e">
        <f>AND(Bills!AC911,"AAAAAH//+ug=")</f>
        <v>#VALUE!</v>
      </c>
      <c r="HZ213" t="e">
        <f>AND(Bills!AD911,"AAAAAH//+uk=")</f>
        <v>#VALUE!</v>
      </c>
      <c r="IA213" t="e">
        <f>AND(Bills!#REF!,"AAAAAH//+uo=")</f>
        <v>#REF!</v>
      </c>
      <c r="IB213">
        <f>IF(Bills!912:912,"AAAAAH//+us=",0)</f>
        <v>0</v>
      </c>
      <c r="IC213" t="e">
        <f>AND(Bills!B912,"AAAAAH//+uw=")</f>
        <v>#VALUE!</v>
      </c>
      <c r="ID213" t="e">
        <f>AND(Bills!#REF!,"AAAAAH//+u0=")</f>
        <v>#REF!</v>
      </c>
      <c r="IE213" t="e">
        <f>AND(Bills!C912,"AAAAAH//+u4=")</f>
        <v>#VALUE!</v>
      </c>
      <c r="IF213" t="e">
        <f>AND(Bills!D912,"AAAAAH//+u8=")</f>
        <v>#VALUE!</v>
      </c>
      <c r="IG213" t="e">
        <f>AND(Bills!E912,"AAAAAH//+vA=")</f>
        <v>#VALUE!</v>
      </c>
      <c r="IH213" t="e">
        <f>AND(Bills!#REF!,"AAAAAH//+vE=")</f>
        <v>#REF!</v>
      </c>
      <c r="II213" t="e">
        <f>AND(Bills!#REF!,"AAAAAH//+vI=")</f>
        <v>#REF!</v>
      </c>
      <c r="IJ213" t="e">
        <f>AND(Bills!#REF!,"AAAAAH//+vM=")</f>
        <v>#REF!</v>
      </c>
      <c r="IK213" t="e">
        <f>AND(Bills!F912,"AAAAAH//+vQ=")</f>
        <v>#VALUE!</v>
      </c>
      <c r="IL213" t="e">
        <f>AND(Bills!#REF!,"AAAAAH//+vU=")</f>
        <v>#REF!</v>
      </c>
      <c r="IM213" t="e">
        <f>AND(Bills!G912,"AAAAAH//+vY=")</f>
        <v>#VALUE!</v>
      </c>
      <c r="IN213" t="e">
        <f>AND(Bills!H912,"AAAAAH//+vc=")</f>
        <v>#VALUE!</v>
      </c>
      <c r="IO213" t="e">
        <f>AND(Bills!I912,"AAAAAH//+vg=")</f>
        <v>#VALUE!</v>
      </c>
      <c r="IP213" t="e">
        <f>AND(Bills!J912,"AAAAAH//+vk=")</f>
        <v>#VALUE!</v>
      </c>
      <c r="IQ213" t="e">
        <f>AND(Bills!K912,"AAAAAH//+vo=")</f>
        <v>#VALUE!</v>
      </c>
      <c r="IR213" t="e">
        <f>AND(Bills!L912,"AAAAAH//+vs=")</f>
        <v>#VALUE!</v>
      </c>
      <c r="IS213" t="e">
        <f>AND(Bills!#REF!,"AAAAAH//+vw=")</f>
        <v>#REF!</v>
      </c>
      <c r="IT213" t="e">
        <f>AND(Bills!M912,"AAAAAH//+v0=")</f>
        <v>#VALUE!</v>
      </c>
      <c r="IU213" t="e">
        <f>AND(Bills!N912,"AAAAAH//+v4=")</f>
        <v>#VALUE!</v>
      </c>
      <c r="IV213" t="e">
        <f>AND(Bills!O912,"AAAAAH//+v8=")</f>
        <v>#VALUE!</v>
      </c>
    </row>
    <row r="214" spans="1:256">
      <c r="A214" t="e">
        <f>AND(Bills!P912,"AAAAADf61gA=")</f>
        <v>#VALUE!</v>
      </c>
      <c r="B214" t="e">
        <f>AND(Bills!Q912,"AAAAADf61gE=")</f>
        <v>#VALUE!</v>
      </c>
      <c r="C214" t="e">
        <f>AND(Bills!R912,"AAAAADf61gI=")</f>
        <v>#VALUE!</v>
      </c>
      <c r="D214" t="e">
        <f>AND(Bills!S912,"AAAAADf61gM=")</f>
        <v>#VALUE!</v>
      </c>
      <c r="E214" t="e">
        <f>AND(Bills!T912,"AAAAADf61gQ=")</f>
        <v>#VALUE!</v>
      </c>
      <c r="F214" t="e">
        <f>AND(Bills!#REF!,"AAAAADf61gU=")</f>
        <v>#REF!</v>
      </c>
      <c r="G214" t="e">
        <f>AND(Bills!U912,"AAAAADf61gY=")</f>
        <v>#VALUE!</v>
      </c>
      <c r="H214" t="e">
        <f>AND(Bills!V912,"AAAAADf61gc=")</f>
        <v>#VALUE!</v>
      </c>
      <c r="I214" t="e">
        <f>AND(Bills!W912,"AAAAADf61gg=")</f>
        <v>#VALUE!</v>
      </c>
      <c r="J214" t="e">
        <f>AND(Bills!#REF!,"AAAAADf61gk=")</f>
        <v>#REF!</v>
      </c>
      <c r="K214" t="e">
        <f>AND(Bills!#REF!,"AAAAADf61go=")</f>
        <v>#REF!</v>
      </c>
      <c r="L214" t="e">
        <f>AND(Bills!Y912,"AAAAADf61gs=")</f>
        <v>#VALUE!</v>
      </c>
      <c r="M214" t="e">
        <f>AND(Bills!Z912,"AAAAADf61gw=")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AND(Bills!AA912,"AAAAADf61hY=")</f>
        <v>#VALUE!</v>
      </c>
      <c r="X214" t="e">
        <f>AND(Bills!AB912,"AAAAADf61hc=")</f>
        <v>#VALUE!</v>
      </c>
      <c r="Y214" t="e">
        <f>AND(Bills!#REF!,"AAAAADf61hg=")</f>
        <v>#REF!</v>
      </c>
      <c r="Z214" t="e">
        <f>AND(Bills!#REF!,"AAAAADf61hk=")</f>
        <v>#REF!</v>
      </c>
      <c r="AA214" t="e">
        <f>AND(Bills!#REF!,"AAAAADf61ho=")</f>
        <v>#REF!</v>
      </c>
      <c r="AB214" t="e">
        <f>AND(Bills!AC912,"AAAAADf61hs=")</f>
        <v>#VALUE!</v>
      </c>
      <c r="AC214" t="e">
        <f>AND(Bills!AD912,"AAAAADf61hw=")</f>
        <v>#VALUE!</v>
      </c>
      <c r="AD214" t="e">
        <f>AND(Bills!#REF!,"AAAAADf61h0=")</f>
        <v>#REF!</v>
      </c>
      <c r="AE214">
        <f>IF(Bills!913:913,"AAAAADf61h4=",0)</f>
        <v>0</v>
      </c>
      <c r="AF214" t="e">
        <f>AND(Bills!B913,"AAAAADf61h8=")</f>
        <v>#VALUE!</v>
      </c>
      <c r="AG214" t="e">
        <f>AND(Bills!#REF!,"AAAAADf61iA=")</f>
        <v>#REF!</v>
      </c>
      <c r="AH214" t="e">
        <f>AND(Bills!C913,"AAAAADf61iE=")</f>
        <v>#VALUE!</v>
      </c>
      <c r="AI214" t="e">
        <f>AND(Bills!D913,"AAAAADf61iI=")</f>
        <v>#VALUE!</v>
      </c>
      <c r="AJ214" t="e">
        <f>AND(Bills!E913,"AAAAADf61iM=")</f>
        <v>#VALUE!</v>
      </c>
      <c r="AK214" t="e">
        <f>AND(Bills!#REF!,"AAAAADf61iQ=")</f>
        <v>#REF!</v>
      </c>
      <c r="AL214" t="e">
        <f>AND(Bills!#REF!,"AAAAADf61iU=")</f>
        <v>#REF!</v>
      </c>
      <c r="AM214" t="e">
        <f>AND(Bills!#REF!,"AAAAADf61iY=")</f>
        <v>#REF!</v>
      </c>
      <c r="AN214" t="e">
        <f>AND(Bills!F913,"AAAAADf61ic=")</f>
        <v>#VALUE!</v>
      </c>
      <c r="AO214" t="e">
        <f>AND(Bills!#REF!,"AAAAADf61ig=")</f>
        <v>#REF!</v>
      </c>
      <c r="AP214" t="e">
        <f>AND(Bills!G913,"AAAAADf61ik=")</f>
        <v>#VALUE!</v>
      </c>
      <c r="AQ214" t="e">
        <f>AND(Bills!H913,"AAAAADf61io=")</f>
        <v>#VALUE!</v>
      </c>
      <c r="AR214" t="e">
        <f>AND(Bills!I913,"AAAAADf61is=")</f>
        <v>#VALUE!</v>
      </c>
      <c r="AS214" t="e">
        <f>AND(Bills!J913,"AAAAADf61iw=")</f>
        <v>#VALUE!</v>
      </c>
      <c r="AT214" t="e">
        <f>AND(Bills!K913,"AAAAADf61i0=")</f>
        <v>#VALUE!</v>
      </c>
      <c r="AU214" t="e">
        <f>AND(Bills!L913,"AAAAADf61i4=")</f>
        <v>#VALUE!</v>
      </c>
      <c r="AV214" t="e">
        <f>AND(Bills!#REF!,"AAAAADf61i8=")</f>
        <v>#REF!</v>
      </c>
      <c r="AW214" t="e">
        <f>AND(Bills!M913,"AAAAADf61jA=")</f>
        <v>#VALUE!</v>
      </c>
      <c r="AX214" t="e">
        <f>AND(Bills!N913,"AAAAADf61jE=")</f>
        <v>#VALUE!</v>
      </c>
      <c r="AY214" t="e">
        <f>AND(Bills!O913,"AAAAADf61jI=")</f>
        <v>#VALUE!</v>
      </c>
      <c r="AZ214" t="e">
        <f>AND(Bills!P913,"AAAAADf61jM=")</f>
        <v>#VALUE!</v>
      </c>
      <c r="BA214" t="e">
        <f>AND(Bills!Q913,"AAAAADf61jQ=")</f>
        <v>#VALUE!</v>
      </c>
      <c r="BB214" t="e">
        <f>AND(Bills!R913,"AAAAADf61jU=")</f>
        <v>#VALUE!</v>
      </c>
      <c r="BC214" t="e">
        <f>AND(Bills!S913,"AAAAADf61jY=")</f>
        <v>#VALUE!</v>
      </c>
      <c r="BD214" t="e">
        <f>AND(Bills!T913,"AAAAADf61jc=")</f>
        <v>#VALUE!</v>
      </c>
      <c r="BE214" t="e">
        <f>AND(Bills!#REF!,"AAAAADf61jg=")</f>
        <v>#REF!</v>
      </c>
      <c r="BF214" t="e">
        <f>AND(Bills!U913,"AAAAADf61jk=")</f>
        <v>#VALUE!</v>
      </c>
      <c r="BG214" t="e">
        <f>AND(Bills!V913,"AAAAADf61jo=")</f>
        <v>#VALUE!</v>
      </c>
      <c r="BH214" t="e">
        <f>AND(Bills!W913,"AAAAADf61js=")</f>
        <v>#VALUE!</v>
      </c>
      <c r="BI214" t="e">
        <f>AND(Bills!#REF!,"AAAAADf61jw=")</f>
        <v>#REF!</v>
      </c>
      <c r="BJ214" t="e">
        <f>AND(Bills!#REF!,"AAAAADf61j0=")</f>
        <v>#REF!</v>
      </c>
      <c r="BK214" t="e">
        <f>AND(Bills!Y913,"AAAAADf61j4=")</f>
        <v>#VALUE!</v>
      </c>
      <c r="BL214" t="e">
        <f>AND(Bills!Z913,"AAAAADf61j8=")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AND(Bills!AA913,"AAAAADf61kk=")</f>
        <v>#VALUE!</v>
      </c>
      <c r="BW214" t="e">
        <f>AND(Bills!AB913,"AAAAADf61ko=")</f>
        <v>#VALUE!</v>
      </c>
      <c r="BX214" t="e">
        <f>AND(Bills!#REF!,"AAAAADf61ks=")</f>
        <v>#REF!</v>
      </c>
      <c r="BY214" t="e">
        <f>AND(Bills!#REF!,"AAAAADf61kw=")</f>
        <v>#REF!</v>
      </c>
      <c r="BZ214" t="e">
        <f>AND(Bills!#REF!,"AAAAADf61k0=")</f>
        <v>#REF!</v>
      </c>
      <c r="CA214" t="e">
        <f>AND(Bills!AC913,"AAAAADf61k4=")</f>
        <v>#VALUE!</v>
      </c>
      <c r="CB214" t="e">
        <f>AND(Bills!AD913,"AAAAADf61k8=")</f>
        <v>#VALUE!</v>
      </c>
      <c r="CC214" t="e">
        <f>AND(Bills!#REF!,"AAAAADf61lA=")</f>
        <v>#REF!</v>
      </c>
      <c r="CD214">
        <f>IF(Bills!914:914,"AAAAADf61lE=",0)</f>
        <v>0</v>
      </c>
      <c r="CE214" t="e">
        <f>AND(Bills!B914,"AAAAADf61lI=")</f>
        <v>#VALUE!</v>
      </c>
      <c r="CF214" t="e">
        <f>AND(Bills!#REF!,"AAAAADf61lM=")</f>
        <v>#REF!</v>
      </c>
      <c r="CG214" t="e">
        <f>AND(Bills!C914,"AAAAADf61lQ=")</f>
        <v>#VALUE!</v>
      </c>
      <c r="CH214" t="e">
        <f>AND(Bills!D914,"AAAAADf61lU=")</f>
        <v>#VALUE!</v>
      </c>
      <c r="CI214" t="e">
        <f>AND(Bills!E914,"AAAAADf61lY=")</f>
        <v>#VALUE!</v>
      </c>
      <c r="CJ214" t="e">
        <f>AND(Bills!#REF!,"AAAAADf61lc=")</f>
        <v>#REF!</v>
      </c>
      <c r="CK214" t="e">
        <f>AND(Bills!#REF!,"AAAAADf61lg=")</f>
        <v>#REF!</v>
      </c>
      <c r="CL214" t="e">
        <f>AND(Bills!#REF!,"AAAAADf61lk=")</f>
        <v>#REF!</v>
      </c>
      <c r="CM214" t="e">
        <f>AND(Bills!F914,"AAAAADf61lo=")</f>
        <v>#VALUE!</v>
      </c>
      <c r="CN214" t="e">
        <f>AND(Bills!#REF!,"AAAAADf61ls=")</f>
        <v>#REF!</v>
      </c>
      <c r="CO214" t="e">
        <f>AND(Bills!G914,"AAAAADf61lw=")</f>
        <v>#VALUE!</v>
      </c>
      <c r="CP214" t="e">
        <f>AND(Bills!H914,"AAAAADf61l0=")</f>
        <v>#VALUE!</v>
      </c>
      <c r="CQ214" t="e">
        <f>AND(Bills!I914,"AAAAADf61l4=")</f>
        <v>#VALUE!</v>
      </c>
      <c r="CR214" t="e">
        <f>AND(Bills!J914,"AAAAADf61l8=")</f>
        <v>#VALUE!</v>
      </c>
      <c r="CS214" t="e">
        <f>AND(Bills!K914,"AAAAADf61mA=")</f>
        <v>#VALUE!</v>
      </c>
      <c r="CT214" t="e">
        <f>AND(Bills!L914,"AAAAADf61mE=")</f>
        <v>#VALUE!</v>
      </c>
      <c r="CU214" t="e">
        <f>AND(Bills!#REF!,"AAAAADf61mI=")</f>
        <v>#REF!</v>
      </c>
      <c r="CV214" t="e">
        <f>AND(Bills!M914,"AAAAADf61mM=")</f>
        <v>#VALUE!</v>
      </c>
      <c r="CW214" t="e">
        <f>AND(Bills!N914,"AAAAADf61mQ=")</f>
        <v>#VALUE!</v>
      </c>
      <c r="CX214" t="e">
        <f>AND(Bills!O914,"AAAAADf61mU=")</f>
        <v>#VALUE!</v>
      </c>
      <c r="CY214" t="e">
        <f>AND(Bills!P914,"AAAAADf61mY=")</f>
        <v>#VALUE!</v>
      </c>
      <c r="CZ214" t="e">
        <f>AND(Bills!Q914,"AAAAADf61mc=")</f>
        <v>#VALUE!</v>
      </c>
      <c r="DA214" t="e">
        <f>AND(Bills!R914,"AAAAADf61mg=")</f>
        <v>#VALUE!</v>
      </c>
      <c r="DB214" t="e">
        <f>AND(Bills!S914,"AAAAADf61mk=")</f>
        <v>#VALUE!</v>
      </c>
      <c r="DC214" t="e">
        <f>AND(Bills!T914,"AAAAADf61mo=")</f>
        <v>#VALUE!</v>
      </c>
      <c r="DD214" t="e">
        <f>AND(Bills!#REF!,"AAAAADf61ms=")</f>
        <v>#REF!</v>
      </c>
      <c r="DE214" t="e">
        <f>AND(Bills!U914,"AAAAADf61mw=")</f>
        <v>#VALUE!</v>
      </c>
      <c r="DF214" t="e">
        <f>AND(Bills!V914,"AAAAADf61m0=")</f>
        <v>#VALUE!</v>
      </c>
      <c r="DG214" t="e">
        <f>AND(Bills!W914,"AAAAADf61m4=")</f>
        <v>#VALUE!</v>
      </c>
      <c r="DH214" t="e">
        <f>AND(Bills!#REF!,"AAAAADf61m8=")</f>
        <v>#REF!</v>
      </c>
      <c r="DI214" t="e">
        <f>AND(Bills!#REF!,"AAAAADf61nA=")</f>
        <v>#REF!</v>
      </c>
      <c r="DJ214" t="e">
        <f>AND(Bills!Y914,"AAAAADf61nE=")</f>
        <v>#VALUE!</v>
      </c>
      <c r="DK214" t="e">
        <f>AND(Bills!Z914,"AAAAADf61nI=")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AND(Bills!AA914,"AAAAADf61nw=")</f>
        <v>#VALUE!</v>
      </c>
      <c r="DV214" t="e">
        <f>AND(Bills!AB914,"AAAAADf61n0=")</f>
        <v>#VALUE!</v>
      </c>
      <c r="DW214" t="e">
        <f>AND(Bills!#REF!,"AAAAADf61n4=")</f>
        <v>#REF!</v>
      </c>
      <c r="DX214" t="e">
        <f>AND(Bills!#REF!,"AAAAADf61n8=")</f>
        <v>#REF!</v>
      </c>
      <c r="DY214" t="e">
        <f>AND(Bills!#REF!,"AAAAADf61oA=")</f>
        <v>#REF!</v>
      </c>
      <c r="DZ214" t="e">
        <f>AND(Bills!AC914,"AAAAADf61oE=")</f>
        <v>#VALUE!</v>
      </c>
      <c r="EA214" t="e">
        <f>AND(Bills!AD914,"AAAAADf61oI=")</f>
        <v>#VALUE!</v>
      </c>
      <c r="EB214" t="e">
        <f>AND(Bills!#REF!,"AAAAADf61oM=")</f>
        <v>#REF!</v>
      </c>
      <c r="EC214">
        <f>IF(Bills!915:915,"AAAAADf61oQ=",0)</f>
        <v>0</v>
      </c>
      <c r="ED214" t="e">
        <f>AND(Bills!B915,"AAAAADf61oU=")</f>
        <v>#VALUE!</v>
      </c>
      <c r="EE214" t="e">
        <f>AND(Bills!#REF!,"AAAAADf61oY=")</f>
        <v>#REF!</v>
      </c>
      <c r="EF214" t="e">
        <f>AND(Bills!C915,"AAAAADf61oc=")</f>
        <v>#VALUE!</v>
      </c>
      <c r="EG214" t="e">
        <f>AND(Bills!D915,"AAAAADf61og=")</f>
        <v>#VALUE!</v>
      </c>
      <c r="EH214" t="e">
        <f>AND(Bills!E915,"AAAAADf61ok=")</f>
        <v>#VALUE!</v>
      </c>
      <c r="EI214" t="e">
        <f>AND(Bills!#REF!,"AAAAADf61oo=")</f>
        <v>#REF!</v>
      </c>
      <c r="EJ214" t="e">
        <f>AND(Bills!#REF!,"AAAAADf61os=")</f>
        <v>#REF!</v>
      </c>
      <c r="EK214" t="e">
        <f>AND(Bills!#REF!,"AAAAADf61ow=")</f>
        <v>#REF!</v>
      </c>
      <c r="EL214" t="e">
        <f>AND(Bills!F915,"AAAAADf61o0=")</f>
        <v>#VALUE!</v>
      </c>
      <c r="EM214" t="e">
        <f>AND(Bills!#REF!,"AAAAADf61o4=")</f>
        <v>#REF!</v>
      </c>
      <c r="EN214" t="e">
        <f>AND(Bills!G915,"AAAAADf61o8=")</f>
        <v>#VALUE!</v>
      </c>
      <c r="EO214" t="e">
        <f>AND(Bills!H915,"AAAAADf61pA=")</f>
        <v>#VALUE!</v>
      </c>
      <c r="EP214" t="e">
        <f>AND(Bills!I915,"AAAAADf61pE=")</f>
        <v>#VALUE!</v>
      </c>
      <c r="EQ214" t="e">
        <f>AND(Bills!J915,"AAAAADf61pI=")</f>
        <v>#VALUE!</v>
      </c>
      <c r="ER214" t="e">
        <f>AND(Bills!K915,"AAAAADf61pM=")</f>
        <v>#VALUE!</v>
      </c>
      <c r="ES214" t="e">
        <f>AND(Bills!L915,"AAAAADf61pQ=")</f>
        <v>#VALUE!</v>
      </c>
      <c r="ET214" t="e">
        <f>AND(Bills!#REF!,"AAAAADf61pU=")</f>
        <v>#REF!</v>
      </c>
      <c r="EU214" t="e">
        <f>AND(Bills!M915,"AAAAADf61pY=")</f>
        <v>#VALUE!</v>
      </c>
      <c r="EV214" t="e">
        <f>AND(Bills!N915,"AAAAADf61pc=")</f>
        <v>#VALUE!</v>
      </c>
      <c r="EW214" t="e">
        <f>AND(Bills!O915,"AAAAADf61pg=")</f>
        <v>#VALUE!</v>
      </c>
      <c r="EX214" t="e">
        <f>AND(Bills!P915,"AAAAADf61pk=")</f>
        <v>#VALUE!</v>
      </c>
      <c r="EY214" t="e">
        <f>AND(Bills!Q915,"AAAAADf61po=")</f>
        <v>#VALUE!</v>
      </c>
      <c r="EZ214" t="e">
        <f>AND(Bills!R915,"AAAAADf61ps=")</f>
        <v>#VALUE!</v>
      </c>
      <c r="FA214" t="e">
        <f>AND(Bills!S915,"AAAAADf61pw=")</f>
        <v>#VALUE!</v>
      </c>
      <c r="FB214" t="e">
        <f>AND(Bills!T915,"AAAAADf61p0=")</f>
        <v>#VALUE!</v>
      </c>
      <c r="FC214" t="e">
        <f>AND(Bills!#REF!,"AAAAADf61p4=")</f>
        <v>#REF!</v>
      </c>
      <c r="FD214" t="e">
        <f>AND(Bills!U915,"AAAAADf61p8=")</f>
        <v>#VALUE!</v>
      </c>
      <c r="FE214" t="e">
        <f>AND(Bills!V915,"AAAAADf61qA=")</f>
        <v>#VALUE!</v>
      </c>
      <c r="FF214" t="e">
        <f>AND(Bills!W915,"AAAAADf61qE=")</f>
        <v>#VALUE!</v>
      </c>
      <c r="FG214" t="e">
        <f>AND(Bills!#REF!,"AAAAADf61qI=")</f>
        <v>#REF!</v>
      </c>
      <c r="FH214" t="e">
        <f>AND(Bills!#REF!,"AAAAADf61qM=")</f>
        <v>#REF!</v>
      </c>
      <c r="FI214" t="e">
        <f>AND(Bills!Y915,"AAAAADf61qQ=")</f>
        <v>#VALUE!</v>
      </c>
      <c r="FJ214" t="e">
        <f>AND(Bills!Z915,"AAAAADf61qU=")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AND(Bills!AA915,"AAAAADf61q8=")</f>
        <v>#VALUE!</v>
      </c>
      <c r="FU214" t="e">
        <f>AND(Bills!AB915,"AAAAADf61rA=")</f>
        <v>#VALUE!</v>
      </c>
      <c r="FV214" t="e">
        <f>AND(Bills!#REF!,"AAAAADf61rE=")</f>
        <v>#REF!</v>
      </c>
      <c r="FW214" t="e">
        <f>AND(Bills!#REF!,"AAAAADf61rI=")</f>
        <v>#REF!</v>
      </c>
      <c r="FX214" t="e">
        <f>AND(Bills!#REF!,"AAAAADf61rM=")</f>
        <v>#REF!</v>
      </c>
      <c r="FY214" t="e">
        <f>AND(Bills!AC915,"AAAAADf61rQ=")</f>
        <v>#VALUE!</v>
      </c>
      <c r="FZ214" t="e">
        <f>AND(Bills!AD915,"AAAAADf61rU=")</f>
        <v>#VALUE!</v>
      </c>
      <c r="GA214" t="e">
        <f>AND(Bills!#REF!,"AAAAADf61rY=")</f>
        <v>#REF!</v>
      </c>
      <c r="GB214">
        <f>IF(Bills!916:916,"AAAAADf61rc=",0)</f>
        <v>0</v>
      </c>
      <c r="GC214" t="e">
        <f>AND(Bills!B916,"AAAAADf61rg=")</f>
        <v>#VALUE!</v>
      </c>
      <c r="GD214" t="e">
        <f>AND(Bills!#REF!,"AAAAADf61rk=")</f>
        <v>#REF!</v>
      </c>
      <c r="GE214" t="e">
        <f>AND(Bills!C916,"AAAAADf61ro=")</f>
        <v>#VALUE!</v>
      </c>
      <c r="GF214" t="e">
        <f>AND(Bills!D916,"AAAAADf61rs=")</f>
        <v>#VALUE!</v>
      </c>
      <c r="GG214" t="e">
        <f>AND(Bills!E916,"AAAAADf61rw=")</f>
        <v>#VALUE!</v>
      </c>
      <c r="GH214" t="e">
        <f>AND(Bills!#REF!,"AAAAADf61r0=")</f>
        <v>#REF!</v>
      </c>
      <c r="GI214" t="e">
        <f>AND(Bills!#REF!,"AAAAADf61r4=")</f>
        <v>#REF!</v>
      </c>
      <c r="GJ214" t="e">
        <f>AND(Bills!#REF!,"AAAAADf61r8=")</f>
        <v>#REF!</v>
      </c>
      <c r="GK214" t="e">
        <f>AND(Bills!F916,"AAAAADf61sA=")</f>
        <v>#VALUE!</v>
      </c>
      <c r="GL214" t="e">
        <f>AND(Bills!#REF!,"AAAAADf61sE=")</f>
        <v>#REF!</v>
      </c>
      <c r="GM214" t="e">
        <f>AND(Bills!G916,"AAAAADf61sI=")</f>
        <v>#VALUE!</v>
      </c>
      <c r="GN214" t="e">
        <f>AND(Bills!H916,"AAAAADf61sM=")</f>
        <v>#VALUE!</v>
      </c>
      <c r="GO214" t="e">
        <f>AND(Bills!I916,"AAAAADf61sQ=")</f>
        <v>#VALUE!</v>
      </c>
      <c r="GP214" t="e">
        <f>AND(Bills!J916,"AAAAADf61sU=")</f>
        <v>#VALUE!</v>
      </c>
      <c r="GQ214" t="e">
        <f>AND(Bills!K916,"AAAAADf61sY=")</f>
        <v>#VALUE!</v>
      </c>
      <c r="GR214" t="e">
        <f>AND(Bills!L916,"AAAAADf61sc=")</f>
        <v>#VALUE!</v>
      </c>
      <c r="GS214" t="e">
        <f>AND(Bills!#REF!,"AAAAADf61sg=")</f>
        <v>#REF!</v>
      </c>
      <c r="GT214" t="e">
        <f>AND(Bills!M916,"AAAAADf61sk=")</f>
        <v>#VALUE!</v>
      </c>
      <c r="GU214" t="e">
        <f>AND(Bills!N916,"AAAAADf61so=")</f>
        <v>#VALUE!</v>
      </c>
      <c r="GV214" t="e">
        <f>AND(Bills!O916,"AAAAADf61ss=")</f>
        <v>#VALUE!</v>
      </c>
      <c r="GW214" t="e">
        <f>AND(Bills!P916,"AAAAADf61sw=")</f>
        <v>#VALUE!</v>
      </c>
      <c r="GX214" t="e">
        <f>AND(Bills!Q916,"AAAAADf61s0=")</f>
        <v>#VALUE!</v>
      </c>
      <c r="GY214" t="e">
        <f>AND(Bills!R916,"AAAAADf61s4=")</f>
        <v>#VALUE!</v>
      </c>
      <c r="GZ214" t="e">
        <f>AND(Bills!S916,"AAAAADf61s8=")</f>
        <v>#VALUE!</v>
      </c>
      <c r="HA214" t="e">
        <f>AND(Bills!T916,"AAAAADf61tA=")</f>
        <v>#VALUE!</v>
      </c>
      <c r="HB214" t="e">
        <f>AND(Bills!#REF!,"AAAAADf61tE=")</f>
        <v>#REF!</v>
      </c>
      <c r="HC214" t="e">
        <f>AND(Bills!U916,"AAAAADf61tI=")</f>
        <v>#VALUE!</v>
      </c>
      <c r="HD214" t="e">
        <f>AND(Bills!V916,"AAAAADf61tM=")</f>
        <v>#VALUE!</v>
      </c>
      <c r="HE214" t="e">
        <f>AND(Bills!W916,"AAAAADf61tQ=")</f>
        <v>#VALUE!</v>
      </c>
      <c r="HF214" t="e">
        <f>AND(Bills!#REF!,"AAAAADf61tU=")</f>
        <v>#REF!</v>
      </c>
      <c r="HG214" t="e">
        <f>AND(Bills!#REF!,"AAAAADf61tY=")</f>
        <v>#REF!</v>
      </c>
      <c r="HH214" t="e">
        <f>AND(Bills!Y916,"AAAAADf61tc=")</f>
        <v>#VALUE!</v>
      </c>
      <c r="HI214" t="e">
        <f>AND(Bills!Z916,"AAAAADf61tg=")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AND(Bills!AA916,"AAAAADf61uI=")</f>
        <v>#VALUE!</v>
      </c>
      <c r="HT214" t="e">
        <f>AND(Bills!AB916,"AAAAADf61uM=")</f>
        <v>#VALUE!</v>
      </c>
      <c r="HU214" t="e">
        <f>AND(Bills!#REF!,"AAAAADf61uQ=")</f>
        <v>#REF!</v>
      </c>
      <c r="HV214" t="e">
        <f>AND(Bills!#REF!,"AAAAADf61uU=")</f>
        <v>#REF!</v>
      </c>
      <c r="HW214" t="e">
        <f>AND(Bills!#REF!,"AAAAADf61uY=")</f>
        <v>#REF!</v>
      </c>
      <c r="HX214" t="e">
        <f>AND(Bills!AC916,"AAAAADf61uc=")</f>
        <v>#VALUE!</v>
      </c>
      <c r="HY214" t="e">
        <f>AND(Bills!AD916,"AAAAADf61ug=")</f>
        <v>#VALUE!</v>
      </c>
      <c r="HZ214" t="e">
        <f>AND(Bills!#REF!,"AAAAADf61uk=")</f>
        <v>#REF!</v>
      </c>
      <c r="IA214">
        <f>IF(Bills!917:917,"AAAAADf61uo=",0)</f>
        <v>0</v>
      </c>
      <c r="IB214" t="e">
        <f>AND(Bills!B917,"AAAAADf61us=")</f>
        <v>#VALUE!</v>
      </c>
      <c r="IC214" t="e">
        <f>AND(Bills!#REF!,"AAAAADf61uw=")</f>
        <v>#REF!</v>
      </c>
      <c r="ID214" t="e">
        <f>AND(Bills!C917,"AAAAADf61u0=")</f>
        <v>#VALUE!</v>
      </c>
      <c r="IE214" t="e">
        <f>AND(Bills!D917,"AAAAADf61u4=")</f>
        <v>#VALUE!</v>
      </c>
      <c r="IF214" t="e">
        <f>AND(Bills!E917,"AAAAADf61u8=")</f>
        <v>#VALUE!</v>
      </c>
      <c r="IG214" t="e">
        <f>AND(Bills!#REF!,"AAAAADf61vA=")</f>
        <v>#REF!</v>
      </c>
      <c r="IH214" t="e">
        <f>AND(Bills!#REF!,"AAAAADf61vE=")</f>
        <v>#REF!</v>
      </c>
      <c r="II214" t="e">
        <f>AND(Bills!#REF!,"AAAAADf61vI=")</f>
        <v>#REF!</v>
      </c>
      <c r="IJ214" t="e">
        <f>AND(Bills!F917,"AAAAADf61vM=")</f>
        <v>#VALUE!</v>
      </c>
      <c r="IK214" t="e">
        <f>AND(Bills!#REF!,"AAAAADf61vQ=")</f>
        <v>#REF!</v>
      </c>
      <c r="IL214" t="e">
        <f>AND(Bills!G917,"AAAAADf61vU=")</f>
        <v>#VALUE!</v>
      </c>
      <c r="IM214" t="e">
        <f>AND(Bills!H917,"AAAAADf61vY=")</f>
        <v>#VALUE!</v>
      </c>
      <c r="IN214" t="e">
        <f>AND(Bills!I917,"AAAAADf61vc=")</f>
        <v>#VALUE!</v>
      </c>
      <c r="IO214" t="e">
        <f>AND(Bills!J917,"AAAAADf61vg=")</f>
        <v>#VALUE!</v>
      </c>
      <c r="IP214" t="e">
        <f>AND(Bills!K917,"AAAAADf61vk=")</f>
        <v>#VALUE!</v>
      </c>
      <c r="IQ214" t="e">
        <f>AND(Bills!L917,"AAAAADf61vo=")</f>
        <v>#VALUE!</v>
      </c>
      <c r="IR214" t="e">
        <f>AND(Bills!#REF!,"AAAAADf61vs=")</f>
        <v>#REF!</v>
      </c>
      <c r="IS214" t="e">
        <f>AND(Bills!M917,"AAAAADf61vw=")</f>
        <v>#VALUE!</v>
      </c>
      <c r="IT214" t="e">
        <f>AND(Bills!N917,"AAAAADf61v0=")</f>
        <v>#VALUE!</v>
      </c>
      <c r="IU214" t="e">
        <f>AND(Bills!O917,"AAAAADf61v4=")</f>
        <v>#VALUE!</v>
      </c>
      <c r="IV214" t="e">
        <f>AND(Bills!P917,"AAAAADf61v8=")</f>
        <v>#VALUE!</v>
      </c>
    </row>
    <row r="215" spans="1:256">
      <c r="A215" t="e">
        <f>AND(Bills!Q917,"AAAAACT++wA=")</f>
        <v>#VALUE!</v>
      </c>
      <c r="B215" t="e">
        <f>AND(Bills!R917,"AAAAACT++wE=")</f>
        <v>#VALUE!</v>
      </c>
      <c r="C215" t="e">
        <f>AND(Bills!S917,"AAAAACT++wI=")</f>
        <v>#VALUE!</v>
      </c>
      <c r="D215" t="e">
        <f>AND(Bills!T917,"AAAAACT++wM=")</f>
        <v>#VALUE!</v>
      </c>
      <c r="E215" t="e">
        <f>AND(Bills!#REF!,"AAAAACT++wQ=")</f>
        <v>#REF!</v>
      </c>
      <c r="F215" t="e">
        <f>AND(Bills!U917,"AAAAACT++wU=")</f>
        <v>#VALUE!</v>
      </c>
      <c r="G215" t="e">
        <f>AND(Bills!V917,"AAAAACT++wY=")</f>
        <v>#VALUE!</v>
      </c>
      <c r="H215" t="e">
        <f>AND(Bills!W917,"AAAAACT++wc=")</f>
        <v>#VALUE!</v>
      </c>
      <c r="I215" t="e">
        <f>AND(Bills!#REF!,"AAAAACT++wg=")</f>
        <v>#REF!</v>
      </c>
      <c r="J215" t="e">
        <f>AND(Bills!#REF!,"AAAAACT++wk=")</f>
        <v>#REF!</v>
      </c>
      <c r="K215" t="e">
        <f>AND(Bills!Y917,"AAAAACT++wo=")</f>
        <v>#VALUE!</v>
      </c>
      <c r="L215" t="e">
        <f>AND(Bills!Z917,"AAAAACT++ws=")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AND(Bills!AA917,"AAAAACT++xU=")</f>
        <v>#VALUE!</v>
      </c>
      <c r="W215" t="e">
        <f>AND(Bills!AB917,"AAAAACT++xY=")</f>
        <v>#VALUE!</v>
      </c>
      <c r="X215" t="e">
        <f>AND(Bills!#REF!,"AAAAACT++xc=")</f>
        <v>#REF!</v>
      </c>
      <c r="Y215" t="e">
        <f>AND(Bills!#REF!,"AAAAACT++xg=")</f>
        <v>#REF!</v>
      </c>
      <c r="Z215" t="e">
        <f>AND(Bills!#REF!,"AAAAACT++xk=")</f>
        <v>#REF!</v>
      </c>
      <c r="AA215" t="e">
        <f>AND(Bills!AC917,"AAAAACT++xo=")</f>
        <v>#VALUE!</v>
      </c>
      <c r="AB215" t="e">
        <f>AND(Bills!AD917,"AAAAACT++xs=")</f>
        <v>#VALUE!</v>
      </c>
      <c r="AC215" t="e">
        <f>AND(Bills!#REF!,"AAAAACT++xw=")</f>
        <v>#REF!</v>
      </c>
      <c r="AD215">
        <f>IF(Bills!918:918,"AAAAACT++x0=",0)</f>
        <v>0</v>
      </c>
      <c r="AE215" t="e">
        <f>AND(Bills!B918,"AAAAACT++x4=")</f>
        <v>#VALUE!</v>
      </c>
      <c r="AF215" t="e">
        <f>AND(Bills!#REF!,"AAAAACT++x8=")</f>
        <v>#REF!</v>
      </c>
      <c r="AG215" t="e">
        <f>AND(Bills!C918,"AAAAACT++yA=")</f>
        <v>#VALUE!</v>
      </c>
      <c r="AH215" t="e">
        <f>AND(Bills!D918,"AAAAACT++yE=")</f>
        <v>#VALUE!</v>
      </c>
      <c r="AI215" t="e">
        <f>AND(Bills!E918,"AAAAACT++yI=")</f>
        <v>#VALUE!</v>
      </c>
      <c r="AJ215" t="e">
        <f>AND(Bills!#REF!,"AAAAACT++yM=")</f>
        <v>#REF!</v>
      </c>
      <c r="AK215" t="e">
        <f>AND(Bills!#REF!,"AAAAACT++yQ=")</f>
        <v>#REF!</v>
      </c>
      <c r="AL215" t="e">
        <f>AND(Bills!#REF!,"AAAAACT++yU=")</f>
        <v>#REF!</v>
      </c>
      <c r="AM215" t="e">
        <f>AND(Bills!F918,"AAAAACT++yY=")</f>
        <v>#VALUE!</v>
      </c>
      <c r="AN215" t="e">
        <f>AND(Bills!#REF!,"AAAAACT++yc=")</f>
        <v>#REF!</v>
      </c>
      <c r="AO215" t="e">
        <f>AND(Bills!G918,"AAAAACT++yg=")</f>
        <v>#VALUE!</v>
      </c>
      <c r="AP215" t="e">
        <f>AND(Bills!H918,"AAAAACT++yk=")</f>
        <v>#VALUE!</v>
      </c>
      <c r="AQ215" t="e">
        <f>AND(Bills!I918,"AAAAACT++yo=")</f>
        <v>#VALUE!</v>
      </c>
      <c r="AR215" t="e">
        <f>AND(Bills!J918,"AAAAACT++ys=")</f>
        <v>#VALUE!</v>
      </c>
      <c r="AS215" t="e">
        <f>AND(Bills!K918,"AAAAACT++yw=")</f>
        <v>#VALUE!</v>
      </c>
      <c r="AT215" t="e">
        <f>AND(Bills!L918,"AAAAACT++y0=")</f>
        <v>#VALUE!</v>
      </c>
      <c r="AU215" t="e">
        <f>AND(Bills!#REF!,"AAAAACT++y4=")</f>
        <v>#REF!</v>
      </c>
      <c r="AV215" t="e">
        <f>AND(Bills!M918,"AAAAACT++y8=")</f>
        <v>#VALUE!</v>
      </c>
      <c r="AW215" t="e">
        <f>AND(Bills!N918,"AAAAACT++zA=")</f>
        <v>#VALUE!</v>
      </c>
      <c r="AX215" t="e">
        <f>AND(Bills!O918,"AAAAACT++zE=")</f>
        <v>#VALUE!</v>
      </c>
      <c r="AY215" t="e">
        <f>AND(Bills!P918,"AAAAACT++zI=")</f>
        <v>#VALUE!</v>
      </c>
      <c r="AZ215" t="e">
        <f>AND(Bills!Q918,"AAAAACT++zM=")</f>
        <v>#VALUE!</v>
      </c>
      <c r="BA215" t="e">
        <f>AND(Bills!R918,"AAAAACT++zQ=")</f>
        <v>#VALUE!</v>
      </c>
      <c r="BB215" t="e">
        <f>AND(Bills!S918,"AAAAACT++zU=")</f>
        <v>#VALUE!</v>
      </c>
      <c r="BC215" t="e">
        <f>AND(Bills!T918,"AAAAACT++zY=")</f>
        <v>#VALUE!</v>
      </c>
      <c r="BD215" t="e">
        <f>AND(Bills!#REF!,"AAAAACT++zc=")</f>
        <v>#REF!</v>
      </c>
      <c r="BE215" t="e">
        <f>AND(Bills!U918,"AAAAACT++zg=")</f>
        <v>#VALUE!</v>
      </c>
      <c r="BF215" t="e">
        <f>AND(Bills!V918,"AAAAACT++zk=")</f>
        <v>#VALUE!</v>
      </c>
      <c r="BG215" t="e">
        <f>AND(Bills!W918,"AAAAACT++zo=")</f>
        <v>#VALUE!</v>
      </c>
      <c r="BH215" t="e">
        <f>AND(Bills!#REF!,"AAAAACT++zs=")</f>
        <v>#REF!</v>
      </c>
      <c r="BI215" t="e">
        <f>AND(Bills!#REF!,"AAAAACT++zw=")</f>
        <v>#REF!</v>
      </c>
      <c r="BJ215" t="e">
        <f>AND(Bills!Y918,"AAAAACT++z0=")</f>
        <v>#VALUE!</v>
      </c>
      <c r="BK215" t="e">
        <f>AND(Bills!Z918,"AAAAACT++z4=")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AND(Bills!AA918,"AAAAACT++0g=")</f>
        <v>#VALUE!</v>
      </c>
      <c r="BV215" t="e">
        <f>AND(Bills!AB918,"AAAAACT++0k=")</f>
        <v>#VALUE!</v>
      </c>
      <c r="BW215" t="e">
        <f>AND(Bills!#REF!,"AAAAACT++0o=")</f>
        <v>#REF!</v>
      </c>
      <c r="BX215" t="e">
        <f>AND(Bills!#REF!,"AAAAACT++0s=")</f>
        <v>#REF!</v>
      </c>
      <c r="BY215" t="e">
        <f>AND(Bills!#REF!,"AAAAACT++0w=")</f>
        <v>#REF!</v>
      </c>
      <c r="BZ215" t="e">
        <f>AND(Bills!AC918,"AAAAACT++00=")</f>
        <v>#VALUE!</v>
      </c>
      <c r="CA215" t="e">
        <f>AND(Bills!AD918,"AAAAACT++04=")</f>
        <v>#VALUE!</v>
      </c>
      <c r="CB215" t="e">
        <f>AND(Bills!#REF!,"AAAAACT++08=")</f>
        <v>#REF!</v>
      </c>
      <c r="CC215">
        <f>IF(Bills!919:919,"AAAAACT++1A=",0)</f>
        <v>0</v>
      </c>
      <c r="CD215" t="e">
        <f>AND(Bills!B919,"AAAAACT++1E=")</f>
        <v>#VALUE!</v>
      </c>
      <c r="CE215" t="e">
        <f>AND(Bills!#REF!,"AAAAACT++1I=")</f>
        <v>#REF!</v>
      </c>
      <c r="CF215" t="e">
        <f>AND(Bills!C919,"AAAAACT++1M=")</f>
        <v>#VALUE!</v>
      </c>
      <c r="CG215" t="e">
        <f>AND(Bills!D919,"AAAAACT++1Q=")</f>
        <v>#VALUE!</v>
      </c>
      <c r="CH215" t="e">
        <f>AND(Bills!E919,"AAAAACT++1U=")</f>
        <v>#VALUE!</v>
      </c>
      <c r="CI215" t="e">
        <f>AND(Bills!#REF!,"AAAAACT++1Y=")</f>
        <v>#REF!</v>
      </c>
      <c r="CJ215" t="e">
        <f>AND(Bills!#REF!,"AAAAACT++1c=")</f>
        <v>#REF!</v>
      </c>
      <c r="CK215" t="e">
        <f>AND(Bills!#REF!,"AAAAACT++1g=")</f>
        <v>#REF!</v>
      </c>
      <c r="CL215" t="e">
        <f>AND(Bills!F919,"AAAAACT++1k=")</f>
        <v>#VALUE!</v>
      </c>
      <c r="CM215" t="e">
        <f>AND(Bills!#REF!,"AAAAACT++1o=")</f>
        <v>#REF!</v>
      </c>
      <c r="CN215" t="e">
        <f>AND(Bills!G919,"AAAAACT++1s=")</f>
        <v>#VALUE!</v>
      </c>
      <c r="CO215" t="e">
        <f>AND(Bills!H919,"AAAAACT++1w=")</f>
        <v>#VALUE!</v>
      </c>
      <c r="CP215" t="e">
        <f>AND(Bills!I919,"AAAAACT++10=")</f>
        <v>#VALUE!</v>
      </c>
      <c r="CQ215" t="e">
        <f>AND(Bills!J919,"AAAAACT++14=")</f>
        <v>#VALUE!</v>
      </c>
      <c r="CR215" t="e">
        <f>AND(Bills!K919,"AAAAACT++18=")</f>
        <v>#VALUE!</v>
      </c>
      <c r="CS215" t="e">
        <f>AND(Bills!L919,"AAAAACT++2A=")</f>
        <v>#VALUE!</v>
      </c>
      <c r="CT215" t="e">
        <f>AND(Bills!#REF!,"AAAAACT++2E=")</f>
        <v>#REF!</v>
      </c>
      <c r="CU215" t="e">
        <f>AND(Bills!M919,"AAAAACT++2I=")</f>
        <v>#VALUE!</v>
      </c>
      <c r="CV215" t="e">
        <f>AND(Bills!N919,"AAAAACT++2M=")</f>
        <v>#VALUE!</v>
      </c>
      <c r="CW215" t="e">
        <f>AND(Bills!O919,"AAAAACT++2Q=")</f>
        <v>#VALUE!</v>
      </c>
      <c r="CX215" t="e">
        <f>AND(Bills!P919,"AAAAACT++2U=")</f>
        <v>#VALUE!</v>
      </c>
      <c r="CY215" t="e">
        <f>AND(Bills!Q919,"AAAAACT++2Y=")</f>
        <v>#VALUE!</v>
      </c>
      <c r="CZ215" t="e">
        <f>AND(Bills!R919,"AAAAACT++2c=")</f>
        <v>#VALUE!</v>
      </c>
      <c r="DA215" t="e">
        <f>AND(Bills!S919,"AAAAACT++2g=")</f>
        <v>#VALUE!</v>
      </c>
      <c r="DB215" t="e">
        <f>AND(Bills!T919,"AAAAACT++2k=")</f>
        <v>#VALUE!</v>
      </c>
      <c r="DC215" t="e">
        <f>AND(Bills!#REF!,"AAAAACT++2o=")</f>
        <v>#REF!</v>
      </c>
      <c r="DD215" t="e">
        <f>AND(Bills!U919,"AAAAACT++2s=")</f>
        <v>#VALUE!</v>
      </c>
      <c r="DE215" t="e">
        <f>AND(Bills!V919,"AAAAACT++2w=")</f>
        <v>#VALUE!</v>
      </c>
      <c r="DF215" t="e">
        <f>AND(Bills!W919,"AAAAACT++20=")</f>
        <v>#VALUE!</v>
      </c>
      <c r="DG215" t="e">
        <f>AND(Bills!#REF!,"AAAAACT++24=")</f>
        <v>#REF!</v>
      </c>
      <c r="DH215" t="e">
        <f>AND(Bills!#REF!,"AAAAACT++28=")</f>
        <v>#REF!</v>
      </c>
      <c r="DI215" t="e">
        <f>AND(Bills!Y919,"AAAAACT++3A=")</f>
        <v>#VALUE!</v>
      </c>
      <c r="DJ215" t="e">
        <f>AND(Bills!Z919,"AAAAACT++3E=")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AND(Bills!AA919,"AAAAACT++3s=")</f>
        <v>#VALUE!</v>
      </c>
      <c r="DU215" t="e">
        <f>AND(Bills!AB919,"AAAAACT++3w=")</f>
        <v>#VALUE!</v>
      </c>
      <c r="DV215" t="e">
        <f>AND(Bills!#REF!,"AAAAACT++30=")</f>
        <v>#REF!</v>
      </c>
      <c r="DW215" t="e">
        <f>AND(Bills!#REF!,"AAAAACT++34=")</f>
        <v>#REF!</v>
      </c>
      <c r="DX215" t="e">
        <f>AND(Bills!#REF!,"AAAAACT++38=")</f>
        <v>#REF!</v>
      </c>
      <c r="DY215" t="e">
        <f>AND(Bills!AC919,"AAAAACT++4A=")</f>
        <v>#VALUE!</v>
      </c>
      <c r="DZ215" t="e">
        <f>AND(Bills!AD919,"AAAAACT++4E=")</f>
        <v>#VALUE!</v>
      </c>
      <c r="EA215" t="e">
        <f>AND(Bills!#REF!,"AAAAACT++4I=")</f>
        <v>#REF!</v>
      </c>
      <c r="EB215">
        <f>IF(Bills!920:920,"AAAAACT++4M=",0)</f>
        <v>0</v>
      </c>
      <c r="EC215" t="e">
        <f>AND(Bills!B920,"AAAAACT++4Q=")</f>
        <v>#VALUE!</v>
      </c>
      <c r="ED215" t="e">
        <f>AND(Bills!#REF!,"AAAAACT++4U=")</f>
        <v>#REF!</v>
      </c>
      <c r="EE215" t="e">
        <f>AND(Bills!C920,"AAAAACT++4Y=")</f>
        <v>#VALUE!</v>
      </c>
      <c r="EF215" t="e">
        <f>AND(Bills!D920,"AAAAACT++4c=")</f>
        <v>#VALUE!</v>
      </c>
      <c r="EG215" t="e">
        <f>AND(Bills!E920,"AAAAACT++4g=")</f>
        <v>#VALUE!</v>
      </c>
      <c r="EH215" t="e">
        <f>AND(Bills!#REF!,"AAAAACT++4k=")</f>
        <v>#REF!</v>
      </c>
      <c r="EI215" t="e">
        <f>AND(Bills!#REF!,"AAAAACT++4o=")</f>
        <v>#REF!</v>
      </c>
      <c r="EJ215" t="e">
        <f>AND(Bills!#REF!,"AAAAACT++4s=")</f>
        <v>#REF!</v>
      </c>
      <c r="EK215" t="e">
        <f>AND(Bills!F920,"AAAAACT++4w=")</f>
        <v>#VALUE!</v>
      </c>
      <c r="EL215" t="e">
        <f>AND(Bills!#REF!,"AAAAACT++40=")</f>
        <v>#REF!</v>
      </c>
      <c r="EM215" t="e">
        <f>AND(Bills!G920,"AAAAACT++44=")</f>
        <v>#VALUE!</v>
      </c>
      <c r="EN215" t="e">
        <f>AND(Bills!H920,"AAAAACT++48=")</f>
        <v>#VALUE!</v>
      </c>
      <c r="EO215" t="e">
        <f>AND(Bills!I920,"AAAAACT++5A=")</f>
        <v>#VALUE!</v>
      </c>
      <c r="EP215" t="e">
        <f>AND(Bills!J920,"AAAAACT++5E=")</f>
        <v>#VALUE!</v>
      </c>
      <c r="EQ215" t="e">
        <f>AND(Bills!K920,"AAAAACT++5I=")</f>
        <v>#VALUE!</v>
      </c>
      <c r="ER215" t="e">
        <f>AND(Bills!L920,"AAAAACT++5M=")</f>
        <v>#VALUE!</v>
      </c>
      <c r="ES215" t="e">
        <f>AND(Bills!#REF!,"AAAAACT++5Q=")</f>
        <v>#REF!</v>
      </c>
      <c r="ET215" t="e">
        <f>AND(Bills!M920,"AAAAACT++5U=")</f>
        <v>#VALUE!</v>
      </c>
      <c r="EU215" t="e">
        <f>AND(Bills!N920,"AAAAACT++5Y=")</f>
        <v>#VALUE!</v>
      </c>
      <c r="EV215" t="e">
        <f>AND(Bills!O920,"AAAAACT++5c=")</f>
        <v>#VALUE!</v>
      </c>
      <c r="EW215" t="e">
        <f>AND(Bills!P920,"AAAAACT++5g=")</f>
        <v>#VALUE!</v>
      </c>
      <c r="EX215" t="e">
        <f>AND(Bills!Q920,"AAAAACT++5k=")</f>
        <v>#VALUE!</v>
      </c>
      <c r="EY215" t="e">
        <f>AND(Bills!R920,"AAAAACT++5o=")</f>
        <v>#VALUE!</v>
      </c>
      <c r="EZ215" t="e">
        <f>AND(Bills!S920,"AAAAACT++5s=")</f>
        <v>#VALUE!</v>
      </c>
      <c r="FA215" t="e">
        <f>AND(Bills!T920,"AAAAACT++5w=")</f>
        <v>#VALUE!</v>
      </c>
      <c r="FB215" t="e">
        <f>AND(Bills!#REF!,"AAAAACT++50=")</f>
        <v>#REF!</v>
      </c>
      <c r="FC215" t="e">
        <f>AND(Bills!U920,"AAAAACT++54=")</f>
        <v>#VALUE!</v>
      </c>
      <c r="FD215" t="e">
        <f>AND(Bills!V920,"AAAAACT++58=")</f>
        <v>#VALUE!</v>
      </c>
      <c r="FE215" t="e">
        <f>AND(Bills!W920,"AAAAACT++6A=")</f>
        <v>#VALUE!</v>
      </c>
      <c r="FF215" t="e">
        <f>AND(Bills!#REF!,"AAAAACT++6E=")</f>
        <v>#REF!</v>
      </c>
      <c r="FG215" t="e">
        <f>AND(Bills!#REF!,"AAAAACT++6I=")</f>
        <v>#REF!</v>
      </c>
      <c r="FH215" t="e">
        <f>AND(Bills!Y920,"AAAAACT++6M=")</f>
        <v>#VALUE!</v>
      </c>
      <c r="FI215" t="e">
        <f>AND(Bills!Z920,"AAAAACT++6Q=")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AND(Bills!AA920,"AAAAACT++64=")</f>
        <v>#VALUE!</v>
      </c>
      <c r="FT215" t="e">
        <f>AND(Bills!AB920,"AAAAACT++68=")</f>
        <v>#VALUE!</v>
      </c>
      <c r="FU215" t="e">
        <f>AND(Bills!#REF!,"AAAAACT++7A=")</f>
        <v>#REF!</v>
      </c>
      <c r="FV215" t="e">
        <f>AND(Bills!#REF!,"AAAAACT++7E=")</f>
        <v>#REF!</v>
      </c>
      <c r="FW215" t="e">
        <f>AND(Bills!#REF!,"AAAAACT++7I=")</f>
        <v>#REF!</v>
      </c>
      <c r="FX215" t="e">
        <f>AND(Bills!AC920,"AAAAACT++7M=")</f>
        <v>#VALUE!</v>
      </c>
      <c r="FY215" t="e">
        <f>AND(Bills!AD920,"AAAAACT++7Q=")</f>
        <v>#VALUE!</v>
      </c>
      <c r="FZ215" t="e">
        <f>AND(Bills!#REF!,"AAAAACT++7U=")</f>
        <v>#REF!</v>
      </c>
      <c r="GA215">
        <f>IF(Bills!921:921,"AAAAACT++7Y=",0)</f>
        <v>0</v>
      </c>
      <c r="GB215" t="e">
        <f>AND(Bills!B921,"AAAAACT++7c=")</f>
        <v>#VALUE!</v>
      </c>
      <c r="GC215" t="e">
        <f>AND(Bills!#REF!,"AAAAACT++7g=")</f>
        <v>#REF!</v>
      </c>
      <c r="GD215" t="e">
        <f>AND(Bills!C921,"AAAAACT++7k=")</f>
        <v>#VALUE!</v>
      </c>
      <c r="GE215" t="e">
        <f>AND(Bills!D921,"AAAAACT++7o=")</f>
        <v>#VALUE!</v>
      </c>
      <c r="GF215" t="e">
        <f>AND(Bills!E921,"AAAAACT++7s=")</f>
        <v>#VALUE!</v>
      </c>
      <c r="GG215" t="e">
        <f>AND(Bills!#REF!,"AAAAACT++7w=")</f>
        <v>#REF!</v>
      </c>
      <c r="GH215" t="e">
        <f>AND(Bills!#REF!,"AAAAACT++70=")</f>
        <v>#REF!</v>
      </c>
      <c r="GI215" t="e">
        <f>AND(Bills!#REF!,"AAAAACT++74=")</f>
        <v>#REF!</v>
      </c>
      <c r="GJ215" t="e">
        <f>AND(Bills!F921,"AAAAACT++78=")</f>
        <v>#VALUE!</v>
      </c>
      <c r="GK215" t="e">
        <f>AND(Bills!#REF!,"AAAAACT++8A=")</f>
        <v>#REF!</v>
      </c>
      <c r="GL215" t="e">
        <f>AND(Bills!G921,"AAAAACT++8E=")</f>
        <v>#VALUE!</v>
      </c>
      <c r="GM215" t="e">
        <f>AND(Bills!H921,"AAAAACT++8I=")</f>
        <v>#VALUE!</v>
      </c>
      <c r="GN215" t="e">
        <f>AND(Bills!I921,"AAAAACT++8M=")</f>
        <v>#VALUE!</v>
      </c>
      <c r="GO215" t="e">
        <f>AND(Bills!J921,"AAAAACT++8Q=")</f>
        <v>#VALUE!</v>
      </c>
      <c r="GP215" t="e">
        <f>AND(Bills!K921,"AAAAACT++8U=")</f>
        <v>#VALUE!</v>
      </c>
      <c r="GQ215" t="e">
        <f>AND(Bills!L921,"AAAAACT++8Y=")</f>
        <v>#VALUE!</v>
      </c>
      <c r="GR215" t="e">
        <f>AND(Bills!#REF!,"AAAAACT++8c=")</f>
        <v>#REF!</v>
      </c>
      <c r="GS215" t="e">
        <f>AND(Bills!M921,"AAAAACT++8g=")</f>
        <v>#VALUE!</v>
      </c>
      <c r="GT215" t="e">
        <f>AND(Bills!N921,"AAAAACT++8k=")</f>
        <v>#VALUE!</v>
      </c>
      <c r="GU215" t="e">
        <f>AND(Bills!O921,"AAAAACT++8o=")</f>
        <v>#VALUE!</v>
      </c>
      <c r="GV215" t="e">
        <f>AND(Bills!P921,"AAAAACT++8s=")</f>
        <v>#VALUE!</v>
      </c>
      <c r="GW215" t="e">
        <f>AND(Bills!Q921,"AAAAACT++8w=")</f>
        <v>#VALUE!</v>
      </c>
      <c r="GX215" t="e">
        <f>AND(Bills!R921,"AAAAACT++80=")</f>
        <v>#VALUE!</v>
      </c>
      <c r="GY215" t="e">
        <f>AND(Bills!S921,"AAAAACT++84=")</f>
        <v>#VALUE!</v>
      </c>
      <c r="GZ215" t="e">
        <f>AND(Bills!T921,"AAAAACT++88=")</f>
        <v>#VALUE!</v>
      </c>
      <c r="HA215" t="e">
        <f>AND(Bills!#REF!,"AAAAACT++9A=")</f>
        <v>#REF!</v>
      </c>
      <c r="HB215" t="e">
        <f>AND(Bills!U921,"AAAAACT++9E=")</f>
        <v>#VALUE!</v>
      </c>
      <c r="HC215" t="e">
        <f>AND(Bills!V921,"AAAAACT++9I=")</f>
        <v>#VALUE!</v>
      </c>
      <c r="HD215" t="e">
        <f>AND(Bills!W921,"AAAAACT++9M=")</f>
        <v>#VALUE!</v>
      </c>
      <c r="HE215" t="e">
        <f>AND(Bills!#REF!,"AAAAACT++9Q=")</f>
        <v>#REF!</v>
      </c>
      <c r="HF215" t="e">
        <f>AND(Bills!#REF!,"AAAAACT++9U=")</f>
        <v>#REF!</v>
      </c>
      <c r="HG215" t="e">
        <f>AND(Bills!Y921,"AAAAACT++9Y=")</f>
        <v>#VALUE!</v>
      </c>
      <c r="HH215" t="e">
        <f>AND(Bills!Z921,"AAAAACT++9c=")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AND(Bills!AA921,"AAAAACT+++E=")</f>
        <v>#VALUE!</v>
      </c>
      <c r="HS215" t="e">
        <f>AND(Bills!AB921,"AAAAACT+++I=")</f>
        <v>#VALUE!</v>
      </c>
      <c r="HT215" t="e">
        <f>AND(Bills!#REF!,"AAAAACT+++M=")</f>
        <v>#REF!</v>
      </c>
      <c r="HU215" t="e">
        <f>AND(Bills!#REF!,"AAAAACT+++Q=")</f>
        <v>#REF!</v>
      </c>
      <c r="HV215" t="e">
        <f>AND(Bills!#REF!,"AAAAACT+++U=")</f>
        <v>#REF!</v>
      </c>
      <c r="HW215" t="e">
        <f>AND(Bills!AC921,"AAAAACT+++Y=")</f>
        <v>#VALUE!</v>
      </c>
      <c r="HX215" t="e">
        <f>AND(Bills!AD921,"AAAAACT+++c=")</f>
        <v>#VALUE!</v>
      </c>
      <c r="HY215" t="e">
        <f>AND(Bills!#REF!,"AAAAACT+++g=")</f>
        <v>#REF!</v>
      </c>
      <c r="HZ215">
        <f>IF(Bills!922:922,"AAAAACT+++k=",0)</f>
        <v>0</v>
      </c>
      <c r="IA215" t="e">
        <f>AND(Bills!B922,"AAAAACT+++o=")</f>
        <v>#VALUE!</v>
      </c>
      <c r="IB215" t="e">
        <f>AND(Bills!#REF!,"AAAAACT+++s=")</f>
        <v>#REF!</v>
      </c>
      <c r="IC215" t="e">
        <f>AND(Bills!C922,"AAAAACT+++w=")</f>
        <v>#VALUE!</v>
      </c>
      <c r="ID215" t="e">
        <f>AND(Bills!D922,"AAAAACT+++0=")</f>
        <v>#VALUE!</v>
      </c>
      <c r="IE215" t="e">
        <f>AND(Bills!E922,"AAAAACT+++4=")</f>
        <v>#VALUE!</v>
      </c>
      <c r="IF215" t="e">
        <f>AND(Bills!#REF!,"AAAAACT+++8=")</f>
        <v>#REF!</v>
      </c>
      <c r="IG215" t="e">
        <f>AND(Bills!#REF!,"AAAAACT++/A=")</f>
        <v>#REF!</v>
      </c>
      <c r="IH215" t="e">
        <f>AND(Bills!#REF!,"AAAAACT++/E=")</f>
        <v>#REF!</v>
      </c>
      <c r="II215" t="e">
        <f>AND(Bills!F922,"AAAAACT++/I=")</f>
        <v>#VALUE!</v>
      </c>
      <c r="IJ215" t="e">
        <f>AND(Bills!#REF!,"AAAAACT++/M=")</f>
        <v>#REF!</v>
      </c>
      <c r="IK215" t="e">
        <f>AND(Bills!G922,"AAAAACT++/Q=")</f>
        <v>#VALUE!</v>
      </c>
      <c r="IL215" t="e">
        <f>AND(Bills!H922,"AAAAACT++/U=")</f>
        <v>#VALUE!</v>
      </c>
      <c r="IM215" t="e">
        <f>AND(Bills!I922,"AAAAACT++/Y=")</f>
        <v>#VALUE!</v>
      </c>
      <c r="IN215" t="e">
        <f>AND(Bills!J922,"AAAAACT++/c=")</f>
        <v>#VALUE!</v>
      </c>
      <c r="IO215" t="e">
        <f>AND(Bills!K922,"AAAAACT++/g=")</f>
        <v>#VALUE!</v>
      </c>
      <c r="IP215" t="e">
        <f>AND(Bills!L922,"AAAAACT++/k=")</f>
        <v>#VALUE!</v>
      </c>
      <c r="IQ215" t="e">
        <f>AND(Bills!#REF!,"AAAAACT++/o=")</f>
        <v>#REF!</v>
      </c>
      <c r="IR215" t="e">
        <f>AND(Bills!M922,"AAAAACT++/s=")</f>
        <v>#VALUE!</v>
      </c>
      <c r="IS215" t="e">
        <f>AND(Bills!N922,"AAAAACT++/w=")</f>
        <v>#VALUE!</v>
      </c>
      <c r="IT215" t="e">
        <f>AND(Bills!O922,"AAAAACT++/0=")</f>
        <v>#VALUE!</v>
      </c>
      <c r="IU215" t="e">
        <f>AND(Bills!P922,"AAAAACT++/4=")</f>
        <v>#VALUE!</v>
      </c>
      <c r="IV215" t="e">
        <f>AND(Bills!Q922,"AAAAACT++/8=")</f>
        <v>#VALUE!</v>
      </c>
    </row>
    <row r="216" spans="1:256">
      <c r="A216" t="e">
        <f>AND(Bills!R922,"AAAAAD/s9wA=")</f>
        <v>#VALUE!</v>
      </c>
      <c r="B216" t="e">
        <f>AND(Bills!S922,"AAAAAD/s9wE=")</f>
        <v>#VALUE!</v>
      </c>
      <c r="C216" t="e">
        <f>AND(Bills!T922,"AAAAAD/s9wI=")</f>
        <v>#VALUE!</v>
      </c>
      <c r="D216" t="e">
        <f>AND(Bills!#REF!,"AAAAAD/s9wM=")</f>
        <v>#REF!</v>
      </c>
      <c r="E216" t="e">
        <f>AND(Bills!U922,"AAAAAD/s9wQ=")</f>
        <v>#VALUE!</v>
      </c>
      <c r="F216" t="e">
        <f>AND(Bills!V922,"AAAAAD/s9wU=")</f>
        <v>#VALUE!</v>
      </c>
      <c r="G216" t="e">
        <f>AND(Bills!W922,"AAAAAD/s9wY=")</f>
        <v>#VALUE!</v>
      </c>
      <c r="H216" t="e">
        <f>AND(Bills!#REF!,"AAAAAD/s9wc=")</f>
        <v>#REF!</v>
      </c>
      <c r="I216" t="e">
        <f>AND(Bills!#REF!,"AAAAAD/s9wg=")</f>
        <v>#REF!</v>
      </c>
      <c r="J216" t="e">
        <f>AND(Bills!Y922,"AAAAAD/s9wk=")</f>
        <v>#VALUE!</v>
      </c>
      <c r="K216" t="e">
        <f>AND(Bills!Z922,"AAAAAD/s9wo=")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AND(Bills!AA922,"AAAAAD/s9xQ=")</f>
        <v>#VALUE!</v>
      </c>
      <c r="V216" t="e">
        <f>AND(Bills!AB922,"AAAAAD/s9xU=")</f>
        <v>#VALUE!</v>
      </c>
      <c r="W216" t="e">
        <f>AND(Bills!#REF!,"AAAAAD/s9xY=")</f>
        <v>#REF!</v>
      </c>
      <c r="X216" t="e">
        <f>AND(Bills!#REF!,"AAAAAD/s9xc=")</f>
        <v>#REF!</v>
      </c>
      <c r="Y216" t="e">
        <f>AND(Bills!#REF!,"AAAAAD/s9xg=")</f>
        <v>#REF!</v>
      </c>
      <c r="Z216" t="e">
        <f>AND(Bills!AC922,"AAAAAD/s9xk=")</f>
        <v>#VALUE!</v>
      </c>
      <c r="AA216" t="e">
        <f>AND(Bills!AD922,"AAAAAD/s9xo=")</f>
        <v>#VALUE!</v>
      </c>
      <c r="AB216" t="e">
        <f>AND(Bills!#REF!,"AAAAAD/s9xs=")</f>
        <v>#REF!</v>
      </c>
      <c r="AC216">
        <f>IF(Bills!923:923,"AAAAAD/s9xw=",0)</f>
        <v>0</v>
      </c>
      <c r="AD216" t="e">
        <f>AND(Bills!B923,"AAAAAD/s9x0=")</f>
        <v>#VALUE!</v>
      </c>
      <c r="AE216" t="e">
        <f>AND(Bills!#REF!,"AAAAAD/s9x4=")</f>
        <v>#REF!</v>
      </c>
      <c r="AF216" t="e">
        <f>AND(Bills!C923,"AAAAAD/s9x8=")</f>
        <v>#VALUE!</v>
      </c>
      <c r="AG216" t="e">
        <f>AND(Bills!D923,"AAAAAD/s9yA=")</f>
        <v>#VALUE!</v>
      </c>
      <c r="AH216" t="e">
        <f>AND(Bills!E923,"AAAAAD/s9yE=")</f>
        <v>#VALUE!</v>
      </c>
      <c r="AI216" t="e">
        <f>AND(Bills!#REF!,"AAAAAD/s9yI=")</f>
        <v>#REF!</v>
      </c>
      <c r="AJ216" t="e">
        <f>AND(Bills!#REF!,"AAAAAD/s9yM=")</f>
        <v>#REF!</v>
      </c>
      <c r="AK216" t="e">
        <f>AND(Bills!#REF!,"AAAAAD/s9yQ=")</f>
        <v>#REF!</v>
      </c>
      <c r="AL216" t="e">
        <f>AND(Bills!F923,"AAAAAD/s9yU=")</f>
        <v>#VALUE!</v>
      </c>
      <c r="AM216" t="e">
        <f>AND(Bills!#REF!,"AAAAAD/s9yY=")</f>
        <v>#REF!</v>
      </c>
      <c r="AN216" t="e">
        <f>AND(Bills!G923,"AAAAAD/s9yc=")</f>
        <v>#VALUE!</v>
      </c>
      <c r="AO216" t="e">
        <f>AND(Bills!H923,"AAAAAD/s9yg=")</f>
        <v>#VALUE!</v>
      </c>
      <c r="AP216" t="e">
        <f>AND(Bills!I923,"AAAAAD/s9yk=")</f>
        <v>#VALUE!</v>
      </c>
      <c r="AQ216" t="e">
        <f>AND(Bills!J923,"AAAAAD/s9yo=")</f>
        <v>#VALUE!</v>
      </c>
      <c r="AR216" t="e">
        <f>AND(Bills!K923,"AAAAAD/s9ys=")</f>
        <v>#VALUE!</v>
      </c>
      <c r="AS216" t="e">
        <f>AND(Bills!L923,"AAAAAD/s9yw=")</f>
        <v>#VALUE!</v>
      </c>
      <c r="AT216" t="e">
        <f>AND(Bills!#REF!,"AAAAAD/s9y0=")</f>
        <v>#REF!</v>
      </c>
      <c r="AU216" t="e">
        <f>AND(Bills!M923,"AAAAAD/s9y4=")</f>
        <v>#VALUE!</v>
      </c>
      <c r="AV216" t="e">
        <f>AND(Bills!N923,"AAAAAD/s9y8=")</f>
        <v>#VALUE!</v>
      </c>
      <c r="AW216" t="e">
        <f>AND(Bills!O923,"AAAAAD/s9zA=")</f>
        <v>#VALUE!</v>
      </c>
      <c r="AX216" t="e">
        <f>AND(Bills!P923,"AAAAAD/s9zE=")</f>
        <v>#VALUE!</v>
      </c>
      <c r="AY216" t="e">
        <f>AND(Bills!Q923,"AAAAAD/s9zI=")</f>
        <v>#VALUE!</v>
      </c>
      <c r="AZ216" t="e">
        <f>AND(Bills!R923,"AAAAAD/s9zM=")</f>
        <v>#VALUE!</v>
      </c>
      <c r="BA216" t="e">
        <f>AND(Bills!S923,"AAAAAD/s9zQ=")</f>
        <v>#VALUE!</v>
      </c>
      <c r="BB216" t="e">
        <f>AND(Bills!T923,"AAAAAD/s9zU=")</f>
        <v>#VALUE!</v>
      </c>
      <c r="BC216" t="e">
        <f>AND(Bills!#REF!,"AAAAAD/s9zY=")</f>
        <v>#REF!</v>
      </c>
      <c r="BD216" t="e">
        <f>AND(Bills!U923,"AAAAAD/s9zc=")</f>
        <v>#VALUE!</v>
      </c>
      <c r="BE216" t="e">
        <f>AND(Bills!V923,"AAAAAD/s9zg=")</f>
        <v>#VALUE!</v>
      </c>
      <c r="BF216" t="e">
        <f>AND(Bills!W923,"AAAAAD/s9zk=")</f>
        <v>#VALUE!</v>
      </c>
      <c r="BG216" t="e">
        <f>AND(Bills!#REF!,"AAAAAD/s9zo=")</f>
        <v>#REF!</v>
      </c>
      <c r="BH216" t="e">
        <f>AND(Bills!#REF!,"AAAAAD/s9zs=")</f>
        <v>#REF!</v>
      </c>
      <c r="BI216" t="e">
        <f>AND(Bills!Y923,"AAAAAD/s9zw=")</f>
        <v>#VALUE!</v>
      </c>
      <c r="BJ216" t="e">
        <f>AND(Bills!Z923,"AAAAAD/s9z0=")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AND(Bills!AA923,"AAAAAD/s90c=")</f>
        <v>#VALUE!</v>
      </c>
      <c r="BU216" t="e">
        <f>AND(Bills!AB923,"AAAAAD/s90g=")</f>
        <v>#VALUE!</v>
      </c>
      <c r="BV216" t="e">
        <f>AND(Bills!#REF!,"AAAAAD/s90k=")</f>
        <v>#REF!</v>
      </c>
      <c r="BW216" t="e">
        <f>AND(Bills!#REF!,"AAAAAD/s90o=")</f>
        <v>#REF!</v>
      </c>
      <c r="BX216" t="e">
        <f>AND(Bills!#REF!,"AAAAAD/s90s=")</f>
        <v>#REF!</v>
      </c>
      <c r="BY216" t="e">
        <f>AND(Bills!AC923,"AAAAAD/s90w=")</f>
        <v>#VALUE!</v>
      </c>
      <c r="BZ216" t="e">
        <f>AND(Bills!AD923,"AAAAAD/s900=")</f>
        <v>#VALUE!</v>
      </c>
      <c r="CA216" t="e">
        <f>AND(Bills!#REF!,"AAAAAD/s904=")</f>
        <v>#REF!</v>
      </c>
      <c r="CB216">
        <f>IF(Bills!924:924,"AAAAAD/s908=",0)</f>
        <v>0</v>
      </c>
      <c r="CC216" t="e">
        <f>AND(Bills!B924,"AAAAAD/s91A=")</f>
        <v>#VALUE!</v>
      </c>
      <c r="CD216" t="e">
        <f>AND(Bills!#REF!,"AAAAAD/s91E=")</f>
        <v>#REF!</v>
      </c>
      <c r="CE216" t="e">
        <f>AND(Bills!C924,"AAAAAD/s91I=")</f>
        <v>#VALUE!</v>
      </c>
      <c r="CF216" t="e">
        <f>AND(Bills!D924,"AAAAAD/s91M=")</f>
        <v>#VALUE!</v>
      </c>
      <c r="CG216" t="e">
        <f>AND(Bills!E924,"AAAAAD/s91Q=")</f>
        <v>#VALUE!</v>
      </c>
      <c r="CH216" t="e">
        <f>AND(Bills!#REF!,"AAAAAD/s91U=")</f>
        <v>#REF!</v>
      </c>
      <c r="CI216" t="e">
        <f>AND(Bills!#REF!,"AAAAAD/s91Y=")</f>
        <v>#REF!</v>
      </c>
      <c r="CJ216" t="e">
        <f>AND(Bills!#REF!,"AAAAAD/s91c=")</f>
        <v>#REF!</v>
      </c>
      <c r="CK216" t="e">
        <f>AND(Bills!F924,"AAAAAD/s91g=")</f>
        <v>#VALUE!</v>
      </c>
      <c r="CL216" t="e">
        <f>AND(Bills!#REF!,"AAAAAD/s91k=")</f>
        <v>#REF!</v>
      </c>
      <c r="CM216" t="e">
        <f>AND(Bills!G924,"AAAAAD/s91o=")</f>
        <v>#VALUE!</v>
      </c>
      <c r="CN216" t="e">
        <f>AND(Bills!H924,"AAAAAD/s91s=")</f>
        <v>#VALUE!</v>
      </c>
      <c r="CO216" t="e">
        <f>AND(Bills!I924,"AAAAAD/s91w=")</f>
        <v>#VALUE!</v>
      </c>
      <c r="CP216" t="e">
        <f>AND(Bills!J924,"AAAAAD/s910=")</f>
        <v>#VALUE!</v>
      </c>
      <c r="CQ216" t="e">
        <f>AND(Bills!K924,"AAAAAD/s914=")</f>
        <v>#VALUE!</v>
      </c>
      <c r="CR216" t="e">
        <f>AND(Bills!L924,"AAAAAD/s918=")</f>
        <v>#VALUE!</v>
      </c>
      <c r="CS216" t="e">
        <f>AND(Bills!#REF!,"AAAAAD/s92A=")</f>
        <v>#REF!</v>
      </c>
      <c r="CT216" t="e">
        <f>AND(Bills!M924,"AAAAAD/s92E=")</f>
        <v>#VALUE!</v>
      </c>
      <c r="CU216" t="e">
        <f>AND(Bills!N924,"AAAAAD/s92I=")</f>
        <v>#VALUE!</v>
      </c>
      <c r="CV216" t="e">
        <f>AND(Bills!O924,"AAAAAD/s92M=")</f>
        <v>#VALUE!</v>
      </c>
      <c r="CW216" t="e">
        <f>AND(Bills!P924,"AAAAAD/s92Q=")</f>
        <v>#VALUE!</v>
      </c>
      <c r="CX216" t="e">
        <f>AND(Bills!Q924,"AAAAAD/s92U=")</f>
        <v>#VALUE!</v>
      </c>
      <c r="CY216" t="e">
        <f>AND(Bills!R924,"AAAAAD/s92Y=")</f>
        <v>#VALUE!</v>
      </c>
      <c r="CZ216" t="e">
        <f>AND(Bills!S924,"AAAAAD/s92c=")</f>
        <v>#VALUE!</v>
      </c>
      <c r="DA216" t="e">
        <f>AND(Bills!T924,"AAAAAD/s92g=")</f>
        <v>#VALUE!</v>
      </c>
      <c r="DB216" t="e">
        <f>AND(Bills!#REF!,"AAAAAD/s92k=")</f>
        <v>#REF!</v>
      </c>
      <c r="DC216" t="e">
        <f>AND(Bills!U924,"AAAAAD/s92o=")</f>
        <v>#VALUE!</v>
      </c>
      <c r="DD216" t="e">
        <f>AND(Bills!V924,"AAAAAD/s92s=")</f>
        <v>#VALUE!</v>
      </c>
      <c r="DE216" t="e">
        <f>AND(Bills!W924,"AAAAAD/s92w=")</f>
        <v>#VALUE!</v>
      </c>
      <c r="DF216" t="e">
        <f>AND(Bills!#REF!,"AAAAAD/s920=")</f>
        <v>#REF!</v>
      </c>
      <c r="DG216" t="e">
        <f>AND(Bills!#REF!,"AAAAAD/s924=")</f>
        <v>#REF!</v>
      </c>
      <c r="DH216" t="e">
        <f>AND(Bills!Y924,"AAAAAD/s928=")</f>
        <v>#VALUE!</v>
      </c>
      <c r="DI216" t="e">
        <f>AND(Bills!Z924,"AAAAAD/s93A=")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AND(Bills!AA924,"AAAAAD/s93o=")</f>
        <v>#VALUE!</v>
      </c>
      <c r="DT216" t="e">
        <f>AND(Bills!AB924,"AAAAAD/s93s=")</f>
        <v>#VALUE!</v>
      </c>
      <c r="DU216" t="e">
        <f>AND(Bills!#REF!,"AAAAAD/s93w=")</f>
        <v>#REF!</v>
      </c>
      <c r="DV216" t="e">
        <f>AND(Bills!#REF!,"AAAAAD/s930=")</f>
        <v>#REF!</v>
      </c>
      <c r="DW216" t="e">
        <f>AND(Bills!#REF!,"AAAAAD/s934=")</f>
        <v>#REF!</v>
      </c>
      <c r="DX216" t="e">
        <f>AND(Bills!AC924,"AAAAAD/s938=")</f>
        <v>#VALUE!</v>
      </c>
      <c r="DY216" t="e">
        <f>AND(Bills!AD924,"AAAAAD/s94A=")</f>
        <v>#VALUE!</v>
      </c>
      <c r="DZ216" t="e">
        <f>AND(Bills!#REF!,"AAAAAD/s94E=")</f>
        <v>#REF!</v>
      </c>
      <c r="EA216">
        <f>IF(Bills!925:925,"AAAAAD/s94I=",0)</f>
        <v>0</v>
      </c>
      <c r="EB216" t="e">
        <f>AND(Bills!B925,"AAAAAD/s94M=")</f>
        <v>#VALUE!</v>
      </c>
      <c r="EC216" t="e">
        <f>AND(Bills!#REF!,"AAAAAD/s94Q=")</f>
        <v>#REF!</v>
      </c>
      <c r="ED216" t="e">
        <f>AND(Bills!C925,"AAAAAD/s94U=")</f>
        <v>#VALUE!</v>
      </c>
      <c r="EE216" t="e">
        <f>AND(Bills!D925,"AAAAAD/s94Y=")</f>
        <v>#VALUE!</v>
      </c>
      <c r="EF216" t="e">
        <f>AND(Bills!E925,"AAAAAD/s94c=")</f>
        <v>#VALUE!</v>
      </c>
      <c r="EG216" t="e">
        <f>AND(Bills!#REF!,"AAAAAD/s94g=")</f>
        <v>#REF!</v>
      </c>
      <c r="EH216" t="e">
        <f>AND(Bills!#REF!,"AAAAAD/s94k=")</f>
        <v>#REF!</v>
      </c>
      <c r="EI216" t="e">
        <f>AND(Bills!#REF!,"AAAAAD/s94o=")</f>
        <v>#REF!</v>
      </c>
      <c r="EJ216" t="e">
        <f>AND(Bills!F925,"AAAAAD/s94s=")</f>
        <v>#VALUE!</v>
      </c>
      <c r="EK216" t="e">
        <f>AND(Bills!#REF!,"AAAAAD/s94w=")</f>
        <v>#REF!</v>
      </c>
      <c r="EL216" t="e">
        <f>AND(Bills!G925,"AAAAAD/s940=")</f>
        <v>#VALUE!</v>
      </c>
      <c r="EM216" t="e">
        <f>AND(Bills!H925,"AAAAAD/s944=")</f>
        <v>#VALUE!</v>
      </c>
      <c r="EN216" t="e">
        <f>AND(Bills!I925,"AAAAAD/s948=")</f>
        <v>#VALUE!</v>
      </c>
      <c r="EO216" t="e">
        <f>AND(Bills!J925,"AAAAAD/s95A=")</f>
        <v>#VALUE!</v>
      </c>
      <c r="EP216" t="e">
        <f>AND(Bills!K925,"AAAAAD/s95E=")</f>
        <v>#VALUE!</v>
      </c>
      <c r="EQ216" t="e">
        <f>AND(Bills!L925,"AAAAAD/s95I=")</f>
        <v>#VALUE!</v>
      </c>
      <c r="ER216" t="e">
        <f>AND(Bills!#REF!,"AAAAAD/s95M=")</f>
        <v>#REF!</v>
      </c>
      <c r="ES216" t="e">
        <f>AND(Bills!M925,"AAAAAD/s95Q=")</f>
        <v>#VALUE!</v>
      </c>
      <c r="ET216" t="e">
        <f>AND(Bills!N925,"AAAAAD/s95U=")</f>
        <v>#VALUE!</v>
      </c>
      <c r="EU216" t="e">
        <f>AND(Bills!O925,"AAAAAD/s95Y=")</f>
        <v>#VALUE!</v>
      </c>
      <c r="EV216" t="e">
        <f>AND(Bills!P925,"AAAAAD/s95c=")</f>
        <v>#VALUE!</v>
      </c>
      <c r="EW216" t="e">
        <f>AND(Bills!Q925,"AAAAAD/s95g=")</f>
        <v>#VALUE!</v>
      </c>
      <c r="EX216" t="e">
        <f>AND(Bills!R925,"AAAAAD/s95k=")</f>
        <v>#VALUE!</v>
      </c>
      <c r="EY216" t="e">
        <f>AND(Bills!S925,"AAAAAD/s95o=")</f>
        <v>#VALUE!</v>
      </c>
      <c r="EZ216" t="e">
        <f>AND(Bills!T925,"AAAAAD/s95s=")</f>
        <v>#VALUE!</v>
      </c>
      <c r="FA216" t="e">
        <f>AND(Bills!#REF!,"AAAAAD/s95w=")</f>
        <v>#REF!</v>
      </c>
      <c r="FB216" t="e">
        <f>AND(Bills!U925,"AAAAAD/s950=")</f>
        <v>#VALUE!</v>
      </c>
      <c r="FC216" t="e">
        <f>AND(Bills!V925,"AAAAAD/s954=")</f>
        <v>#VALUE!</v>
      </c>
      <c r="FD216" t="e">
        <f>AND(Bills!W925,"AAAAAD/s958=")</f>
        <v>#VALUE!</v>
      </c>
      <c r="FE216" t="e">
        <f>AND(Bills!#REF!,"AAAAAD/s96A=")</f>
        <v>#REF!</v>
      </c>
      <c r="FF216" t="e">
        <f>AND(Bills!#REF!,"AAAAAD/s96E=")</f>
        <v>#REF!</v>
      </c>
      <c r="FG216" t="e">
        <f>AND(Bills!Y925,"AAAAAD/s96I=")</f>
        <v>#VALUE!</v>
      </c>
      <c r="FH216" t="e">
        <f>AND(Bills!Z925,"AAAAAD/s96M=")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AND(Bills!AA925,"AAAAAD/s960=")</f>
        <v>#VALUE!</v>
      </c>
      <c r="FS216" t="e">
        <f>AND(Bills!AB925,"AAAAAD/s964=")</f>
        <v>#VALUE!</v>
      </c>
      <c r="FT216" t="e">
        <f>AND(Bills!#REF!,"AAAAAD/s968=")</f>
        <v>#REF!</v>
      </c>
      <c r="FU216" t="e">
        <f>AND(Bills!#REF!,"AAAAAD/s97A=")</f>
        <v>#REF!</v>
      </c>
      <c r="FV216" t="e">
        <f>AND(Bills!#REF!,"AAAAAD/s97E=")</f>
        <v>#REF!</v>
      </c>
      <c r="FW216" t="e">
        <f>AND(Bills!AC925,"AAAAAD/s97I=")</f>
        <v>#VALUE!</v>
      </c>
      <c r="FX216" t="e">
        <f>AND(Bills!AD925,"AAAAAD/s97M=")</f>
        <v>#VALUE!</v>
      </c>
      <c r="FY216" t="e">
        <f>AND(Bills!#REF!,"AAAAAD/s97Q=")</f>
        <v>#REF!</v>
      </c>
      <c r="FZ216">
        <f>IF(Bills!926:926,"AAAAAD/s97U=",0)</f>
        <v>0</v>
      </c>
      <c r="GA216" t="e">
        <f>AND(Bills!B926,"AAAAAD/s97Y=")</f>
        <v>#VALUE!</v>
      </c>
      <c r="GB216" t="e">
        <f>AND(Bills!#REF!,"AAAAAD/s97c=")</f>
        <v>#REF!</v>
      </c>
      <c r="GC216" t="e">
        <f>AND(Bills!C926,"AAAAAD/s97g=")</f>
        <v>#VALUE!</v>
      </c>
      <c r="GD216" t="e">
        <f>AND(Bills!D926,"AAAAAD/s97k=")</f>
        <v>#VALUE!</v>
      </c>
      <c r="GE216" t="e">
        <f>AND(Bills!E926,"AAAAAD/s97o=")</f>
        <v>#VALUE!</v>
      </c>
      <c r="GF216" t="e">
        <f>AND(Bills!#REF!,"AAAAAD/s97s=")</f>
        <v>#REF!</v>
      </c>
      <c r="GG216" t="e">
        <f>AND(Bills!#REF!,"AAAAAD/s97w=")</f>
        <v>#REF!</v>
      </c>
      <c r="GH216" t="e">
        <f>AND(Bills!#REF!,"AAAAAD/s970=")</f>
        <v>#REF!</v>
      </c>
      <c r="GI216" t="e">
        <f>AND(Bills!F926,"AAAAAD/s974=")</f>
        <v>#VALUE!</v>
      </c>
      <c r="GJ216" t="e">
        <f>AND(Bills!#REF!,"AAAAAD/s978=")</f>
        <v>#REF!</v>
      </c>
      <c r="GK216" t="e">
        <f>AND(Bills!G926,"AAAAAD/s98A=")</f>
        <v>#VALUE!</v>
      </c>
      <c r="GL216" t="e">
        <f>AND(Bills!H926,"AAAAAD/s98E=")</f>
        <v>#VALUE!</v>
      </c>
      <c r="GM216" t="e">
        <f>AND(Bills!I926,"AAAAAD/s98I=")</f>
        <v>#VALUE!</v>
      </c>
      <c r="GN216" t="e">
        <f>AND(Bills!J926,"AAAAAD/s98M=")</f>
        <v>#VALUE!</v>
      </c>
      <c r="GO216" t="e">
        <f>AND(Bills!K926,"AAAAAD/s98Q=")</f>
        <v>#VALUE!</v>
      </c>
      <c r="GP216" t="e">
        <f>AND(Bills!L926,"AAAAAD/s98U=")</f>
        <v>#VALUE!</v>
      </c>
      <c r="GQ216" t="e">
        <f>AND(Bills!#REF!,"AAAAAD/s98Y=")</f>
        <v>#REF!</v>
      </c>
      <c r="GR216" t="e">
        <f>AND(Bills!M926,"AAAAAD/s98c=")</f>
        <v>#VALUE!</v>
      </c>
      <c r="GS216" t="e">
        <f>AND(Bills!N926,"AAAAAD/s98g=")</f>
        <v>#VALUE!</v>
      </c>
      <c r="GT216" t="e">
        <f>AND(Bills!O926,"AAAAAD/s98k=")</f>
        <v>#VALUE!</v>
      </c>
      <c r="GU216" t="e">
        <f>AND(Bills!P926,"AAAAAD/s98o=")</f>
        <v>#VALUE!</v>
      </c>
      <c r="GV216" t="e">
        <f>AND(Bills!Q926,"AAAAAD/s98s=")</f>
        <v>#VALUE!</v>
      </c>
      <c r="GW216" t="e">
        <f>AND(Bills!R926,"AAAAAD/s98w=")</f>
        <v>#VALUE!</v>
      </c>
      <c r="GX216" t="e">
        <f>AND(Bills!S926,"AAAAAD/s980=")</f>
        <v>#VALUE!</v>
      </c>
      <c r="GY216" t="e">
        <f>AND(Bills!T926,"AAAAAD/s984=")</f>
        <v>#VALUE!</v>
      </c>
      <c r="GZ216" t="e">
        <f>AND(Bills!#REF!,"AAAAAD/s988=")</f>
        <v>#REF!</v>
      </c>
      <c r="HA216" t="e">
        <f>AND(Bills!U926,"AAAAAD/s99A=")</f>
        <v>#VALUE!</v>
      </c>
      <c r="HB216" t="e">
        <f>AND(Bills!V926,"AAAAAD/s99E=")</f>
        <v>#VALUE!</v>
      </c>
      <c r="HC216" t="e">
        <f>AND(Bills!W926,"AAAAAD/s99I=")</f>
        <v>#VALUE!</v>
      </c>
      <c r="HD216" t="e">
        <f>AND(Bills!#REF!,"AAAAAD/s99M=")</f>
        <v>#REF!</v>
      </c>
      <c r="HE216" t="e">
        <f>AND(Bills!#REF!,"AAAAAD/s99Q=")</f>
        <v>#REF!</v>
      </c>
      <c r="HF216" t="e">
        <f>AND(Bills!Y926,"AAAAAD/s99U=")</f>
        <v>#VALUE!</v>
      </c>
      <c r="HG216" t="e">
        <f>AND(Bills!Z926,"AAAAAD/s99Y=")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AND(Bills!AA926,"AAAAAD/s9+A=")</f>
        <v>#VALUE!</v>
      </c>
      <c r="HR216" t="e">
        <f>AND(Bills!AB926,"AAAAAD/s9+E=")</f>
        <v>#VALUE!</v>
      </c>
      <c r="HS216" t="e">
        <f>AND(Bills!#REF!,"AAAAAD/s9+I=")</f>
        <v>#REF!</v>
      </c>
      <c r="HT216" t="e">
        <f>AND(Bills!#REF!,"AAAAAD/s9+M=")</f>
        <v>#REF!</v>
      </c>
      <c r="HU216" t="e">
        <f>AND(Bills!#REF!,"AAAAAD/s9+Q=")</f>
        <v>#REF!</v>
      </c>
      <c r="HV216" t="e">
        <f>AND(Bills!AC926,"AAAAAD/s9+U=")</f>
        <v>#VALUE!</v>
      </c>
      <c r="HW216" t="e">
        <f>AND(Bills!AD926,"AAAAAD/s9+Y=")</f>
        <v>#VALUE!</v>
      </c>
      <c r="HX216" t="e">
        <f>AND(Bills!#REF!,"AAAAAD/s9+c=")</f>
        <v>#REF!</v>
      </c>
      <c r="HY216">
        <f>IF(Bills!927:927,"AAAAAD/s9+g=",0)</f>
        <v>0</v>
      </c>
      <c r="HZ216" t="e">
        <f>AND(Bills!B927,"AAAAAD/s9+k=")</f>
        <v>#VALUE!</v>
      </c>
      <c r="IA216" t="e">
        <f>AND(Bills!#REF!,"AAAAAD/s9+o=")</f>
        <v>#REF!</v>
      </c>
      <c r="IB216" t="e">
        <f>AND(Bills!C927,"AAAAAD/s9+s=")</f>
        <v>#VALUE!</v>
      </c>
      <c r="IC216" t="e">
        <f>AND(Bills!D927,"AAAAAD/s9+w=")</f>
        <v>#VALUE!</v>
      </c>
      <c r="ID216" t="e">
        <f>AND(Bills!E927,"AAAAAD/s9+0=")</f>
        <v>#VALUE!</v>
      </c>
      <c r="IE216" t="e">
        <f>AND(Bills!#REF!,"AAAAAD/s9+4=")</f>
        <v>#REF!</v>
      </c>
      <c r="IF216" t="e">
        <f>AND(Bills!#REF!,"AAAAAD/s9+8=")</f>
        <v>#REF!</v>
      </c>
      <c r="IG216" t="e">
        <f>AND(Bills!#REF!,"AAAAAD/s9/A=")</f>
        <v>#REF!</v>
      </c>
      <c r="IH216" t="e">
        <f>AND(Bills!F927,"AAAAAD/s9/E=")</f>
        <v>#VALUE!</v>
      </c>
      <c r="II216" t="e">
        <f>AND(Bills!#REF!,"AAAAAD/s9/I=")</f>
        <v>#REF!</v>
      </c>
      <c r="IJ216" t="e">
        <f>AND(Bills!G927,"AAAAAD/s9/M=")</f>
        <v>#VALUE!</v>
      </c>
      <c r="IK216" t="e">
        <f>AND(Bills!H927,"AAAAAD/s9/Q=")</f>
        <v>#VALUE!</v>
      </c>
      <c r="IL216" t="e">
        <f>AND(Bills!I927,"AAAAAD/s9/U=")</f>
        <v>#VALUE!</v>
      </c>
      <c r="IM216" t="e">
        <f>AND(Bills!J927,"AAAAAD/s9/Y=")</f>
        <v>#VALUE!</v>
      </c>
      <c r="IN216" t="e">
        <f>AND(Bills!K927,"AAAAAD/s9/c=")</f>
        <v>#VALUE!</v>
      </c>
      <c r="IO216" t="e">
        <f>AND(Bills!L927,"AAAAAD/s9/g=")</f>
        <v>#VALUE!</v>
      </c>
      <c r="IP216" t="e">
        <f>AND(Bills!#REF!,"AAAAAD/s9/k=")</f>
        <v>#REF!</v>
      </c>
      <c r="IQ216" t="e">
        <f>AND(Bills!M927,"AAAAAD/s9/o=")</f>
        <v>#VALUE!</v>
      </c>
      <c r="IR216" t="e">
        <f>AND(Bills!N927,"AAAAAD/s9/s=")</f>
        <v>#VALUE!</v>
      </c>
      <c r="IS216" t="e">
        <f>AND(Bills!O927,"AAAAAD/s9/w=")</f>
        <v>#VALUE!</v>
      </c>
      <c r="IT216" t="e">
        <f>AND(Bills!P927,"AAAAAD/s9/0=")</f>
        <v>#VALUE!</v>
      </c>
      <c r="IU216" t="e">
        <f>AND(Bills!Q927,"AAAAAD/s9/4=")</f>
        <v>#VALUE!</v>
      </c>
      <c r="IV216" t="e">
        <f>AND(Bills!R927,"AAAAAD/s9/8=")</f>
        <v>#VALUE!</v>
      </c>
    </row>
    <row r="217" spans="1:256">
      <c r="A217" t="e">
        <f>AND(Bills!S927,"AAAAAG6/mAA=")</f>
        <v>#VALUE!</v>
      </c>
      <c r="B217" t="e">
        <f>AND(Bills!T927,"AAAAAG6/mAE=")</f>
        <v>#VALUE!</v>
      </c>
      <c r="C217" t="e">
        <f>AND(Bills!#REF!,"AAAAAG6/mAI=")</f>
        <v>#REF!</v>
      </c>
      <c r="D217" t="e">
        <f>AND(Bills!U927,"AAAAAG6/mAM=")</f>
        <v>#VALUE!</v>
      </c>
      <c r="E217" t="e">
        <f>AND(Bills!V927,"AAAAAG6/mAQ=")</f>
        <v>#VALUE!</v>
      </c>
      <c r="F217" t="e">
        <f>AND(Bills!W927,"AAAAAG6/mAU=")</f>
        <v>#VALUE!</v>
      </c>
      <c r="G217" t="e">
        <f>AND(Bills!#REF!,"AAAAAG6/mAY=")</f>
        <v>#REF!</v>
      </c>
      <c r="H217" t="e">
        <f>AND(Bills!#REF!,"AAAAAG6/mAc=")</f>
        <v>#REF!</v>
      </c>
      <c r="I217" t="e">
        <f>AND(Bills!Y927,"AAAAAG6/mAg=")</f>
        <v>#VALUE!</v>
      </c>
      <c r="J217" t="e">
        <f>AND(Bills!Z927,"AAAAAG6/mAk=")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AND(Bills!AA927,"AAAAAG6/mBM=")</f>
        <v>#VALUE!</v>
      </c>
      <c r="U217" t="e">
        <f>AND(Bills!AB927,"AAAAAG6/mBQ=")</f>
        <v>#VALUE!</v>
      </c>
      <c r="V217" t="e">
        <f>AND(Bills!#REF!,"AAAAAG6/mBU=")</f>
        <v>#REF!</v>
      </c>
      <c r="W217" t="e">
        <f>AND(Bills!#REF!,"AAAAAG6/mBY=")</f>
        <v>#REF!</v>
      </c>
      <c r="X217" t="e">
        <f>AND(Bills!#REF!,"AAAAAG6/mBc=")</f>
        <v>#REF!</v>
      </c>
      <c r="Y217" t="e">
        <f>AND(Bills!AC927,"AAAAAG6/mBg=")</f>
        <v>#VALUE!</v>
      </c>
      <c r="Z217" t="e">
        <f>AND(Bills!AD927,"AAAAAG6/mBk=")</f>
        <v>#VALUE!</v>
      </c>
      <c r="AA217" t="e">
        <f>AND(Bills!#REF!,"AAAAAG6/mBo=")</f>
        <v>#REF!</v>
      </c>
      <c r="AB217">
        <f>IF(Bills!928:928,"AAAAAG6/mBs=",0)</f>
        <v>0</v>
      </c>
      <c r="AC217" t="e">
        <f>AND(Bills!B928,"AAAAAG6/mBw=")</f>
        <v>#VALUE!</v>
      </c>
      <c r="AD217" t="e">
        <f>AND(Bills!#REF!,"AAAAAG6/mB0=")</f>
        <v>#REF!</v>
      </c>
      <c r="AE217" t="e">
        <f>AND(Bills!C928,"AAAAAG6/mB4=")</f>
        <v>#VALUE!</v>
      </c>
      <c r="AF217" t="e">
        <f>AND(Bills!D928,"AAAAAG6/mB8=")</f>
        <v>#VALUE!</v>
      </c>
      <c r="AG217" t="e">
        <f>AND(Bills!E928,"AAAAAG6/mCA=")</f>
        <v>#VALUE!</v>
      </c>
      <c r="AH217" t="e">
        <f>AND(Bills!#REF!,"AAAAAG6/mCE=")</f>
        <v>#REF!</v>
      </c>
      <c r="AI217" t="e">
        <f>AND(Bills!#REF!,"AAAAAG6/mCI=")</f>
        <v>#REF!</v>
      </c>
      <c r="AJ217" t="e">
        <f>AND(Bills!#REF!,"AAAAAG6/mCM=")</f>
        <v>#REF!</v>
      </c>
      <c r="AK217" t="e">
        <f>AND(Bills!F928,"AAAAAG6/mCQ=")</f>
        <v>#VALUE!</v>
      </c>
      <c r="AL217" t="e">
        <f>AND(Bills!#REF!,"AAAAAG6/mCU=")</f>
        <v>#REF!</v>
      </c>
      <c r="AM217" t="e">
        <f>AND(Bills!G928,"AAAAAG6/mCY=")</f>
        <v>#VALUE!</v>
      </c>
      <c r="AN217" t="e">
        <f>AND(Bills!H928,"AAAAAG6/mCc=")</f>
        <v>#VALUE!</v>
      </c>
      <c r="AO217" t="e">
        <f>AND(Bills!I928,"AAAAAG6/mCg=")</f>
        <v>#VALUE!</v>
      </c>
      <c r="AP217" t="e">
        <f>AND(Bills!J928,"AAAAAG6/mCk=")</f>
        <v>#VALUE!</v>
      </c>
      <c r="AQ217" t="e">
        <f>AND(Bills!K928,"AAAAAG6/mCo=")</f>
        <v>#VALUE!</v>
      </c>
      <c r="AR217" t="e">
        <f>AND(Bills!L928,"AAAAAG6/mCs=")</f>
        <v>#VALUE!</v>
      </c>
      <c r="AS217" t="e">
        <f>AND(Bills!#REF!,"AAAAAG6/mCw=")</f>
        <v>#REF!</v>
      </c>
      <c r="AT217" t="e">
        <f>AND(Bills!M928,"AAAAAG6/mC0=")</f>
        <v>#VALUE!</v>
      </c>
      <c r="AU217" t="e">
        <f>AND(Bills!N928,"AAAAAG6/mC4=")</f>
        <v>#VALUE!</v>
      </c>
      <c r="AV217" t="e">
        <f>AND(Bills!O928,"AAAAAG6/mC8=")</f>
        <v>#VALUE!</v>
      </c>
      <c r="AW217" t="e">
        <f>AND(Bills!P928,"AAAAAG6/mDA=")</f>
        <v>#VALUE!</v>
      </c>
      <c r="AX217" t="e">
        <f>AND(Bills!Q928,"AAAAAG6/mDE=")</f>
        <v>#VALUE!</v>
      </c>
      <c r="AY217" t="e">
        <f>AND(Bills!R928,"AAAAAG6/mDI=")</f>
        <v>#VALUE!</v>
      </c>
      <c r="AZ217" t="e">
        <f>AND(Bills!S928,"AAAAAG6/mDM=")</f>
        <v>#VALUE!</v>
      </c>
      <c r="BA217" t="e">
        <f>AND(Bills!T928,"AAAAAG6/mDQ=")</f>
        <v>#VALUE!</v>
      </c>
      <c r="BB217" t="e">
        <f>AND(Bills!#REF!,"AAAAAG6/mDU=")</f>
        <v>#REF!</v>
      </c>
      <c r="BC217" t="e">
        <f>AND(Bills!U928,"AAAAAG6/mDY=")</f>
        <v>#VALUE!</v>
      </c>
      <c r="BD217" t="e">
        <f>AND(Bills!V928,"AAAAAG6/mDc=")</f>
        <v>#VALUE!</v>
      </c>
      <c r="BE217" t="e">
        <f>AND(Bills!W928,"AAAAAG6/mDg=")</f>
        <v>#VALUE!</v>
      </c>
      <c r="BF217" t="e">
        <f>AND(Bills!#REF!,"AAAAAG6/mDk=")</f>
        <v>#REF!</v>
      </c>
      <c r="BG217" t="e">
        <f>AND(Bills!#REF!,"AAAAAG6/mDo=")</f>
        <v>#REF!</v>
      </c>
      <c r="BH217" t="e">
        <f>AND(Bills!Y928,"AAAAAG6/mDs=")</f>
        <v>#VALUE!</v>
      </c>
      <c r="BI217" t="e">
        <f>AND(Bills!Z928,"AAAAAG6/mDw=")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AND(Bills!AA928,"AAAAAG6/mEY=")</f>
        <v>#VALUE!</v>
      </c>
      <c r="BT217" t="e">
        <f>AND(Bills!AB928,"AAAAAG6/mEc=")</f>
        <v>#VALUE!</v>
      </c>
      <c r="BU217" t="e">
        <f>AND(Bills!#REF!,"AAAAAG6/mEg=")</f>
        <v>#REF!</v>
      </c>
      <c r="BV217" t="e">
        <f>AND(Bills!#REF!,"AAAAAG6/mEk=")</f>
        <v>#REF!</v>
      </c>
      <c r="BW217" t="e">
        <f>AND(Bills!#REF!,"AAAAAG6/mEo=")</f>
        <v>#REF!</v>
      </c>
      <c r="BX217" t="e">
        <f>AND(Bills!AC928,"AAAAAG6/mEs=")</f>
        <v>#VALUE!</v>
      </c>
      <c r="BY217" t="e">
        <f>AND(Bills!AD928,"AAAAAG6/mEw=")</f>
        <v>#VALUE!</v>
      </c>
      <c r="BZ217" t="e">
        <f>AND(Bills!#REF!,"AAAAAG6/mE0=")</f>
        <v>#REF!</v>
      </c>
      <c r="CA217">
        <f>IF(Bills!929:929,"AAAAAG6/mE4=",0)</f>
        <v>0</v>
      </c>
      <c r="CB217" t="e">
        <f>AND(Bills!B929,"AAAAAG6/mE8=")</f>
        <v>#VALUE!</v>
      </c>
      <c r="CC217" t="e">
        <f>AND(Bills!#REF!,"AAAAAG6/mFA=")</f>
        <v>#REF!</v>
      </c>
      <c r="CD217" t="e">
        <f>AND(Bills!C929,"AAAAAG6/mFE=")</f>
        <v>#VALUE!</v>
      </c>
      <c r="CE217" t="e">
        <f>AND(Bills!D929,"AAAAAG6/mFI=")</f>
        <v>#VALUE!</v>
      </c>
      <c r="CF217" t="e">
        <f>AND(Bills!E929,"AAAAAG6/mFM=")</f>
        <v>#VALUE!</v>
      </c>
      <c r="CG217" t="e">
        <f>AND(Bills!#REF!,"AAAAAG6/mFQ=")</f>
        <v>#REF!</v>
      </c>
      <c r="CH217" t="e">
        <f>AND(Bills!#REF!,"AAAAAG6/mFU=")</f>
        <v>#REF!</v>
      </c>
      <c r="CI217" t="e">
        <f>AND(Bills!#REF!,"AAAAAG6/mFY=")</f>
        <v>#REF!</v>
      </c>
      <c r="CJ217" t="e">
        <f>AND(Bills!F929,"AAAAAG6/mFc=")</f>
        <v>#VALUE!</v>
      </c>
      <c r="CK217" t="e">
        <f>AND(Bills!#REF!,"AAAAAG6/mFg=")</f>
        <v>#REF!</v>
      </c>
      <c r="CL217" t="e">
        <f>AND(Bills!G929,"AAAAAG6/mFk=")</f>
        <v>#VALUE!</v>
      </c>
      <c r="CM217" t="e">
        <f>AND(Bills!H929,"AAAAAG6/mFo=")</f>
        <v>#VALUE!</v>
      </c>
      <c r="CN217" t="e">
        <f>AND(Bills!I929,"AAAAAG6/mFs=")</f>
        <v>#VALUE!</v>
      </c>
      <c r="CO217" t="e">
        <f>AND(Bills!J929,"AAAAAG6/mFw=")</f>
        <v>#VALUE!</v>
      </c>
      <c r="CP217" t="e">
        <f>AND(Bills!K929,"AAAAAG6/mF0=")</f>
        <v>#VALUE!</v>
      </c>
      <c r="CQ217" t="e">
        <f>AND(Bills!L929,"AAAAAG6/mF4=")</f>
        <v>#VALUE!</v>
      </c>
      <c r="CR217" t="e">
        <f>AND(Bills!#REF!,"AAAAAG6/mF8=")</f>
        <v>#REF!</v>
      </c>
      <c r="CS217" t="e">
        <f>AND(Bills!M929,"AAAAAG6/mGA=")</f>
        <v>#VALUE!</v>
      </c>
      <c r="CT217" t="e">
        <f>AND(Bills!N929,"AAAAAG6/mGE=")</f>
        <v>#VALUE!</v>
      </c>
      <c r="CU217" t="e">
        <f>AND(Bills!O929,"AAAAAG6/mGI=")</f>
        <v>#VALUE!</v>
      </c>
      <c r="CV217" t="e">
        <f>AND(Bills!P929,"AAAAAG6/mGM=")</f>
        <v>#VALUE!</v>
      </c>
      <c r="CW217" t="e">
        <f>AND(Bills!Q929,"AAAAAG6/mGQ=")</f>
        <v>#VALUE!</v>
      </c>
      <c r="CX217" t="e">
        <f>AND(Bills!R929,"AAAAAG6/mGU=")</f>
        <v>#VALUE!</v>
      </c>
      <c r="CY217" t="e">
        <f>AND(Bills!S929,"AAAAAG6/mGY=")</f>
        <v>#VALUE!</v>
      </c>
      <c r="CZ217" t="e">
        <f>AND(Bills!T929,"AAAAAG6/mGc=")</f>
        <v>#VALUE!</v>
      </c>
      <c r="DA217" t="e">
        <f>AND(Bills!#REF!,"AAAAAG6/mGg=")</f>
        <v>#REF!</v>
      </c>
      <c r="DB217" t="e">
        <f>AND(Bills!U929,"AAAAAG6/mGk=")</f>
        <v>#VALUE!</v>
      </c>
      <c r="DC217" t="e">
        <f>AND(Bills!V929,"AAAAAG6/mGo=")</f>
        <v>#VALUE!</v>
      </c>
      <c r="DD217" t="e">
        <f>AND(Bills!W929,"AAAAAG6/mGs=")</f>
        <v>#VALUE!</v>
      </c>
      <c r="DE217" t="e">
        <f>AND(Bills!#REF!,"AAAAAG6/mGw=")</f>
        <v>#REF!</v>
      </c>
      <c r="DF217" t="e">
        <f>AND(Bills!#REF!,"AAAAAG6/mG0=")</f>
        <v>#REF!</v>
      </c>
      <c r="DG217" t="e">
        <f>AND(Bills!Y929,"AAAAAG6/mG4=")</f>
        <v>#VALUE!</v>
      </c>
      <c r="DH217" t="e">
        <f>AND(Bills!Z929,"AAAAAG6/mG8=")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AND(Bills!AA929,"AAAAAG6/mHk=")</f>
        <v>#VALUE!</v>
      </c>
      <c r="DS217" t="e">
        <f>AND(Bills!AB929,"AAAAAG6/mHo=")</f>
        <v>#VALUE!</v>
      </c>
      <c r="DT217" t="e">
        <f>AND(Bills!#REF!,"AAAAAG6/mHs=")</f>
        <v>#REF!</v>
      </c>
      <c r="DU217" t="e">
        <f>AND(Bills!#REF!,"AAAAAG6/mHw=")</f>
        <v>#REF!</v>
      </c>
      <c r="DV217" t="e">
        <f>AND(Bills!#REF!,"AAAAAG6/mH0=")</f>
        <v>#REF!</v>
      </c>
      <c r="DW217" t="e">
        <f>AND(Bills!AC929,"AAAAAG6/mH4=")</f>
        <v>#VALUE!</v>
      </c>
      <c r="DX217" t="e">
        <f>AND(Bills!AD929,"AAAAAG6/mH8=")</f>
        <v>#VALUE!</v>
      </c>
      <c r="DY217" t="e">
        <f>AND(Bills!#REF!,"AAAAAG6/mIA=")</f>
        <v>#REF!</v>
      </c>
      <c r="DZ217">
        <f>IF(Bills!930:930,"AAAAAG6/mIE=",0)</f>
        <v>0</v>
      </c>
      <c r="EA217" t="e">
        <f>AND(Bills!B930,"AAAAAG6/mII=")</f>
        <v>#VALUE!</v>
      </c>
      <c r="EB217" t="e">
        <f>AND(Bills!#REF!,"AAAAAG6/mIM=")</f>
        <v>#REF!</v>
      </c>
      <c r="EC217" t="e">
        <f>AND(Bills!C930,"AAAAAG6/mIQ=")</f>
        <v>#VALUE!</v>
      </c>
      <c r="ED217" t="e">
        <f>AND(Bills!D930,"AAAAAG6/mIU=")</f>
        <v>#VALUE!</v>
      </c>
      <c r="EE217" t="e">
        <f>AND(Bills!E930,"AAAAAG6/mIY=")</f>
        <v>#VALUE!</v>
      </c>
      <c r="EF217" t="e">
        <f>AND(Bills!#REF!,"AAAAAG6/mIc=")</f>
        <v>#REF!</v>
      </c>
      <c r="EG217" t="e">
        <f>AND(Bills!#REF!,"AAAAAG6/mIg=")</f>
        <v>#REF!</v>
      </c>
      <c r="EH217" t="e">
        <f>AND(Bills!#REF!,"AAAAAG6/mIk=")</f>
        <v>#REF!</v>
      </c>
      <c r="EI217" t="e">
        <f>AND(Bills!F930,"AAAAAG6/mIo=")</f>
        <v>#VALUE!</v>
      </c>
      <c r="EJ217" t="e">
        <f>AND(Bills!#REF!,"AAAAAG6/mIs=")</f>
        <v>#REF!</v>
      </c>
      <c r="EK217" t="e">
        <f>AND(Bills!G930,"AAAAAG6/mIw=")</f>
        <v>#VALUE!</v>
      </c>
      <c r="EL217" t="e">
        <f>AND(Bills!H930,"AAAAAG6/mI0=")</f>
        <v>#VALUE!</v>
      </c>
      <c r="EM217" t="e">
        <f>AND(Bills!I930,"AAAAAG6/mI4=")</f>
        <v>#VALUE!</v>
      </c>
      <c r="EN217" t="e">
        <f>AND(Bills!J930,"AAAAAG6/mI8=")</f>
        <v>#VALUE!</v>
      </c>
      <c r="EO217" t="e">
        <f>AND(Bills!K930,"AAAAAG6/mJA=")</f>
        <v>#VALUE!</v>
      </c>
      <c r="EP217" t="e">
        <f>AND(Bills!L930,"AAAAAG6/mJE=")</f>
        <v>#VALUE!</v>
      </c>
      <c r="EQ217" t="e">
        <f>AND(Bills!#REF!,"AAAAAG6/mJI=")</f>
        <v>#REF!</v>
      </c>
      <c r="ER217" t="e">
        <f>AND(Bills!M930,"AAAAAG6/mJM=")</f>
        <v>#VALUE!</v>
      </c>
      <c r="ES217" t="e">
        <f>AND(Bills!N930,"AAAAAG6/mJQ=")</f>
        <v>#VALUE!</v>
      </c>
      <c r="ET217" t="e">
        <f>AND(Bills!O930,"AAAAAG6/mJU=")</f>
        <v>#VALUE!</v>
      </c>
      <c r="EU217" t="e">
        <f>AND(Bills!P930,"AAAAAG6/mJY=")</f>
        <v>#VALUE!</v>
      </c>
      <c r="EV217" t="e">
        <f>AND(Bills!Q930,"AAAAAG6/mJc=")</f>
        <v>#VALUE!</v>
      </c>
      <c r="EW217" t="e">
        <f>AND(Bills!R930,"AAAAAG6/mJg=")</f>
        <v>#VALUE!</v>
      </c>
      <c r="EX217" t="e">
        <f>AND(Bills!S930,"AAAAAG6/mJk=")</f>
        <v>#VALUE!</v>
      </c>
      <c r="EY217" t="e">
        <f>AND(Bills!T930,"AAAAAG6/mJo=")</f>
        <v>#VALUE!</v>
      </c>
      <c r="EZ217" t="e">
        <f>AND(Bills!#REF!,"AAAAAG6/mJs=")</f>
        <v>#REF!</v>
      </c>
      <c r="FA217" t="e">
        <f>AND(Bills!U930,"AAAAAG6/mJw=")</f>
        <v>#VALUE!</v>
      </c>
      <c r="FB217" t="e">
        <f>AND(Bills!V930,"AAAAAG6/mJ0=")</f>
        <v>#VALUE!</v>
      </c>
      <c r="FC217" t="e">
        <f>AND(Bills!W930,"AAAAAG6/mJ4=")</f>
        <v>#VALUE!</v>
      </c>
      <c r="FD217" t="e">
        <f>AND(Bills!#REF!,"AAAAAG6/mJ8=")</f>
        <v>#REF!</v>
      </c>
      <c r="FE217" t="e">
        <f>AND(Bills!#REF!,"AAAAAG6/mKA=")</f>
        <v>#REF!</v>
      </c>
      <c r="FF217" t="e">
        <f>AND(Bills!Y930,"AAAAAG6/mKE=")</f>
        <v>#VALUE!</v>
      </c>
      <c r="FG217" t="e">
        <f>AND(Bills!Z930,"AAAAAG6/mKI=")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AND(Bills!AA930,"AAAAAG6/mKw=")</f>
        <v>#VALUE!</v>
      </c>
      <c r="FR217" t="e">
        <f>AND(Bills!AB930,"AAAAAG6/mK0=")</f>
        <v>#VALUE!</v>
      </c>
      <c r="FS217" t="e">
        <f>AND(Bills!#REF!,"AAAAAG6/mK4=")</f>
        <v>#REF!</v>
      </c>
      <c r="FT217" t="e">
        <f>AND(Bills!#REF!,"AAAAAG6/mK8=")</f>
        <v>#REF!</v>
      </c>
      <c r="FU217" t="e">
        <f>AND(Bills!#REF!,"AAAAAG6/mLA=")</f>
        <v>#REF!</v>
      </c>
      <c r="FV217" t="e">
        <f>AND(Bills!AC930,"AAAAAG6/mLE=")</f>
        <v>#VALUE!</v>
      </c>
      <c r="FW217" t="e">
        <f>AND(Bills!AD930,"AAAAAG6/mLI=")</f>
        <v>#VALUE!</v>
      </c>
      <c r="FX217" t="e">
        <f>AND(Bills!#REF!,"AAAAAG6/mLM=")</f>
        <v>#REF!</v>
      </c>
      <c r="FY217">
        <f>IF(Bills!931:931,"AAAAAG6/mLQ=",0)</f>
        <v>0</v>
      </c>
      <c r="FZ217" t="e">
        <f>AND(Bills!B931,"AAAAAG6/mLU=")</f>
        <v>#VALUE!</v>
      </c>
      <c r="GA217" t="e">
        <f>AND(Bills!#REF!,"AAAAAG6/mLY=")</f>
        <v>#REF!</v>
      </c>
      <c r="GB217" t="e">
        <f>AND(Bills!C931,"AAAAAG6/mLc=")</f>
        <v>#VALUE!</v>
      </c>
      <c r="GC217" t="e">
        <f>AND(Bills!D931,"AAAAAG6/mLg=")</f>
        <v>#VALUE!</v>
      </c>
      <c r="GD217" t="e">
        <f>AND(Bills!E931,"AAAAAG6/mLk=")</f>
        <v>#VALUE!</v>
      </c>
      <c r="GE217" t="e">
        <f>AND(Bills!#REF!,"AAAAAG6/mLo=")</f>
        <v>#REF!</v>
      </c>
      <c r="GF217" t="e">
        <f>AND(Bills!#REF!,"AAAAAG6/mLs=")</f>
        <v>#REF!</v>
      </c>
      <c r="GG217" t="e">
        <f>AND(Bills!#REF!,"AAAAAG6/mLw=")</f>
        <v>#REF!</v>
      </c>
      <c r="GH217" t="e">
        <f>AND(Bills!F931,"AAAAAG6/mL0=")</f>
        <v>#VALUE!</v>
      </c>
      <c r="GI217" t="e">
        <f>AND(Bills!#REF!,"AAAAAG6/mL4=")</f>
        <v>#REF!</v>
      </c>
      <c r="GJ217" t="e">
        <f>AND(Bills!G931,"AAAAAG6/mL8=")</f>
        <v>#VALUE!</v>
      </c>
      <c r="GK217" t="e">
        <f>AND(Bills!H931,"AAAAAG6/mMA=")</f>
        <v>#VALUE!</v>
      </c>
      <c r="GL217" t="e">
        <f>AND(Bills!I931,"AAAAAG6/mME=")</f>
        <v>#VALUE!</v>
      </c>
      <c r="GM217" t="e">
        <f>AND(Bills!J931,"AAAAAG6/mMI=")</f>
        <v>#VALUE!</v>
      </c>
      <c r="GN217" t="e">
        <f>AND(Bills!K931,"AAAAAG6/mMM=")</f>
        <v>#VALUE!</v>
      </c>
      <c r="GO217" t="e">
        <f>AND(Bills!L931,"AAAAAG6/mMQ=")</f>
        <v>#VALUE!</v>
      </c>
      <c r="GP217" t="e">
        <f>AND(Bills!#REF!,"AAAAAG6/mMU=")</f>
        <v>#REF!</v>
      </c>
      <c r="GQ217" t="e">
        <f>AND(Bills!M931,"AAAAAG6/mMY=")</f>
        <v>#VALUE!</v>
      </c>
      <c r="GR217" t="e">
        <f>AND(Bills!N931,"AAAAAG6/mMc=")</f>
        <v>#VALUE!</v>
      </c>
      <c r="GS217" t="e">
        <f>AND(Bills!O931,"AAAAAG6/mMg=")</f>
        <v>#VALUE!</v>
      </c>
      <c r="GT217" t="e">
        <f>AND(Bills!P931,"AAAAAG6/mMk=")</f>
        <v>#VALUE!</v>
      </c>
      <c r="GU217" t="e">
        <f>AND(Bills!Q931,"AAAAAG6/mMo=")</f>
        <v>#VALUE!</v>
      </c>
      <c r="GV217" t="e">
        <f>AND(Bills!R931,"AAAAAG6/mMs=")</f>
        <v>#VALUE!</v>
      </c>
      <c r="GW217" t="e">
        <f>AND(Bills!S931,"AAAAAG6/mMw=")</f>
        <v>#VALUE!</v>
      </c>
      <c r="GX217" t="e">
        <f>AND(Bills!T931,"AAAAAG6/mM0=")</f>
        <v>#VALUE!</v>
      </c>
      <c r="GY217" t="e">
        <f>AND(Bills!#REF!,"AAAAAG6/mM4=")</f>
        <v>#REF!</v>
      </c>
      <c r="GZ217" t="e">
        <f>AND(Bills!U931,"AAAAAG6/mM8=")</f>
        <v>#VALUE!</v>
      </c>
      <c r="HA217" t="e">
        <f>AND(Bills!V931,"AAAAAG6/mNA=")</f>
        <v>#VALUE!</v>
      </c>
      <c r="HB217" t="e">
        <f>AND(Bills!W931,"AAAAAG6/mNE=")</f>
        <v>#VALUE!</v>
      </c>
      <c r="HC217" t="e">
        <f>AND(Bills!#REF!,"AAAAAG6/mNI=")</f>
        <v>#REF!</v>
      </c>
      <c r="HD217" t="e">
        <f>AND(Bills!#REF!,"AAAAAG6/mNM=")</f>
        <v>#REF!</v>
      </c>
      <c r="HE217" t="e">
        <f>AND(Bills!Y931,"AAAAAG6/mNQ=")</f>
        <v>#VALUE!</v>
      </c>
      <c r="HF217" t="e">
        <f>AND(Bills!Z931,"AAAAAG6/mNU=")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AND(Bills!AA931,"AAAAAG6/mN8=")</f>
        <v>#VALUE!</v>
      </c>
      <c r="HQ217" t="e">
        <f>AND(Bills!AB931,"AAAAAG6/mOA=")</f>
        <v>#VALUE!</v>
      </c>
      <c r="HR217" t="e">
        <f>AND(Bills!#REF!,"AAAAAG6/mOE=")</f>
        <v>#REF!</v>
      </c>
      <c r="HS217" t="e">
        <f>AND(Bills!#REF!,"AAAAAG6/mOI=")</f>
        <v>#REF!</v>
      </c>
      <c r="HT217" t="e">
        <f>AND(Bills!#REF!,"AAAAAG6/mOM=")</f>
        <v>#REF!</v>
      </c>
      <c r="HU217" t="e">
        <f>AND(Bills!AC931,"AAAAAG6/mOQ=")</f>
        <v>#VALUE!</v>
      </c>
      <c r="HV217" t="e">
        <f>AND(Bills!AD931,"AAAAAG6/mOU=")</f>
        <v>#VALUE!</v>
      </c>
      <c r="HW217" t="e">
        <f>AND(Bills!#REF!,"AAAAAG6/mOY=")</f>
        <v>#REF!</v>
      </c>
      <c r="HX217">
        <f>IF(Bills!932:932,"AAAAAG6/mOc=",0)</f>
        <v>0</v>
      </c>
      <c r="HY217" t="e">
        <f>AND(Bills!B932,"AAAAAG6/mOg=")</f>
        <v>#VALUE!</v>
      </c>
      <c r="HZ217" t="e">
        <f>AND(Bills!#REF!,"AAAAAG6/mOk=")</f>
        <v>#REF!</v>
      </c>
      <c r="IA217" t="e">
        <f>AND(Bills!C932,"AAAAAG6/mOo=")</f>
        <v>#VALUE!</v>
      </c>
      <c r="IB217" t="e">
        <f>AND(Bills!D932,"AAAAAG6/mOs=")</f>
        <v>#VALUE!</v>
      </c>
      <c r="IC217" t="e">
        <f>AND(Bills!E932,"AAAAAG6/mOw=")</f>
        <v>#VALUE!</v>
      </c>
      <c r="ID217" t="e">
        <f>AND(Bills!#REF!,"AAAAAG6/mO0=")</f>
        <v>#REF!</v>
      </c>
      <c r="IE217" t="e">
        <f>AND(Bills!#REF!,"AAAAAG6/mO4=")</f>
        <v>#REF!</v>
      </c>
      <c r="IF217" t="e">
        <f>AND(Bills!#REF!,"AAAAAG6/mO8=")</f>
        <v>#REF!</v>
      </c>
      <c r="IG217" t="e">
        <f>AND(Bills!F932,"AAAAAG6/mPA=")</f>
        <v>#VALUE!</v>
      </c>
      <c r="IH217" t="e">
        <f>AND(Bills!#REF!,"AAAAAG6/mPE=")</f>
        <v>#REF!</v>
      </c>
      <c r="II217" t="e">
        <f>AND(Bills!G932,"AAAAAG6/mPI=")</f>
        <v>#VALUE!</v>
      </c>
      <c r="IJ217" t="e">
        <f>AND(Bills!H932,"AAAAAG6/mPM=")</f>
        <v>#VALUE!</v>
      </c>
      <c r="IK217" t="e">
        <f>AND(Bills!I932,"AAAAAG6/mPQ=")</f>
        <v>#VALUE!</v>
      </c>
      <c r="IL217" t="e">
        <f>AND(Bills!J932,"AAAAAG6/mPU=")</f>
        <v>#VALUE!</v>
      </c>
      <c r="IM217" t="e">
        <f>AND(Bills!K932,"AAAAAG6/mPY=")</f>
        <v>#VALUE!</v>
      </c>
      <c r="IN217" t="e">
        <f>AND(Bills!L932,"AAAAAG6/mPc=")</f>
        <v>#VALUE!</v>
      </c>
      <c r="IO217" t="e">
        <f>AND(Bills!#REF!,"AAAAAG6/mPg=")</f>
        <v>#REF!</v>
      </c>
      <c r="IP217" t="e">
        <f>AND(Bills!M932,"AAAAAG6/mPk=")</f>
        <v>#VALUE!</v>
      </c>
      <c r="IQ217" t="e">
        <f>AND(Bills!N932,"AAAAAG6/mPo=")</f>
        <v>#VALUE!</v>
      </c>
      <c r="IR217" t="e">
        <f>AND(Bills!O932,"AAAAAG6/mPs=")</f>
        <v>#VALUE!</v>
      </c>
      <c r="IS217" t="e">
        <f>AND(Bills!P932,"AAAAAG6/mPw=")</f>
        <v>#VALUE!</v>
      </c>
      <c r="IT217" t="e">
        <f>AND(Bills!Q932,"AAAAAG6/mP0=")</f>
        <v>#VALUE!</v>
      </c>
      <c r="IU217" t="e">
        <f>AND(Bills!R932,"AAAAAG6/mP4=")</f>
        <v>#VALUE!</v>
      </c>
      <c r="IV217" t="e">
        <f>AND(Bills!S932,"AAAAAG6/mP8=")</f>
        <v>#VALUE!</v>
      </c>
    </row>
    <row r="218" spans="1:256">
      <c r="A218" t="e">
        <f>AND(Bills!T932,"AAAAAG3/8wA=")</f>
        <v>#VALUE!</v>
      </c>
      <c r="B218" t="e">
        <f>AND(Bills!#REF!,"AAAAAG3/8wE=")</f>
        <v>#REF!</v>
      </c>
      <c r="C218" t="e">
        <f>AND(Bills!U932,"AAAAAG3/8wI=")</f>
        <v>#VALUE!</v>
      </c>
      <c r="D218" t="e">
        <f>AND(Bills!V932,"AAAAAG3/8wM=")</f>
        <v>#VALUE!</v>
      </c>
      <c r="E218" t="e">
        <f>AND(Bills!W932,"AAAAAG3/8wQ=")</f>
        <v>#VALUE!</v>
      </c>
      <c r="F218" t="e">
        <f>AND(Bills!#REF!,"AAAAAG3/8wU=")</f>
        <v>#REF!</v>
      </c>
      <c r="G218" t="e">
        <f>AND(Bills!#REF!,"AAAAAG3/8wY=")</f>
        <v>#REF!</v>
      </c>
      <c r="H218" t="e">
        <f>AND(Bills!Y932,"AAAAAG3/8wc=")</f>
        <v>#VALUE!</v>
      </c>
      <c r="I218" t="e">
        <f>AND(Bills!Z932,"AAAAAG3/8wg=")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AND(Bills!AA932,"AAAAAG3/8xI=")</f>
        <v>#VALUE!</v>
      </c>
      <c r="T218" t="e">
        <f>AND(Bills!AB932,"AAAAAG3/8xM=")</f>
        <v>#VALUE!</v>
      </c>
      <c r="U218" t="e">
        <f>AND(Bills!#REF!,"AAAAAG3/8xQ=")</f>
        <v>#REF!</v>
      </c>
      <c r="V218" t="e">
        <f>AND(Bills!#REF!,"AAAAAG3/8xU=")</f>
        <v>#REF!</v>
      </c>
      <c r="W218" t="e">
        <f>AND(Bills!#REF!,"AAAAAG3/8xY=")</f>
        <v>#REF!</v>
      </c>
      <c r="X218" t="e">
        <f>AND(Bills!AC932,"AAAAAG3/8xc=")</f>
        <v>#VALUE!</v>
      </c>
      <c r="Y218" t="e">
        <f>AND(Bills!AD932,"AAAAAG3/8xg=")</f>
        <v>#VALUE!</v>
      </c>
      <c r="Z218" t="e">
        <f>AND(Bills!#REF!,"AAAAAG3/8xk=")</f>
        <v>#REF!</v>
      </c>
      <c r="AA218">
        <f>IF(Bills!933:933,"AAAAAG3/8xo=",0)</f>
        <v>0</v>
      </c>
      <c r="AB218" t="e">
        <f>AND(Bills!B933,"AAAAAG3/8xs=")</f>
        <v>#VALUE!</v>
      </c>
      <c r="AC218" t="e">
        <f>AND(Bills!#REF!,"AAAAAG3/8xw=")</f>
        <v>#REF!</v>
      </c>
      <c r="AD218" t="e">
        <f>AND(Bills!C933,"AAAAAG3/8x0=")</f>
        <v>#VALUE!</v>
      </c>
      <c r="AE218" t="e">
        <f>AND(Bills!D933,"AAAAAG3/8x4=")</f>
        <v>#VALUE!</v>
      </c>
      <c r="AF218" t="e">
        <f>AND(Bills!E933,"AAAAAG3/8x8=")</f>
        <v>#VALUE!</v>
      </c>
      <c r="AG218" t="e">
        <f>AND(Bills!#REF!,"AAAAAG3/8yA=")</f>
        <v>#REF!</v>
      </c>
      <c r="AH218" t="e">
        <f>AND(Bills!#REF!,"AAAAAG3/8yE=")</f>
        <v>#REF!</v>
      </c>
      <c r="AI218" t="e">
        <f>AND(Bills!#REF!,"AAAAAG3/8yI=")</f>
        <v>#REF!</v>
      </c>
      <c r="AJ218" t="e">
        <f>AND(Bills!F933,"AAAAAG3/8yM=")</f>
        <v>#VALUE!</v>
      </c>
      <c r="AK218" t="e">
        <f>AND(Bills!#REF!,"AAAAAG3/8yQ=")</f>
        <v>#REF!</v>
      </c>
      <c r="AL218" t="e">
        <f>AND(Bills!G933,"AAAAAG3/8yU=")</f>
        <v>#VALUE!</v>
      </c>
      <c r="AM218" t="e">
        <f>AND(Bills!H933,"AAAAAG3/8yY=")</f>
        <v>#VALUE!</v>
      </c>
      <c r="AN218" t="e">
        <f>AND(Bills!I933,"AAAAAG3/8yc=")</f>
        <v>#VALUE!</v>
      </c>
      <c r="AO218" t="e">
        <f>AND(Bills!J933,"AAAAAG3/8yg=")</f>
        <v>#VALUE!</v>
      </c>
      <c r="AP218" t="e">
        <f>AND(Bills!K933,"AAAAAG3/8yk=")</f>
        <v>#VALUE!</v>
      </c>
      <c r="AQ218" t="e">
        <f>AND(Bills!L933,"AAAAAG3/8yo=")</f>
        <v>#VALUE!</v>
      </c>
      <c r="AR218" t="e">
        <f>AND(Bills!#REF!,"AAAAAG3/8ys=")</f>
        <v>#REF!</v>
      </c>
      <c r="AS218" t="e">
        <f>AND(Bills!M933,"AAAAAG3/8yw=")</f>
        <v>#VALUE!</v>
      </c>
      <c r="AT218" t="e">
        <f>AND(Bills!N933,"AAAAAG3/8y0=")</f>
        <v>#VALUE!</v>
      </c>
      <c r="AU218" t="e">
        <f>AND(Bills!O933,"AAAAAG3/8y4=")</f>
        <v>#VALUE!</v>
      </c>
      <c r="AV218" t="e">
        <f>AND(Bills!P933,"AAAAAG3/8y8=")</f>
        <v>#VALUE!</v>
      </c>
      <c r="AW218" t="e">
        <f>AND(Bills!Q933,"AAAAAG3/8zA=")</f>
        <v>#VALUE!</v>
      </c>
      <c r="AX218" t="e">
        <f>AND(Bills!R933,"AAAAAG3/8zE=")</f>
        <v>#VALUE!</v>
      </c>
      <c r="AY218" t="e">
        <f>AND(Bills!S933,"AAAAAG3/8zI=")</f>
        <v>#VALUE!</v>
      </c>
      <c r="AZ218" t="e">
        <f>AND(Bills!T933,"AAAAAG3/8zM=")</f>
        <v>#VALUE!</v>
      </c>
      <c r="BA218" t="e">
        <f>AND(Bills!#REF!,"AAAAAG3/8zQ=")</f>
        <v>#REF!</v>
      </c>
      <c r="BB218" t="e">
        <f>AND(Bills!U933,"AAAAAG3/8zU=")</f>
        <v>#VALUE!</v>
      </c>
      <c r="BC218" t="e">
        <f>AND(Bills!V933,"AAAAAG3/8zY=")</f>
        <v>#VALUE!</v>
      </c>
      <c r="BD218" t="e">
        <f>AND(Bills!W933,"AAAAAG3/8zc=")</f>
        <v>#VALUE!</v>
      </c>
      <c r="BE218" t="e">
        <f>AND(Bills!#REF!,"AAAAAG3/8zg=")</f>
        <v>#REF!</v>
      </c>
      <c r="BF218" t="e">
        <f>AND(Bills!#REF!,"AAAAAG3/8zk=")</f>
        <v>#REF!</v>
      </c>
      <c r="BG218" t="e">
        <f>AND(Bills!Y933,"AAAAAG3/8zo=")</f>
        <v>#VALUE!</v>
      </c>
      <c r="BH218" t="e">
        <f>AND(Bills!Z933,"AAAAAG3/8zs=")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AND(Bills!AA933,"AAAAAG3/80U=")</f>
        <v>#VALUE!</v>
      </c>
      <c r="BS218" t="e">
        <f>AND(Bills!AB933,"AAAAAG3/80Y=")</f>
        <v>#VALUE!</v>
      </c>
      <c r="BT218" t="e">
        <f>AND(Bills!#REF!,"AAAAAG3/80c=")</f>
        <v>#REF!</v>
      </c>
      <c r="BU218" t="e">
        <f>AND(Bills!#REF!,"AAAAAG3/80g=")</f>
        <v>#REF!</v>
      </c>
      <c r="BV218" t="e">
        <f>AND(Bills!#REF!,"AAAAAG3/80k=")</f>
        <v>#REF!</v>
      </c>
      <c r="BW218" t="e">
        <f>AND(Bills!AC933,"AAAAAG3/80o=")</f>
        <v>#VALUE!</v>
      </c>
      <c r="BX218" t="e">
        <f>AND(Bills!AD933,"AAAAAG3/80s=")</f>
        <v>#VALUE!</v>
      </c>
      <c r="BY218" t="e">
        <f>AND(Bills!#REF!,"AAAAAG3/80w=")</f>
        <v>#REF!</v>
      </c>
      <c r="BZ218">
        <f>IF(Bills!934:934,"AAAAAG3/800=",0)</f>
        <v>0</v>
      </c>
      <c r="CA218" t="e">
        <f>AND(Bills!B934,"AAAAAG3/804=")</f>
        <v>#VALUE!</v>
      </c>
      <c r="CB218" t="e">
        <f>AND(Bills!#REF!,"AAAAAG3/808=")</f>
        <v>#REF!</v>
      </c>
      <c r="CC218" t="e">
        <f>AND(Bills!C934,"AAAAAG3/81A=")</f>
        <v>#VALUE!</v>
      </c>
      <c r="CD218" t="e">
        <f>AND(Bills!D934,"AAAAAG3/81E=")</f>
        <v>#VALUE!</v>
      </c>
      <c r="CE218" t="e">
        <f>AND(Bills!E934,"AAAAAG3/81I=")</f>
        <v>#VALUE!</v>
      </c>
      <c r="CF218" t="e">
        <f>AND(Bills!#REF!,"AAAAAG3/81M=")</f>
        <v>#REF!</v>
      </c>
      <c r="CG218" t="e">
        <f>AND(Bills!#REF!,"AAAAAG3/81Q=")</f>
        <v>#REF!</v>
      </c>
      <c r="CH218" t="e">
        <f>AND(Bills!#REF!,"AAAAAG3/81U=")</f>
        <v>#REF!</v>
      </c>
      <c r="CI218" t="e">
        <f>AND(Bills!F934,"AAAAAG3/81Y=")</f>
        <v>#VALUE!</v>
      </c>
      <c r="CJ218" t="e">
        <f>AND(Bills!#REF!,"AAAAAG3/81c=")</f>
        <v>#REF!</v>
      </c>
      <c r="CK218" t="e">
        <f>AND(Bills!G934,"AAAAAG3/81g=")</f>
        <v>#VALUE!</v>
      </c>
      <c r="CL218" t="e">
        <f>AND(Bills!H934,"AAAAAG3/81k=")</f>
        <v>#VALUE!</v>
      </c>
      <c r="CM218" t="e">
        <f>AND(Bills!I934,"AAAAAG3/81o=")</f>
        <v>#VALUE!</v>
      </c>
      <c r="CN218" t="e">
        <f>AND(Bills!J934,"AAAAAG3/81s=")</f>
        <v>#VALUE!</v>
      </c>
      <c r="CO218" t="e">
        <f>AND(Bills!K934,"AAAAAG3/81w=")</f>
        <v>#VALUE!</v>
      </c>
      <c r="CP218" t="e">
        <f>AND(Bills!L934,"AAAAAG3/810=")</f>
        <v>#VALUE!</v>
      </c>
      <c r="CQ218" t="e">
        <f>AND(Bills!#REF!,"AAAAAG3/814=")</f>
        <v>#REF!</v>
      </c>
      <c r="CR218" t="e">
        <f>AND(Bills!M934,"AAAAAG3/818=")</f>
        <v>#VALUE!</v>
      </c>
      <c r="CS218" t="e">
        <f>AND(Bills!N934,"AAAAAG3/82A=")</f>
        <v>#VALUE!</v>
      </c>
      <c r="CT218" t="e">
        <f>AND(Bills!O934,"AAAAAG3/82E=")</f>
        <v>#VALUE!</v>
      </c>
      <c r="CU218" t="e">
        <f>AND(Bills!P934,"AAAAAG3/82I=")</f>
        <v>#VALUE!</v>
      </c>
      <c r="CV218" t="e">
        <f>AND(Bills!Q934,"AAAAAG3/82M=")</f>
        <v>#VALUE!</v>
      </c>
      <c r="CW218" t="e">
        <f>AND(Bills!R934,"AAAAAG3/82Q=")</f>
        <v>#VALUE!</v>
      </c>
      <c r="CX218" t="e">
        <f>AND(Bills!S934,"AAAAAG3/82U=")</f>
        <v>#VALUE!</v>
      </c>
      <c r="CY218" t="e">
        <f>AND(Bills!T934,"AAAAAG3/82Y=")</f>
        <v>#VALUE!</v>
      </c>
      <c r="CZ218" t="e">
        <f>AND(Bills!#REF!,"AAAAAG3/82c=")</f>
        <v>#REF!</v>
      </c>
      <c r="DA218" t="e">
        <f>AND(Bills!U934,"AAAAAG3/82g=")</f>
        <v>#VALUE!</v>
      </c>
      <c r="DB218" t="e">
        <f>AND(Bills!V934,"AAAAAG3/82k=")</f>
        <v>#VALUE!</v>
      </c>
      <c r="DC218" t="e">
        <f>AND(Bills!W934,"AAAAAG3/82o=")</f>
        <v>#VALUE!</v>
      </c>
      <c r="DD218" t="e">
        <f>AND(Bills!#REF!,"AAAAAG3/82s=")</f>
        <v>#REF!</v>
      </c>
      <c r="DE218" t="e">
        <f>AND(Bills!#REF!,"AAAAAG3/82w=")</f>
        <v>#REF!</v>
      </c>
      <c r="DF218" t="e">
        <f>AND(Bills!Y934,"AAAAAG3/820=")</f>
        <v>#VALUE!</v>
      </c>
      <c r="DG218" t="e">
        <f>AND(Bills!Z934,"AAAAAG3/824=")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AND(Bills!AA934,"AAAAAG3/83g=")</f>
        <v>#VALUE!</v>
      </c>
      <c r="DR218" t="e">
        <f>AND(Bills!AB934,"AAAAAG3/83k=")</f>
        <v>#VALUE!</v>
      </c>
      <c r="DS218" t="e">
        <f>AND(Bills!#REF!,"AAAAAG3/83o=")</f>
        <v>#REF!</v>
      </c>
      <c r="DT218" t="e">
        <f>AND(Bills!#REF!,"AAAAAG3/83s=")</f>
        <v>#REF!</v>
      </c>
      <c r="DU218" t="e">
        <f>AND(Bills!#REF!,"AAAAAG3/83w=")</f>
        <v>#REF!</v>
      </c>
      <c r="DV218" t="e">
        <f>AND(Bills!AC934,"AAAAAG3/830=")</f>
        <v>#VALUE!</v>
      </c>
      <c r="DW218" t="e">
        <f>AND(Bills!AD934,"AAAAAG3/834=")</f>
        <v>#VALUE!</v>
      </c>
      <c r="DX218" t="e">
        <f>AND(Bills!#REF!,"AAAAAG3/838=")</f>
        <v>#REF!</v>
      </c>
      <c r="DY218">
        <f>IF(Bills!935:935,"AAAAAG3/84A=",0)</f>
        <v>0</v>
      </c>
      <c r="DZ218" t="e">
        <f>AND(Bills!B935,"AAAAAG3/84E=")</f>
        <v>#VALUE!</v>
      </c>
      <c r="EA218" t="e">
        <f>AND(Bills!#REF!,"AAAAAG3/84I=")</f>
        <v>#REF!</v>
      </c>
      <c r="EB218" t="e">
        <f>AND(Bills!C935,"AAAAAG3/84M=")</f>
        <v>#VALUE!</v>
      </c>
      <c r="EC218" t="e">
        <f>AND(Bills!D935,"AAAAAG3/84Q=")</f>
        <v>#VALUE!</v>
      </c>
      <c r="ED218" t="e">
        <f>AND(Bills!E935,"AAAAAG3/84U=")</f>
        <v>#VALUE!</v>
      </c>
      <c r="EE218" t="e">
        <f>AND(Bills!#REF!,"AAAAAG3/84Y=")</f>
        <v>#REF!</v>
      </c>
      <c r="EF218" t="e">
        <f>AND(Bills!#REF!,"AAAAAG3/84c=")</f>
        <v>#REF!</v>
      </c>
      <c r="EG218" t="e">
        <f>AND(Bills!#REF!,"AAAAAG3/84g=")</f>
        <v>#REF!</v>
      </c>
      <c r="EH218" t="e">
        <f>AND(Bills!F935,"AAAAAG3/84k=")</f>
        <v>#VALUE!</v>
      </c>
      <c r="EI218" t="e">
        <f>AND(Bills!#REF!,"AAAAAG3/84o=")</f>
        <v>#REF!</v>
      </c>
      <c r="EJ218" t="e">
        <f>AND(Bills!G935,"AAAAAG3/84s=")</f>
        <v>#VALUE!</v>
      </c>
      <c r="EK218" t="e">
        <f>AND(Bills!H935,"AAAAAG3/84w=")</f>
        <v>#VALUE!</v>
      </c>
      <c r="EL218" t="e">
        <f>AND(Bills!I935,"AAAAAG3/840=")</f>
        <v>#VALUE!</v>
      </c>
      <c r="EM218" t="e">
        <f>AND(Bills!J935,"AAAAAG3/844=")</f>
        <v>#VALUE!</v>
      </c>
      <c r="EN218" t="e">
        <f>AND(Bills!K935,"AAAAAG3/848=")</f>
        <v>#VALUE!</v>
      </c>
      <c r="EO218" t="e">
        <f>AND(Bills!L935,"AAAAAG3/85A=")</f>
        <v>#VALUE!</v>
      </c>
      <c r="EP218" t="e">
        <f>AND(Bills!#REF!,"AAAAAG3/85E=")</f>
        <v>#REF!</v>
      </c>
      <c r="EQ218" t="e">
        <f>AND(Bills!M935,"AAAAAG3/85I=")</f>
        <v>#VALUE!</v>
      </c>
      <c r="ER218" t="e">
        <f>AND(Bills!N935,"AAAAAG3/85M=")</f>
        <v>#VALUE!</v>
      </c>
      <c r="ES218" t="e">
        <f>AND(Bills!O935,"AAAAAG3/85Q=")</f>
        <v>#VALUE!</v>
      </c>
      <c r="ET218" t="e">
        <f>AND(Bills!P935,"AAAAAG3/85U=")</f>
        <v>#VALUE!</v>
      </c>
      <c r="EU218" t="e">
        <f>AND(Bills!Q935,"AAAAAG3/85Y=")</f>
        <v>#VALUE!</v>
      </c>
      <c r="EV218" t="e">
        <f>AND(Bills!R935,"AAAAAG3/85c=")</f>
        <v>#VALUE!</v>
      </c>
      <c r="EW218" t="e">
        <f>AND(Bills!S935,"AAAAAG3/85g=")</f>
        <v>#VALUE!</v>
      </c>
      <c r="EX218" t="e">
        <f>AND(Bills!T935,"AAAAAG3/85k=")</f>
        <v>#VALUE!</v>
      </c>
      <c r="EY218" t="e">
        <f>AND(Bills!#REF!,"AAAAAG3/85o=")</f>
        <v>#REF!</v>
      </c>
      <c r="EZ218" t="e">
        <f>AND(Bills!U935,"AAAAAG3/85s=")</f>
        <v>#VALUE!</v>
      </c>
      <c r="FA218" t="e">
        <f>AND(Bills!V935,"AAAAAG3/85w=")</f>
        <v>#VALUE!</v>
      </c>
      <c r="FB218" t="e">
        <f>AND(Bills!W935,"AAAAAG3/850=")</f>
        <v>#VALUE!</v>
      </c>
      <c r="FC218" t="e">
        <f>AND(Bills!#REF!,"AAAAAG3/854=")</f>
        <v>#REF!</v>
      </c>
      <c r="FD218" t="e">
        <f>AND(Bills!#REF!,"AAAAAG3/858=")</f>
        <v>#REF!</v>
      </c>
      <c r="FE218" t="e">
        <f>AND(Bills!Y935,"AAAAAG3/86A=")</f>
        <v>#VALUE!</v>
      </c>
      <c r="FF218" t="e">
        <f>AND(Bills!Z935,"AAAAAG3/86E=")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AND(Bills!AA935,"AAAAAG3/86s=")</f>
        <v>#VALUE!</v>
      </c>
      <c r="FQ218" t="e">
        <f>AND(Bills!AB935,"AAAAAG3/86w=")</f>
        <v>#VALUE!</v>
      </c>
      <c r="FR218" t="e">
        <f>AND(Bills!#REF!,"AAAAAG3/860=")</f>
        <v>#REF!</v>
      </c>
      <c r="FS218" t="e">
        <f>AND(Bills!#REF!,"AAAAAG3/864=")</f>
        <v>#REF!</v>
      </c>
      <c r="FT218" t="e">
        <f>AND(Bills!#REF!,"AAAAAG3/868=")</f>
        <v>#REF!</v>
      </c>
      <c r="FU218" t="e">
        <f>AND(Bills!AC935,"AAAAAG3/87A=")</f>
        <v>#VALUE!</v>
      </c>
      <c r="FV218" t="e">
        <f>AND(Bills!AD935,"AAAAAG3/87E=")</f>
        <v>#VALUE!</v>
      </c>
      <c r="FW218" t="e">
        <f>AND(Bills!#REF!,"AAAAAG3/87I=")</f>
        <v>#REF!</v>
      </c>
      <c r="FX218">
        <f>IF(Bills!936:936,"AAAAAG3/87M=",0)</f>
        <v>0</v>
      </c>
      <c r="FY218" t="e">
        <f>AND(Bills!B936,"AAAAAG3/87Q=")</f>
        <v>#VALUE!</v>
      </c>
      <c r="FZ218" t="e">
        <f>AND(Bills!#REF!,"AAAAAG3/87U=")</f>
        <v>#REF!</v>
      </c>
      <c r="GA218" t="e">
        <f>AND(Bills!C936,"AAAAAG3/87Y=")</f>
        <v>#VALUE!</v>
      </c>
      <c r="GB218" t="e">
        <f>AND(Bills!D936,"AAAAAG3/87c=")</f>
        <v>#VALUE!</v>
      </c>
      <c r="GC218" t="e">
        <f>AND(Bills!E936,"AAAAAG3/87g=")</f>
        <v>#VALUE!</v>
      </c>
      <c r="GD218" t="e">
        <f>AND(Bills!#REF!,"AAAAAG3/87k=")</f>
        <v>#REF!</v>
      </c>
      <c r="GE218" t="e">
        <f>AND(Bills!#REF!,"AAAAAG3/87o=")</f>
        <v>#REF!</v>
      </c>
      <c r="GF218" t="e">
        <f>AND(Bills!#REF!,"AAAAAG3/87s=")</f>
        <v>#REF!</v>
      </c>
      <c r="GG218" t="e">
        <f>AND(Bills!F936,"AAAAAG3/87w=")</f>
        <v>#VALUE!</v>
      </c>
      <c r="GH218" t="e">
        <f>AND(Bills!#REF!,"AAAAAG3/870=")</f>
        <v>#REF!</v>
      </c>
      <c r="GI218" t="e">
        <f>AND(Bills!G936,"AAAAAG3/874=")</f>
        <v>#VALUE!</v>
      </c>
      <c r="GJ218" t="e">
        <f>AND(Bills!H936,"AAAAAG3/878=")</f>
        <v>#VALUE!</v>
      </c>
      <c r="GK218" t="e">
        <f>AND(Bills!I936,"AAAAAG3/88A=")</f>
        <v>#VALUE!</v>
      </c>
      <c r="GL218" t="e">
        <f>AND(Bills!J936,"AAAAAG3/88E=")</f>
        <v>#VALUE!</v>
      </c>
      <c r="GM218" t="e">
        <f>AND(Bills!K936,"AAAAAG3/88I=")</f>
        <v>#VALUE!</v>
      </c>
      <c r="GN218" t="e">
        <f>AND(Bills!L936,"AAAAAG3/88M=")</f>
        <v>#VALUE!</v>
      </c>
      <c r="GO218" t="e">
        <f>AND(Bills!#REF!,"AAAAAG3/88Q=")</f>
        <v>#REF!</v>
      </c>
      <c r="GP218" t="e">
        <f>AND(Bills!M936,"AAAAAG3/88U=")</f>
        <v>#VALUE!</v>
      </c>
      <c r="GQ218" t="e">
        <f>AND(Bills!N936,"AAAAAG3/88Y=")</f>
        <v>#VALUE!</v>
      </c>
      <c r="GR218" t="e">
        <f>AND(Bills!O936,"AAAAAG3/88c=")</f>
        <v>#VALUE!</v>
      </c>
      <c r="GS218" t="e">
        <f>AND(Bills!P936,"AAAAAG3/88g=")</f>
        <v>#VALUE!</v>
      </c>
      <c r="GT218" t="e">
        <f>AND(Bills!Q936,"AAAAAG3/88k=")</f>
        <v>#VALUE!</v>
      </c>
      <c r="GU218" t="e">
        <f>AND(Bills!R936,"AAAAAG3/88o=")</f>
        <v>#VALUE!</v>
      </c>
      <c r="GV218" t="e">
        <f>AND(Bills!S936,"AAAAAG3/88s=")</f>
        <v>#VALUE!</v>
      </c>
      <c r="GW218" t="e">
        <f>AND(Bills!T936,"AAAAAG3/88w=")</f>
        <v>#VALUE!</v>
      </c>
      <c r="GX218" t="e">
        <f>AND(Bills!#REF!,"AAAAAG3/880=")</f>
        <v>#REF!</v>
      </c>
      <c r="GY218" t="e">
        <f>AND(Bills!U936,"AAAAAG3/884=")</f>
        <v>#VALUE!</v>
      </c>
      <c r="GZ218" t="e">
        <f>AND(Bills!V936,"AAAAAG3/888=")</f>
        <v>#VALUE!</v>
      </c>
      <c r="HA218" t="e">
        <f>AND(Bills!W936,"AAAAAG3/89A=")</f>
        <v>#VALUE!</v>
      </c>
      <c r="HB218" t="e">
        <f>AND(Bills!#REF!,"AAAAAG3/89E=")</f>
        <v>#REF!</v>
      </c>
      <c r="HC218" t="e">
        <f>AND(Bills!#REF!,"AAAAAG3/89I=")</f>
        <v>#REF!</v>
      </c>
      <c r="HD218" t="e">
        <f>AND(Bills!Y936,"AAAAAG3/89M=")</f>
        <v>#VALUE!</v>
      </c>
      <c r="HE218" t="e">
        <f>AND(Bills!Z936,"AAAAAG3/89Q=")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AND(Bills!AA936,"AAAAAG3/894=")</f>
        <v>#VALUE!</v>
      </c>
      <c r="HP218" t="e">
        <f>AND(Bills!AB936,"AAAAAG3/898=")</f>
        <v>#VALUE!</v>
      </c>
      <c r="HQ218" t="e">
        <f>AND(Bills!#REF!,"AAAAAG3/8+A=")</f>
        <v>#REF!</v>
      </c>
      <c r="HR218" t="e">
        <f>AND(Bills!#REF!,"AAAAAG3/8+E=")</f>
        <v>#REF!</v>
      </c>
      <c r="HS218" t="e">
        <f>AND(Bills!#REF!,"AAAAAG3/8+I=")</f>
        <v>#REF!</v>
      </c>
      <c r="HT218" t="e">
        <f>AND(Bills!AC936,"AAAAAG3/8+M=")</f>
        <v>#VALUE!</v>
      </c>
      <c r="HU218" t="e">
        <f>AND(Bills!AD936,"AAAAAG3/8+Q=")</f>
        <v>#VALUE!</v>
      </c>
      <c r="HV218" t="e">
        <f>AND(Bills!#REF!,"AAAAAG3/8+U=")</f>
        <v>#REF!</v>
      </c>
      <c r="HW218">
        <f>IF(Bills!937:937,"AAAAAG3/8+Y=",0)</f>
        <v>0</v>
      </c>
      <c r="HX218" t="e">
        <f>AND(Bills!B937,"AAAAAG3/8+c=")</f>
        <v>#VALUE!</v>
      </c>
      <c r="HY218" t="e">
        <f>AND(Bills!#REF!,"AAAAAG3/8+g=")</f>
        <v>#REF!</v>
      </c>
      <c r="HZ218" t="e">
        <f>AND(Bills!C937,"AAAAAG3/8+k=")</f>
        <v>#VALUE!</v>
      </c>
      <c r="IA218" t="e">
        <f>AND(Bills!D937,"AAAAAG3/8+o=")</f>
        <v>#VALUE!</v>
      </c>
      <c r="IB218" t="e">
        <f>AND(Bills!E937,"AAAAAG3/8+s=")</f>
        <v>#VALUE!</v>
      </c>
      <c r="IC218" t="e">
        <f>AND(Bills!#REF!,"AAAAAG3/8+w=")</f>
        <v>#REF!</v>
      </c>
      <c r="ID218" t="e">
        <f>AND(Bills!#REF!,"AAAAAG3/8+0=")</f>
        <v>#REF!</v>
      </c>
      <c r="IE218" t="e">
        <f>AND(Bills!#REF!,"AAAAAG3/8+4=")</f>
        <v>#REF!</v>
      </c>
      <c r="IF218" t="e">
        <f>AND(Bills!F937,"AAAAAG3/8+8=")</f>
        <v>#VALUE!</v>
      </c>
      <c r="IG218" t="e">
        <f>AND(Bills!#REF!,"AAAAAG3/8/A=")</f>
        <v>#REF!</v>
      </c>
      <c r="IH218" t="e">
        <f>AND(Bills!G937,"AAAAAG3/8/E=")</f>
        <v>#VALUE!</v>
      </c>
      <c r="II218" t="e">
        <f>AND(Bills!H937,"AAAAAG3/8/I=")</f>
        <v>#VALUE!</v>
      </c>
      <c r="IJ218" t="e">
        <f>AND(Bills!I937,"AAAAAG3/8/M=")</f>
        <v>#VALUE!</v>
      </c>
      <c r="IK218" t="e">
        <f>AND(Bills!J937,"AAAAAG3/8/Q=")</f>
        <v>#VALUE!</v>
      </c>
      <c r="IL218" t="e">
        <f>AND(Bills!K937,"AAAAAG3/8/U=")</f>
        <v>#VALUE!</v>
      </c>
      <c r="IM218" t="e">
        <f>AND(Bills!L937,"AAAAAG3/8/Y=")</f>
        <v>#VALUE!</v>
      </c>
      <c r="IN218" t="e">
        <f>AND(Bills!#REF!,"AAAAAG3/8/c=")</f>
        <v>#REF!</v>
      </c>
      <c r="IO218" t="e">
        <f>AND(Bills!M937,"AAAAAG3/8/g=")</f>
        <v>#VALUE!</v>
      </c>
      <c r="IP218" t="e">
        <f>AND(Bills!N937,"AAAAAG3/8/k=")</f>
        <v>#VALUE!</v>
      </c>
      <c r="IQ218" t="e">
        <f>AND(Bills!O937,"AAAAAG3/8/o=")</f>
        <v>#VALUE!</v>
      </c>
      <c r="IR218" t="e">
        <f>AND(Bills!P937,"AAAAAG3/8/s=")</f>
        <v>#VALUE!</v>
      </c>
      <c r="IS218" t="e">
        <f>AND(Bills!Q937,"AAAAAG3/8/w=")</f>
        <v>#VALUE!</v>
      </c>
      <c r="IT218" t="e">
        <f>AND(Bills!R937,"AAAAAG3/8/0=")</f>
        <v>#VALUE!</v>
      </c>
      <c r="IU218" t="e">
        <f>AND(Bills!S937,"AAAAAG3/8/4=")</f>
        <v>#VALUE!</v>
      </c>
      <c r="IV218" t="e">
        <f>AND(Bills!T937,"AAAAAG3/8/8=")</f>
        <v>#VALUE!</v>
      </c>
    </row>
    <row r="219" spans="1:256">
      <c r="A219" t="e">
        <f>AND(Bills!#REF!,"AAAAAHx3twA=")</f>
        <v>#REF!</v>
      </c>
      <c r="B219" t="e">
        <f>AND(Bills!U937,"AAAAAHx3twE=")</f>
        <v>#VALUE!</v>
      </c>
      <c r="C219" t="e">
        <f>AND(Bills!V937,"AAAAAHx3twI=")</f>
        <v>#VALUE!</v>
      </c>
      <c r="D219" t="e">
        <f>AND(Bills!W937,"AAAAAHx3twM=")</f>
        <v>#VALUE!</v>
      </c>
      <c r="E219" t="e">
        <f>AND(Bills!#REF!,"AAAAAHx3twQ=")</f>
        <v>#REF!</v>
      </c>
      <c r="F219" t="e">
        <f>AND(Bills!#REF!,"AAAAAHx3twU=")</f>
        <v>#REF!</v>
      </c>
      <c r="G219" t="e">
        <f>AND(Bills!Y937,"AAAAAHx3twY=")</f>
        <v>#VALUE!</v>
      </c>
      <c r="H219" t="e">
        <f>AND(Bills!Z937,"AAAAAHx3twc=")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AND(Bills!AA937,"AAAAAHx3txE=")</f>
        <v>#VALUE!</v>
      </c>
      <c r="S219" t="e">
        <f>AND(Bills!AB937,"AAAAAHx3txI=")</f>
        <v>#VALUE!</v>
      </c>
      <c r="T219" t="e">
        <f>AND(Bills!#REF!,"AAAAAHx3txM=")</f>
        <v>#REF!</v>
      </c>
      <c r="U219" t="e">
        <f>AND(Bills!#REF!,"AAAAAHx3txQ=")</f>
        <v>#REF!</v>
      </c>
      <c r="V219" t="e">
        <f>AND(Bills!#REF!,"AAAAAHx3txU=")</f>
        <v>#REF!</v>
      </c>
      <c r="W219" t="e">
        <f>AND(Bills!AC937,"AAAAAHx3txY=")</f>
        <v>#VALUE!</v>
      </c>
      <c r="X219" t="e">
        <f>AND(Bills!AD937,"AAAAAHx3txc=")</f>
        <v>#VALUE!</v>
      </c>
      <c r="Y219" t="e">
        <f>AND(Bills!#REF!,"AAAAAHx3txg=")</f>
        <v>#REF!</v>
      </c>
      <c r="Z219">
        <f>IF(Bills!938:938,"AAAAAHx3txk=",0)</f>
        <v>0</v>
      </c>
      <c r="AA219" t="e">
        <f>AND(Bills!B938,"AAAAAHx3txo=")</f>
        <v>#VALUE!</v>
      </c>
      <c r="AB219" t="e">
        <f>AND(Bills!#REF!,"AAAAAHx3txs=")</f>
        <v>#REF!</v>
      </c>
      <c r="AC219" t="e">
        <f>AND(Bills!C938,"AAAAAHx3txw=")</f>
        <v>#VALUE!</v>
      </c>
      <c r="AD219" t="e">
        <f>AND(Bills!D938,"AAAAAHx3tx0=")</f>
        <v>#VALUE!</v>
      </c>
      <c r="AE219" t="e">
        <f>AND(Bills!E938,"AAAAAHx3tx4=")</f>
        <v>#VALUE!</v>
      </c>
      <c r="AF219" t="e">
        <f>AND(Bills!#REF!,"AAAAAHx3tx8=")</f>
        <v>#REF!</v>
      </c>
      <c r="AG219" t="e">
        <f>AND(Bills!#REF!,"AAAAAHx3tyA=")</f>
        <v>#REF!</v>
      </c>
      <c r="AH219" t="e">
        <f>AND(Bills!#REF!,"AAAAAHx3tyE=")</f>
        <v>#REF!</v>
      </c>
      <c r="AI219" t="e">
        <f>AND(Bills!F938,"AAAAAHx3tyI=")</f>
        <v>#VALUE!</v>
      </c>
      <c r="AJ219" t="e">
        <f>AND(Bills!#REF!,"AAAAAHx3tyM=")</f>
        <v>#REF!</v>
      </c>
      <c r="AK219" t="e">
        <f>AND(Bills!G938,"AAAAAHx3tyQ=")</f>
        <v>#VALUE!</v>
      </c>
      <c r="AL219" t="e">
        <f>AND(Bills!H938,"AAAAAHx3tyU=")</f>
        <v>#VALUE!</v>
      </c>
      <c r="AM219" t="e">
        <f>AND(Bills!I938,"AAAAAHx3tyY=")</f>
        <v>#VALUE!</v>
      </c>
      <c r="AN219" t="e">
        <f>AND(Bills!J938,"AAAAAHx3tyc=")</f>
        <v>#VALUE!</v>
      </c>
      <c r="AO219" t="e">
        <f>AND(Bills!K938,"AAAAAHx3tyg=")</f>
        <v>#VALUE!</v>
      </c>
      <c r="AP219" t="e">
        <f>AND(Bills!L938,"AAAAAHx3tyk=")</f>
        <v>#VALUE!</v>
      </c>
      <c r="AQ219" t="e">
        <f>AND(Bills!#REF!,"AAAAAHx3tyo=")</f>
        <v>#REF!</v>
      </c>
      <c r="AR219" t="e">
        <f>AND(Bills!M938,"AAAAAHx3tys=")</f>
        <v>#VALUE!</v>
      </c>
      <c r="AS219" t="e">
        <f>AND(Bills!N938,"AAAAAHx3tyw=")</f>
        <v>#VALUE!</v>
      </c>
      <c r="AT219" t="e">
        <f>AND(Bills!O938,"AAAAAHx3ty0=")</f>
        <v>#VALUE!</v>
      </c>
      <c r="AU219" t="e">
        <f>AND(Bills!P938,"AAAAAHx3ty4=")</f>
        <v>#VALUE!</v>
      </c>
      <c r="AV219" t="e">
        <f>AND(Bills!Q938,"AAAAAHx3ty8=")</f>
        <v>#VALUE!</v>
      </c>
      <c r="AW219" t="e">
        <f>AND(Bills!R938,"AAAAAHx3tzA=")</f>
        <v>#VALUE!</v>
      </c>
      <c r="AX219" t="e">
        <f>AND(Bills!S938,"AAAAAHx3tzE=")</f>
        <v>#VALUE!</v>
      </c>
      <c r="AY219" t="e">
        <f>AND(Bills!T938,"AAAAAHx3tzI=")</f>
        <v>#VALUE!</v>
      </c>
      <c r="AZ219" t="e">
        <f>AND(Bills!#REF!,"AAAAAHx3tzM=")</f>
        <v>#REF!</v>
      </c>
      <c r="BA219" t="e">
        <f>AND(Bills!U938,"AAAAAHx3tzQ=")</f>
        <v>#VALUE!</v>
      </c>
      <c r="BB219" t="e">
        <f>AND(Bills!V938,"AAAAAHx3tzU=")</f>
        <v>#VALUE!</v>
      </c>
      <c r="BC219" t="e">
        <f>AND(Bills!W938,"AAAAAHx3tzY=")</f>
        <v>#VALUE!</v>
      </c>
      <c r="BD219" t="e">
        <f>AND(Bills!#REF!,"AAAAAHx3tzc=")</f>
        <v>#REF!</v>
      </c>
      <c r="BE219" t="e">
        <f>AND(Bills!#REF!,"AAAAAHx3tzg=")</f>
        <v>#REF!</v>
      </c>
      <c r="BF219" t="e">
        <f>AND(Bills!Y938,"AAAAAHx3tzk=")</f>
        <v>#VALUE!</v>
      </c>
      <c r="BG219" t="e">
        <f>AND(Bills!Z938,"AAAAAHx3tzo=")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AND(Bills!AA938,"AAAAAHx3t0Q=")</f>
        <v>#VALUE!</v>
      </c>
      <c r="BR219" t="e">
        <f>AND(Bills!AB938,"AAAAAHx3t0U=")</f>
        <v>#VALUE!</v>
      </c>
      <c r="BS219" t="e">
        <f>AND(Bills!#REF!,"AAAAAHx3t0Y=")</f>
        <v>#REF!</v>
      </c>
      <c r="BT219" t="e">
        <f>AND(Bills!#REF!,"AAAAAHx3t0c=")</f>
        <v>#REF!</v>
      </c>
      <c r="BU219" t="e">
        <f>AND(Bills!#REF!,"AAAAAHx3t0g=")</f>
        <v>#REF!</v>
      </c>
      <c r="BV219" t="e">
        <f>AND(Bills!AC938,"AAAAAHx3t0k=")</f>
        <v>#VALUE!</v>
      </c>
      <c r="BW219" t="e">
        <f>AND(Bills!AD938,"AAAAAHx3t0o=")</f>
        <v>#VALUE!</v>
      </c>
      <c r="BX219" t="e">
        <f>AND(Bills!#REF!,"AAAAAHx3t0s=")</f>
        <v>#REF!</v>
      </c>
      <c r="BY219">
        <f>IF(Bills!939:939,"AAAAAHx3t0w=",0)</f>
        <v>0</v>
      </c>
      <c r="BZ219" t="e">
        <f>AND(Bills!B939,"AAAAAHx3t00=")</f>
        <v>#VALUE!</v>
      </c>
      <c r="CA219" t="e">
        <f>AND(Bills!#REF!,"AAAAAHx3t04=")</f>
        <v>#REF!</v>
      </c>
      <c r="CB219" t="e">
        <f>AND(Bills!C939,"AAAAAHx3t08=")</f>
        <v>#VALUE!</v>
      </c>
      <c r="CC219" t="e">
        <f>AND(Bills!D939,"AAAAAHx3t1A=")</f>
        <v>#VALUE!</v>
      </c>
      <c r="CD219" t="e">
        <f>AND(Bills!E939,"AAAAAHx3t1E=")</f>
        <v>#VALUE!</v>
      </c>
      <c r="CE219" t="e">
        <f>AND(Bills!#REF!,"AAAAAHx3t1I=")</f>
        <v>#REF!</v>
      </c>
      <c r="CF219" t="e">
        <f>AND(Bills!#REF!,"AAAAAHx3t1M=")</f>
        <v>#REF!</v>
      </c>
      <c r="CG219" t="e">
        <f>AND(Bills!#REF!,"AAAAAHx3t1Q=")</f>
        <v>#REF!</v>
      </c>
      <c r="CH219" t="e">
        <f>AND(Bills!F939,"AAAAAHx3t1U=")</f>
        <v>#VALUE!</v>
      </c>
      <c r="CI219" t="e">
        <f>AND(Bills!#REF!,"AAAAAHx3t1Y=")</f>
        <v>#REF!</v>
      </c>
      <c r="CJ219" t="e">
        <f>AND(Bills!G939,"AAAAAHx3t1c=")</f>
        <v>#VALUE!</v>
      </c>
      <c r="CK219" t="e">
        <f>AND(Bills!H939,"AAAAAHx3t1g=")</f>
        <v>#VALUE!</v>
      </c>
      <c r="CL219" t="e">
        <f>AND(Bills!I939,"AAAAAHx3t1k=")</f>
        <v>#VALUE!</v>
      </c>
      <c r="CM219" t="e">
        <f>AND(Bills!J939,"AAAAAHx3t1o=")</f>
        <v>#VALUE!</v>
      </c>
      <c r="CN219" t="e">
        <f>AND(Bills!K939,"AAAAAHx3t1s=")</f>
        <v>#VALUE!</v>
      </c>
      <c r="CO219" t="e">
        <f>AND(Bills!L939,"AAAAAHx3t1w=")</f>
        <v>#VALUE!</v>
      </c>
      <c r="CP219" t="e">
        <f>AND(Bills!#REF!,"AAAAAHx3t10=")</f>
        <v>#REF!</v>
      </c>
      <c r="CQ219" t="e">
        <f>AND(Bills!M939,"AAAAAHx3t14=")</f>
        <v>#VALUE!</v>
      </c>
      <c r="CR219" t="e">
        <f>AND(Bills!N939,"AAAAAHx3t18=")</f>
        <v>#VALUE!</v>
      </c>
      <c r="CS219" t="e">
        <f>AND(Bills!O939,"AAAAAHx3t2A=")</f>
        <v>#VALUE!</v>
      </c>
      <c r="CT219" t="e">
        <f>AND(Bills!P939,"AAAAAHx3t2E=")</f>
        <v>#VALUE!</v>
      </c>
      <c r="CU219" t="e">
        <f>AND(Bills!Q939,"AAAAAHx3t2I=")</f>
        <v>#VALUE!</v>
      </c>
      <c r="CV219" t="e">
        <f>AND(Bills!R939,"AAAAAHx3t2M=")</f>
        <v>#VALUE!</v>
      </c>
      <c r="CW219" t="e">
        <f>AND(Bills!S939,"AAAAAHx3t2Q=")</f>
        <v>#VALUE!</v>
      </c>
      <c r="CX219" t="e">
        <f>AND(Bills!T939,"AAAAAHx3t2U=")</f>
        <v>#VALUE!</v>
      </c>
      <c r="CY219" t="e">
        <f>AND(Bills!#REF!,"AAAAAHx3t2Y=")</f>
        <v>#REF!</v>
      </c>
      <c r="CZ219" t="e">
        <f>AND(Bills!U939,"AAAAAHx3t2c=")</f>
        <v>#VALUE!</v>
      </c>
      <c r="DA219" t="e">
        <f>AND(Bills!V939,"AAAAAHx3t2g=")</f>
        <v>#VALUE!</v>
      </c>
      <c r="DB219" t="e">
        <f>AND(Bills!W939,"AAAAAHx3t2k=")</f>
        <v>#VALUE!</v>
      </c>
      <c r="DC219" t="e">
        <f>AND(Bills!#REF!,"AAAAAHx3t2o=")</f>
        <v>#REF!</v>
      </c>
      <c r="DD219" t="e">
        <f>AND(Bills!#REF!,"AAAAAHx3t2s=")</f>
        <v>#REF!</v>
      </c>
      <c r="DE219" t="e">
        <f>AND(Bills!Y939,"AAAAAHx3t2w=")</f>
        <v>#VALUE!</v>
      </c>
      <c r="DF219" t="e">
        <f>AND(Bills!Z939,"AAAAAHx3t20=")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AND(Bills!AA939,"AAAAAHx3t3c=")</f>
        <v>#VALUE!</v>
      </c>
      <c r="DQ219" t="e">
        <f>AND(Bills!AB939,"AAAAAHx3t3g=")</f>
        <v>#VALUE!</v>
      </c>
      <c r="DR219" t="e">
        <f>AND(Bills!#REF!,"AAAAAHx3t3k=")</f>
        <v>#REF!</v>
      </c>
      <c r="DS219" t="e">
        <f>AND(Bills!#REF!,"AAAAAHx3t3o=")</f>
        <v>#REF!</v>
      </c>
      <c r="DT219" t="e">
        <f>AND(Bills!#REF!,"AAAAAHx3t3s=")</f>
        <v>#REF!</v>
      </c>
      <c r="DU219" t="e">
        <f>AND(Bills!AC939,"AAAAAHx3t3w=")</f>
        <v>#VALUE!</v>
      </c>
      <c r="DV219" t="e">
        <f>AND(Bills!AD939,"AAAAAHx3t30=")</f>
        <v>#VALUE!</v>
      </c>
      <c r="DW219" t="e">
        <f>AND(Bills!#REF!,"AAAAAHx3t34=")</f>
        <v>#REF!</v>
      </c>
      <c r="DX219">
        <f>IF(Bills!940:940,"AAAAAHx3t38=",0)</f>
        <v>0</v>
      </c>
      <c r="DY219" t="e">
        <f>AND(Bills!B940,"AAAAAHx3t4A=")</f>
        <v>#VALUE!</v>
      </c>
      <c r="DZ219" t="e">
        <f>AND(Bills!#REF!,"AAAAAHx3t4E=")</f>
        <v>#REF!</v>
      </c>
      <c r="EA219" t="e">
        <f>AND(Bills!C940,"AAAAAHx3t4I=")</f>
        <v>#VALUE!</v>
      </c>
      <c r="EB219" t="e">
        <f>AND(Bills!D940,"AAAAAHx3t4M=")</f>
        <v>#VALUE!</v>
      </c>
      <c r="EC219" t="e">
        <f>AND(Bills!E940,"AAAAAHx3t4Q=")</f>
        <v>#VALUE!</v>
      </c>
      <c r="ED219" t="e">
        <f>AND(Bills!#REF!,"AAAAAHx3t4U=")</f>
        <v>#REF!</v>
      </c>
      <c r="EE219" t="e">
        <f>AND(Bills!#REF!,"AAAAAHx3t4Y=")</f>
        <v>#REF!</v>
      </c>
      <c r="EF219" t="e">
        <f>AND(Bills!#REF!,"AAAAAHx3t4c=")</f>
        <v>#REF!</v>
      </c>
      <c r="EG219" t="e">
        <f>AND(Bills!F940,"AAAAAHx3t4g=")</f>
        <v>#VALUE!</v>
      </c>
      <c r="EH219" t="e">
        <f>AND(Bills!#REF!,"AAAAAHx3t4k=")</f>
        <v>#REF!</v>
      </c>
      <c r="EI219" t="e">
        <f>AND(Bills!G940,"AAAAAHx3t4o=")</f>
        <v>#VALUE!</v>
      </c>
      <c r="EJ219" t="e">
        <f>AND(Bills!H940,"AAAAAHx3t4s=")</f>
        <v>#VALUE!</v>
      </c>
      <c r="EK219" t="e">
        <f>AND(Bills!I940,"AAAAAHx3t4w=")</f>
        <v>#VALUE!</v>
      </c>
      <c r="EL219" t="e">
        <f>AND(Bills!J940,"AAAAAHx3t40=")</f>
        <v>#VALUE!</v>
      </c>
      <c r="EM219" t="e">
        <f>AND(Bills!K940,"AAAAAHx3t44=")</f>
        <v>#VALUE!</v>
      </c>
      <c r="EN219" t="e">
        <f>AND(Bills!L940,"AAAAAHx3t48=")</f>
        <v>#VALUE!</v>
      </c>
      <c r="EO219" t="e">
        <f>AND(Bills!#REF!,"AAAAAHx3t5A=")</f>
        <v>#REF!</v>
      </c>
      <c r="EP219" t="e">
        <f>AND(Bills!M940,"AAAAAHx3t5E=")</f>
        <v>#VALUE!</v>
      </c>
      <c r="EQ219" t="e">
        <f>AND(Bills!N940,"AAAAAHx3t5I=")</f>
        <v>#VALUE!</v>
      </c>
      <c r="ER219" t="e">
        <f>AND(Bills!O940,"AAAAAHx3t5M=")</f>
        <v>#VALUE!</v>
      </c>
      <c r="ES219" t="e">
        <f>AND(Bills!P940,"AAAAAHx3t5Q=")</f>
        <v>#VALUE!</v>
      </c>
      <c r="ET219" t="e">
        <f>AND(Bills!Q940,"AAAAAHx3t5U=")</f>
        <v>#VALUE!</v>
      </c>
      <c r="EU219" t="e">
        <f>AND(Bills!R940,"AAAAAHx3t5Y=")</f>
        <v>#VALUE!</v>
      </c>
      <c r="EV219" t="e">
        <f>AND(Bills!S940,"AAAAAHx3t5c=")</f>
        <v>#VALUE!</v>
      </c>
      <c r="EW219" t="e">
        <f>AND(Bills!T940,"AAAAAHx3t5g=")</f>
        <v>#VALUE!</v>
      </c>
      <c r="EX219" t="e">
        <f>AND(Bills!#REF!,"AAAAAHx3t5k=")</f>
        <v>#REF!</v>
      </c>
      <c r="EY219" t="e">
        <f>AND(Bills!U940,"AAAAAHx3t5o=")</f>
        <v>#VALUE!</v>
      </c>
      <c r="EZ219" t="e">
        <f>AND(Bills!V940,"AAAAAHx3t5s=")</f>
        <v>#VALUE!</v>
      </c>
      <c r="FA219" t="e">
        <f>AND(Bills!W940,"AAAAAHx3t5w=")</f>
        <v>#VALUE!</v>
      </c>
      <c r="FB219" t="e">
        <f>AND(Bills!#REF!,"AAAAAHx3t50=")</f>
        <v>#REF!</v>
      </c>
      <c r="FC219" t="e">
        <f>AND(Bills!#REF!,"AAAAAHx3t54=")</f>
        <v>#REF!</v>
      </c>
      <c r="FD219" t="e">
        <f>AND(Bills!Y940,"AAAAAHx3t58=")</f>
        <v>#VALUE!</v>
      </c>
      <c r="FE219" t="e">
        <f>AND(Bills!Z940,"AAAAAHx3t6A=")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AND(Bills!AA940,"AAAAAHx3t6o=")</f>
        <v>#VALUE!</v>
      </c>
      <c r="FP219" t="e">
        <f>AND(Bills!AB940,"AAAAAHx3t6s=")</f>
        <v>#VALUE!</v>
      </c>
      <c r="FQ219" t="e">
        <f>AND(Bills!#REF!,"AAAAAHx3t6w=")</f>
        <v>#REF!</v>
      </c>
      <c r="FR219" t="e">
        <f>AND(Bills!#REF!,"AAAAAHx3t60=")</f>
        <v>#REF!</v>
      </c>
      <c r="FS219" t="e">
        <f>AND(Bills!#REF!,"AAAAAHx3t64=")</f>
        <v>#REF!</v>
      </c>
      <c r="FT219" t="e">
        <f>AND(Bills!AC940,"AAAAAHx3t68=")</f>
        <v>#VALUE!</v>
      </c>
      <c r="FU219" t="e">
        <f>AND(Bills!AD940,"AAAAAHx3t7A=")</f>
        <v>#VALUE!</v>
      </c>
      <c r="FV219" t="e">
        <f>AND(Bills!#REF!,"AAAAAHx3t7E=")</f>
        <v>#REF!</v>
      </c>
      <c r="FW219">
        <f>IF(Bills!941:941,"AAAAAHx3t7I=",0)</f>
        <v>0</v>
      </c>
      <c r="FX219" t="e">
        <f>AND(Bills!B941,"AAAAAHx3t7M=")</f>
        <v>#VALUE!</v>
      </c>
      <c r="FY219" t="e">
        <f>AND(Bills!#REF!,"AAAAAHx3t7Q=")</f>
        <v>#REF!</v>
      </c>
      <c r="FZ219" t="e">
        <f>AND(Bills!C941,"AAAAAHx3t7U=")</f>
        <v>#VALUE!</v>
      </c>
      <c r="GA219" t="e">
        <f>AND(Bills!D941,"AAAAAHx3t7Y=")</f>
        <v>#VALUE!</v>
      </c>
      <c r="GB219" t="e">
        <f>AND(Bills!E941,"AAAAAHx3t7c=")</f>
        <v>#VALUE!</v>
      </c>
      <c r="GC219" t="e">
        <f>AND(Bills!#REF!,"AAAAAHx3t7g=")</f>
        <v>#REF!</v>
      </c>
      <c r="GD219" t="e">
        <f>AND(Bills!#REF!,"AAAAAHx3t7k=")</f>
        <v>#REF!</v>
      </c>
      <c r="GE219" t="e">
        <f>AND(Bills!#REF!,"AAAAAHx3t7o=")</f>
        <v>#REF!</v>
      </c>
      <c r="GF219" t="e">
        <f>AND(Bills!F941,"AAAAAHx3t7s=")</f>
        <v>#VALUE!</v>
      </c>
      <c r="GG219" t="e">
        <f>AND(Bills!#REF!,"AAAAAHx3t7w=")</f>
        <v>#REF!</v>
      </c>
      <c r="GH219" t="e">
        <f>AND(Bills!G941,"AAAAAHx3t70=")</f>
        <v>#VALUE!</v>
      </c>
      <c r="GI219" t="e">
        <f>AND(Bills!H941,"AAAAAHx3t74=")</f>
        <v>#VALUE!</v>
      </c>
      <c r="GJ219" t="e">
        <f>AND(Bills!I941,"AAAAAHx3t78=")</f>
        <v>#VALUE!</v>
      </c>
      <c r="GK219" t="e">
        <f>AND(Bills!J941,"AAAAAHx3t8A=")</f>
        <v>#VALUE!</v>
      </c>
      <c r="GL219" t="e">
        <f>AND(Bills!K941,"AAAAAHx3t8E=")</f>
        <v>#VALUE!</v>
      </c>
      <c r="GM219" t="e">
        <f>AND(Bills!L941,"AAAAAHx3t8I=")</f>
        <v>#VALUE!</v>
      </c>
      <c r="GN219" t="e">
        <f>AND(Bills!#REF!,"AAAAAHx3t8M=")</f>
        <v>#REF!</v>
      </c>
      <c r="GO219" t="e">
        <f>AND(Bills!M941,"AAAAAHx3t8Q=")</f>
        <v>#VALUE!</v>
      </c>
      <c r="GP219" t="e">
        <f>AND(Bills!N941,"AAAAAHx3t8U=")</f>
        <v>#VALUE!</v>
      </c>
      <c r="GQ219" t="e">
        <f>AND(Bills!O941,"AAAAAHx3t8Y=")</f>
        <v>#VALUE!</v>
      </c>
      <c r="GR219" t="e">
        <f>AND(Bills!P941,"AAAAAHx3t8c=")</f>
        <v>#VALUE!</v>
      </c>
      <c r="GS219" t="e">
        <f>AND(Bills!Q941,"AAAAAHx3t8g=")</f>
        <v>#VALUE!</v>
      </c>
      <c r="GT219" t="e">
        <f>AND(Bills!R941,"AAAAAHx3t8k=")</f>
        <v>#VALUE!</v>
      </c>
      <c r="GU219" t="e">
        <f>AND(Bills!S941,"AAAAAHx3t8o=")</f>
        <v>#VALUE!</v>
      </c>
      <c r="GV219" t="e">
        <f>AND(Bills!T941,"AAAAAHx3t8s=")</f>
        <v>#VALUE!</v>
      </c>
      <c r="GW219" t="e">
        <f>AND(Bills!#REF!,"AAAAAHx3t8w=")</f>
        <v>#REF!</v>
      </c>
      <c r="GX219" t="e">
        <f>AND(Bills!U941,"AAAAAHx3t80=")</f>
        <v>#VALUE!</v>
      </c>
      <c r="GY219" t="e">
        <f>AND(Bills!V941,"AAAAAHx3t84=")</f>
        <v>#VALUE!</v>
      </c>
      <c r="GZ219" t="e">
        <f>AND(Bills!W941,"AAAAAHx3t88=")</f>
        <v>#VALUE!</v>
      </c>
      <c r="HA219" t="e">
        <f>AND(Bills!#REF!,"AAAAAHx3t9A=")</f>
        <v>#REF!</v>
      </c>
      <c r="HB219" t="e">
        <f>AND(Bills!#REF!,"AAAAAHx3t9E=")</f>
        <v>#REF!</v>
      </c>
      <c r="HC219" t="e">
        <f>AND(Bills!Y941,"AAAAAHx3t9I=")</f>
        <v>#VALUE!</v>
      </c>
      <c r="HD219" t="e">
        <f>AND(Bills!Z941,"AAAAAHx3t9M=")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AND(Bills!AA941,"AAAAAHx3t90=")</f>
        <v>#VALUE!</v>
      </c>
      <c r="HO219" t="e">
        <f>AND(Bills!AB941,"AAAAAHx3t94=")</f>
        <v>#VALUE!</v>
      </c>
      <c r="HP219" t="e">
        <f>AND(Bills!#REF!,"AAAAAHx3t98=")</f>
        <v>#REF!</v>
      </c>
      <c r="HQ219" t="e">
        <f>AND(Bills!#REF!,"AAAAAHx3t+A=")</f>
        <v>#REF!</v>
      </c>
      <c r="HR219" t="e">
        <f>AND(Bills!#REF!,"AAAAAHx3t+E=")</f>
        <v>#REF!</v>
      </c>
      <c r="HS219" t="e">
        <f>AND(Bills!AC941,"AAAAAHx3t+I=")</f>
        <v>#VALUE!</v>
      </c>
      <c r="HT219" t="e">
        <f>AND(Bills!AD941,"AAAAAHx3t+M=")</f>
        <v>#VALUE!</v>
      </c>
      <c r="HU219" t="e">
        <f>AND(Bills!#REF!,"AAAAAHx3t+Q=")</f>
        <v>#REF!</v>
      </c>
      <c r="HV219">
        <f>IF(Bills!942:942,"AAAAAHx3t+U=",0)</f>
        <v>0</v>
      </c>
      <c r="HW219" t="e">
        <f>AND(Bills!B942,"AAAAAHx3t+Y=")</f>
        <v>#VALUE!</v>
      </c>
      <c r="HX219" t="e">
        <f>AND(Bills!#REF!,"AAAAAHx3t+c=")</f>
        <v>#REF!</v>
      </c>
      <c r="HY219" t="e">
        <f>AND(Bills!C942,"AAAAAHx3t+g=")</f>
        <v>#VALUE!</v>
      </c>
      <c r="HZ219" t="e">
        <f>AND(Bills!D942,"AAAAAHx3t+k=")</f>
        <v>#VALUE!</v>
      </c>
      <c r="IA219" t="e">
        <f>AND(Bills!E942,"AAAAAHx3t+o=")</f>
        <v>#VALUE!</v>
      </c>
      <c r="IB219" t="e">
        <f>AND(Bills!#REF!,"AAAAAHx3t+s=")</f>
        <v>#REF!</v>
      </c>
      <c r="IC219" t="e">
        <f>AND(Bills!#REF!,"AAAAAHx3t+w=")</f>
        <v>#REF!</v>
      </c>
      <c r="ID219" t="e">
        <f>AND(Bills!#REF!,"AAAAAHx3t+0=")</f>
        <v>#REF!</v>
      </c>
      <c r="IE219" t="e">
        <f>AND(Bills!F942,"AAAAAHx3t+4=")</f>
        <v>#VALUE!</v>
      </c>
      <c r="IF219" t="e">
        <f>AND(Bills!#REF!,"AAAAAHx3t+8=")</f>
        <v>#REF!</v>
      </c>
      <c r="IG219" t="e">
        <f>AND(Bills!G942,"AAAAAHx3t/A=")</f>
        <v>#VALUE!</v>
      </c>
      <c r="IH219" t="e">
        <f>AND(Bills!H942,"AAAAAHx3t/E=")</f>
        <v>#VALUE!</v>
      </c>
      <c r="II219" t="e">
        <f>AND(Bills!I942,"AAAAAHx3t/I=")</f>
        <v>#VALUE!</v>
      </c>
      <c r="IJ219" t="e">
        <f>AND(Bills!J942,"AAAAAHx3t/M=")</f>
        <v>#VALUE!</v>
      </c>
      <c r="IK219" t="e">
        <f>AND(Bills!K942,"AAAAAHx3t/Q=")</f>
        <v>#VALUE!</v>
      </c>
      <c r="IL219" t="e">
        <f>AND(Bills!L942,"AAAAAHx3t/U=")</f>
        <v>#VALUE!</v>
      </c>
      <c r="IM219" t="e">
        <f>AND(Bills!#REF!,"AAAAAHx3t/Y=")</f>
        <v>#REF!</v>
      </c>
      <c r="IN219" t="e">
        <f>AND(Bills!M942,"AAAAAHx3t/c=")</f>
        <v>#VALUE!</v>
      </c>
      <c r="IO219" t="e">
        <f>AND(Bills!N942,"AAAAAHx3t/g=")</f>
        <v>#VALUE!</v>
      </c>
      <c r="IP219" t="e">
        <f>AND(Bills!O942,"AAAAAHx3t/k=")</f>
        <v>#VALUE!</v>
      </c>
      <c r="IQ219" t="e">
        <f>AND(Bills!P942,"AAAAAHx3t/o=")</f>
        <v>#VALUE!</v>
      </c>
      <c r="IR219" t="e">
        <f>AND(Bills!Q942,"AAAAAHx3t/s=")</f>
        <v>#VALUE!</v>
      </c>
      <c r="IS219" t="e">
        <f>AND(Bills!R942,"AAAAAHx3t/w=")</f>
        <v>#VALUE!</v>
      </c>
      <c r="IT219" t="e">
        <f>AND(Bills!S942,"AAAAAHx3t/0=")</f>
        <v>#VALUE!</v>
      </c>
      <c r="IU219" t="e">
        <f>AND(Bills!T942,"AAAAAHx3t/4=")</f>
        <v>#VALUE!</v>
      </c>
      <c r="IV219" t="e">
        <f>AND(Bills!#REF!,"AAAAAHx3t/8=")</f>
        <v>#REF!</v>
      </c>
    </row>
    <row r="220" spans="1:256">
      <c r="A220" t="e">
        <f>AND(Bills!U942,"AAAAAH//ZwA=")</f>
        <v>#VALUE!</v>
      </c>
      <c r="B220" t="e">
        <f>AND(Bills!V942,"AAAAAH//ZwE=")</f>
        <v>#VALUE!</v>
      </c>
      <c r="C220" t="e">
        <f>AND(Bills!W942,"AAAAAH//ZwI=")</f>
        <v>#VALUE!</v>
      </c>
      <c r="D220" t="e">
        <f>AND(Bills!#REF!,"AAAAAH//ZwM=")</f>
        <v>#REF!</v>
      </c>
      <c r="E220" t="e">
        <f>AND(Bills!#REF!,"AAAAAH//ZwQ=")</f>
        <v>#REF!</v>
      </c>
      <c r="F220" t="e">
        <f>AND(Bills!Y942,"AAAAAH//ZwU=")</f>
        <v>#VALUE!</v>
      </c>
      <c r="G220" t="e">
        <f>AND(Bills!Z942,"AAAAAH//ZwY=")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AND(Bills!AA942,"AAAAAH//ZxA=")</f>
        <v>#VALUE!</v>
      </c>
      <c r="R220" t="e">
        <f>AND(Bills!AB942,"AAAAAH//ZxE=")</f>
        <v>#VALUE!</v>
      </c>
      <c r="S220" t="e">
        <f>AND(Bills!#REF!,"AAAAAH//ZxI=")</f>
        <v>#REF!</v>
      </c>
      <c r="T220" t="e">
        <f>AND(Bills!#REF!,"AAAAAH//ZxM=")</f>
        <v>#REF!</v>
      </c>
      <c r="U220" t="e">
        <f>AND(Bills!#REF!,"AAAAAH//ZxQ=")</f>
        <v>#REF!</v>
      </c>
      <c r="V220" t="e">
        <f>AND(Bills!AC942,"AAAAAH//ZxU=")</f>
        <v>#VALUE!</v>
      </c>
      <c r="W220" t="e">
        <f>AND(Bills!AD942,"AAAAAH//ZxY=")</f>
        <v>#VALUE!</v>
      </c>
      <c r="X220" t="e">
        <f>AND(Bills!#REF!,"AAAAAH//Zxc=")</f>
        <v>#REF!</v>
      </c>
      <c r="Y220">
        <f>IF(Bills!943:943,"AAAAAH//Zxg=",0)</f>
        <v>0</v>
      </c>
      <c r="Z220" t="e">
        <f>AND(Bills!B943,"AAAAAH//Zxk=")</f>
        <v>#VALUE!</v>
      </c>
      <c r="AA220" t="e">
        <f>AND(Bills!#REF!,"AAAAAH//Zxo=")</f>
        <v>#REF!</v>
      </c>
      <c r="AB220" t="e">
        <f>AND(Bills!C943,"AAAAAH//Zxs=")</f>
        <v>#VALUE!</v>
      </c>
      <c r="AC220" t="e">
        <f>AND(Bills!D943,"AAAAAH//Zxw=")</f>
        <v>#VALUE!</v>
      </c>
      <c r="AD220" t="e">
        <f>AND(Bills!E943,"AAAAAH//Zx0=")</f>
        <v>#VALUE!</v>
      </c>
      <c r="AE220" t="e">
        <f>AND(Bills!#REF!,"AAAAAH//Zx4=")</f>
        <v>#REF!</v>
      </c>
      <c r="AF220" t="e">
        <f>AND(Bills!#REF!,"AAAAAH//Zx8=")</f>
        <v>#REF!</v>
      </c>
      <c r="AG220" t="e">
        <f>AND(Bills!#REF!,"AAAAAH//ZyA=")</f>
        <v>#REF!</v>
      </c>
      <c r="AH220" t="e">
        <f>AND(Bills!F943,"AAAAAH//ZyE=")</f>
        <v>#VALUE!</v>
      </c>
      <c r="AI220" t="e">
        <f>AND(Bills!#REF!,"AAAAAH//ZyI=")</f>
        <v>#REF!</v>
      </c>
      <c r="AJ220" t="e">
        <f>AND(Bills!G943,"AAAAAH//ZyM=")</f>
        <v>#VALUE!</v>
      </c>
      <c r="AK220" t="e">
        <f>AND(Bills!H943,"AAAAAH//ZyQ=")</f>
        <v>#VALUE!</v>
      </c>
      <c r="AL220" t="e">
        <f>AND(Bills!I943,"AAAAAH//ZyU=")</f>
        <v>#VALUE!</v>
      </c>
      <c r="AM220" t="e">
        <f>AND(Bills!J943,"AAAAAH//ZyY=")</f>
        <v>#VALUE!</v>
      </c>
      <c r="AN220" t="e">
        <f>AND(Bills!K943,"AAAAAH//Zyc=")</f>
        <v>#VALUE!</v>
      </c>
      <c r="AO220" t="e">
        <f>AND(Bills!L943,"AAAAAH//Zyg=")</f>
        <v>#VALUE!</v>
      </c>
      <c r="AP220" t="e">
        <f>AND(Bills!#REF!,"AAAAAH//Zyk=")</f>
        <v>#REF!</v>
      </c>
      <c r="AQ220" t="e">
        <f>AND(Bills!M943,"AAAAAH//Zyo=")</f>
        <v>#VALUE!</v>
      </c>
      <c r="AR220" t="e">
        <f>AND(Bills!N943,"AAAAAH//Zys=")</f>
        <v>#VALUE!</v>
      </c>
      <c r="AS220" t="e">
        <f>AND(Bills!O943,"AAAAAH//Zyw=")</f>
        <v>#VALUE!</v>
      </c>
      <c r="AT220" t="e">
        <f>AND(Bills!P943,"AAAAAH//Zy0=")</f>
        <v>#VALUE!</v>
      </c>
      <c r="AU220" t="e">
        <f>AND(Bills!Q943,"AAAAAH//Zy4=")</f>
        <v>#VALUE!</v>
      </c>
      <c r="AV220" t="e">
        <f>AND(Bills!R943,"AAAAAH//Zy8=")</f>
        <v>#VALUE!</v>
      </c>
      <c r="AW220" t="e">
        <f>AND(Bills!S943,"AAAAAH//ZzA=")</f>
        <v>#VALUE!</v>
      </c>
      <c r="AX220" t="e">
        <f>AND(Bills!T943,"AAAAAH//ZzE=")</f>
        <v>#VALUE!</v>
      </c>
      <c r="AY220" t="e">
        <f>AND(Bills!#REF!,"AAAAAH//ZzI=")</f>
        <v>#REF!</v>
      </c>
      <c r="AZ220" t="e">
        <f>AND(Bills!U943,"AAAAAH//ZzM=")</f>
        <v>#VALUE!</v>
      </c>
      <c r="BA220" t="e">
        <f>AND(Bills!V943,"AAAAAH//ZzQ=")</f>
        <v>#VALUE!</v>
      </c>
      <c r="BB220" t="e">
        <f>AND(Bills!W943,"AAAAAH//ZzU=")</f>
        <v>#VALUE!</v>
      </c>
      <c r="BC220" t="e">
        <f>AND(Bills!#REF!,"AAAAAH//ZzY=")</f>
        <v>#REF!</v>
      </c>
      <c r="BD220" t="e">
        <f>AND(Bills!#REF!,"AAAAAH//Zzc=")</f>
        <v>#REF!</v>
      </c>
      <c r="BE220" t="e">
        <f>AND(Bills!Y943,"AAAAAH//Zzg=")</f>
        <v>#VALUE!</v>
      </c>
      <c r="BF220" t="e">
        <f>AND(Bills!Z943,"AAAAAH//Zzk=")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AND(Bills!AA943,"AAAAAH//Z0M=")</f>
        <v>#VALUE!</v>
      </c>
      <c r="BQ220" t="e">
        <f>AND(Bills!AB943,"AAAAAH//Z0Q=")</f>
        <v>#VALUE!</v>
      </c>
      <c r="BR220" t="e">
        <f>AND(Bills!#REF!,"AAAAAH//Z0U=")</f>
        <v>#REF!</v>
      </c>
      <c r="BS220" t="e">
        <f>AND(Bills!#REF!,"AAAAAH//Z0Y=")</f>
        <v>#REF!</v>
      </c>
      <c r="BT220" t="e">
        <f>AND(Bills!#REF!,"AAAAAH//Z0c=")</f>
        <v>#REF!</v>
      </c>
      <c r="BU220" t="e">
        <f>AND(Bills!AC943,"AAAAAH//Z0g=")</f>
        <v>#VALUE!</v>
      </c>
      <c r="BV220" t="e">
        <f>AND(Bills!AD943,"AAAAAH//Z0k=")</f>
        <v>#VALUE!</v>
      </c>
      <c r="BW220" t="e">
        <f>AND(Bills!#REF!,"AAAAAH//Z0o=")</f>
        <v>#REF!</v>
      </c>
      <c r="BX220">
        <f>IF(Bills!944:944,"AAAAAH//Z0s=",0)</f>
        <v>0</v>
      </c>
      <c r="BY220" t="e">
        <f>AND(Bills!B944,"AAAAAH//Z0w=")</f>
        <v>#VALUE!</v>
      </c>
      <c r="BZ220" t="e">
        <f>AND(Bills!#REF!,"AAAAAH//Z00=")</f>
        <v>#REF!</v>
      </c>
      <c r="CA220" t="e">
        <f>AND(Bills!C944,"AAAAAH//Z04=")</f>
        <v>#VALUE!</v>
      </c>
      <c r="CB220" t="e">
        <f>AND(Bills!D944,"AAAAAH//Z08=")</f>
        <v>#VALUE!</v>
      </c>
      <c r="CC220" t="e">
        <f>AND(Bills!E944,"AAAAAH//Z1A=")</f>
        <v>#VALUE!</v>
      </c>
      <c r="CD220" t="e">
        <f>AND(Bills!#REF!,"AAAAAH//Z1E=")</f>
        <v>#REF!</v>
      </c>
      <c r="CE220" t="e">
        <f>AND(Bills!#REF!,"AAAAAH//Z1I=")</f>
        <v>#REF!</v>
      </c>
      <c r="CF220" t="e">
        <f>AND(Bills!#REF!,"AAAAAH//Z1M=")</f>
        <v>#REF!</v>
      </c>
      <c r="CG220" t="e">
        <f>AND(Bills!F944,"AAAAAH//Z1Q=")</f>
        <v>#VALUE!</v>
      </c>
      <c r="CH220" t="e">
        <f>AND(Bills!#REF!,"AAAAAH//Z1U=")</f>
        <v>#REF!</v>
      </c>
      <c r="CI220" t="e">
        <f>AND(Bills!G944,"AAAAAH//Z1Y=")</f>
        <v>#VALUE!</v>
      </c>
      <c r="CJ220" t="e">
        <f>AND(Bills!H944,"AAAAAH//Z1c=")</f>
        <v>#VALUE!</v>
      </c>
      <c r="CK220" t="e">
        <f>AND(Bills!I944,"AAAAAH//Z1g=")</f>
        <v>#VALUE!</v>
      </c>
      <c r="CL220" t="e">
        <f>AND(Bills!J944,"AAAAAH//Z1k=")</f>
        <v>#VALUE!</v>
      </c>
      <c r="CM220" t="e">
        <f>AND(Bills!K944,"AAAAAH//Z1o=")</f>
        <v>#VALUE!</v>
      </c>
      <c r="CN220" t="e">
        <f>AND(Bills!L944,"AAAAAH//Z1s=")</f>
        <v>#VALUE!</v>
      </c>
      <c r="CO220" t="e">
        <f>AND(Bills!#REF!,"AAAAAH//Z1w=")</f>
        <v>#REF!</v>
      </c>
      <c r="CP220" t="e">
        <f>AND(Bills!M944,"AAAAAH//Z10=")</f>
        <v>#VALUE!</v>
      </c>
      <c r="CQ220" t="e">
        <f>AND(Bills!N944,"AAAAAH//Z14=")</f>
        <v>#VALUE!</v>
      </c>
      <c r="CR220" t="e">
        <f>AND(Bills!O944,"AAAAAH//Z18=")</f>
        <v>#VALUE!</v>
      </c>
      <c r="CS220" t="e">
        <f>AND(Bills!P944,"AAAAAH//Z2A=")</f>
        <v>#VALUE!</v>
      </c>
      <c r="CT220" t="e">
        <f>AND(Bills!Q944,"AAAAAH//Z2E=")</f>
        <v>#VALUE!</v>
      </c>
      <c r="CU220" t="e">
        <f>AND(Bills!R944,"AAAAAH//Z2I=")</f>
        <v>#VALUE!</v>
      </c>
      <c r="CV220" t="e">
        <f>AND(Bills!S944,"AAAAAH//Z2M=")</f>
        <v>#VALUE!</v>
      </c>
      <c r="CW220" t="e">
        <f>AND(Bills!T944,"AAAAAH//Z2Q=")</f>
        <v>#VALUE!</v>
      </c>
      <c r="CX220" t="e">
        <f>AND(Bills!#REF!,"AAAAAH//Z2U=")</f>
        <v>#REF!</v>
      </c>
      <c r="CY220" t="e">
        <f>AND(Bills!U944,"AAAAAH//Z2Y=")</f>
        <v>#VALUE!</v>
      </c>
      <c r="CZ220" t="e">
        <f>AND(Bills!V944,"AAAAAH//Z2c=")</f>
        <v>#VALUE!</v>
      </c>
      <c r="DA220" t="e">
        <f>AND(Bills!W944,"AAAAAH//Z2g=")</f>
        <v>#VALUE!</v>
      </c>
      <c r="DB220" t="e">
        <f>AND(Bills!#REF!,"AAAAAH//Z2k=")</f>
        <v>#REF!</v>
      </c>
      <c r="DC220" t="e">
        <f>AND(Bills!#REF!,"AAAAAH//Z2o=")</f>
        <v>#REF!</v>
      </c>
      <c r="DD220" t="e">
        <f>AND(Bills!Y944,"AAAAAH//Z2s=")</f>
        <v>#VALUE!</v>
      </c>
      <c r="DE220" t="e">
        <f>AND(Bills!Z944,"AAAAAH//Z2w=")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AND(Bills!AA944,"AAAAAH//Z3Y=")</f>
        <v>#VALUE!</v>
      </c>
      <c r="DP220" t="e">
        <f>AND(Bills!AB944,"AAAAAH//Z3c=")</f>
        <v>#VALUE!</v>
      </c>
      <c r="DQ220" t="e">
        <f>AND(Bills!#REF!,"AAAAAH//Z3g=")</f>
        <v>#REF!</v>
      </c>
      <c r="DR220" t="e">
        <f>AND(Bills!#REF!,"AAAAAH//Z3k=")</f>
        <v>#REF!</v>
      </c>
      <c r="DS220" t="e">
        <f>AND(Bills!#REF!,"AAAAAH//Z3o=")</f>
        <v>#REF!</v>
      </c>
      <c r="DT220" t="e">
        <f>AND(Bills!AC944,"AAAAAH//Z3s=")</f>
        <v>#VALUE!</v>
      </c>
      <c r="DU220" t="e">
        <f>AND(Bills!AD944,"AAAAAH//Z3w=")</f>
        <v>#VALUE!</v>
      </c>
      <c r="DV220" t="e">
        <f>AND(Bills!#REF!,"AAAAAH//Z30=")</f>
        <v>#REF!</v>
      </c>
      <c r="DW220">
        <f>IF(Bills!945:945,"AAAAAH//Z34=",0)</f>
        <v>0</v>
      </c>
      <c r="DX220" t="e">
        <f>AND(Bills!B945,"AAAAAH//Z38=")</f>
        <v>#VALUE!</v>
      </c>
      <c r="DY220" t="e">
        <f>AND(Bills!#REF!,"AAAAAH//Z4A=")</f>
        <v>#REF!</v>
      </c>
      <c r="DZ220" t="e">
        <f>AND(Bills!C945,"AAAAAH//Z4E=")</f>
        <v>#VALUE!</v>
      </c>
      <c r="EA220" t="e">
        <f>AND(Bills!D945,"AAAAAH//Z4I=")</f>
        <v>#VALUE!</v>
      </c>
      <c r="EB220" t="e">
        <f>AND(Bills!E945,"AAAAAH//Z4M=")</f>
        <v>#VALUE!</v>
      </c>
      <c r="EC220" t="e">
        <f>AND(Bills!#REF!,"AAAAAH//Z4Q=")</f>
        <v>#REF!</v>
      </c>
      <c r="ED220" t="e">
        <f>AND(Bills!#REF!,"AAAAAH//Z4U=")</f>
        <v>#REF!</v>
      </c>
      <c r="EE220" t="e">
        <f>AND(Bills!#REF!,"AAAAAH//Z4Y=")</f>
        <v>#REF!</v>
      </c>
      <c r="EF220" t="e">
        <f>AND(Bills!F945,"AAAAAH//Z4c=")</f>
        <v>#VALUE!</v>
      </c>
      <c r="EG220" t="e">
        <f>AND(Bills!#REF!,"AAAAAH//Z4g=")</f>
        <v>#REF!</v>
      </c>
      <c r="EH220" t="e">
        <f>AND(Bills!G945,"AAAAAH//Z4k=")</f>
        <v>#VALUE!</v>
      </c>
      <c r="EI220" t="e">
        <f>AND(Bills!H945,"AAAAAH//Z4o=")</f>
        <v>#VALUE!</v>
      </c>
      <c r="EJ220" t="e">
        <f>AND(Bills!I945,"AAAAAH//Z4s=")</f>
        <v>#VALUE!</v>
      </c>
      <c r="EK220" t="e">
        <f>AND(Bills!J945,"AAAAAH//Z4w=")</f>
        <v>#VALUE!</v>
      </c>
      <c r="EL220" t="e">
        <f>AND(Bills!K945,"AAAAAH//Z40=")</f>
        <v>#VALUE!</v>
      </c>
      <c r="EM220" t="e">
        <f>AND(Bills!L945,"AAAAAH//Z44=")</f>
        <v>#VALUE!</v>
      </c>
      <c r="EN220" t="e">
        <f>AND(Bills!#REF!,"AAAAAH//Z48=")</f>
        <v>#REF!</v>
      </c>
      <c r="EO220" t="e">
        <f>AND(Bills!M945,"AAAAAH//Z5A=")</f>
        <v>#VALUE!</v>
      </c>
      <c r="EP220" t="e">
        <f>AND(Bills!N945,"AAAAAH//Z5E=")</f>
        <v>#VALUE!</v>
      </c>
      <c r="EQ220" t="e">
        <f>AND(Bills!O945,"AAAAAH//Z5I=")</f>
        <v>#VALUE!</v>
      </c>
      <c r="ER220" t="e">
        <f>AND(Bills!P945,"AAAAAH//Z5M=")</f>
        <v>#VALUE!</v>
      </c>
      <c r="ES220" t="e">
        <f>AND(Bills!Q945,"AAAAAH//Z5Q=")</f>
        <v>#VALUE!</v>
      </c>
      <c r="ET220" t="e">
        <f>AND(Bills!R945,"AAAAAH//Z5U=")</f>
        <v>#VALUE!</v>
      </c>
      <c r="EU220" t="e">
        <f>AND(Bills!S945,"AAAAAH//Z5Y=")</f>
        <v>#VALUE!</v>
      </c>
      <c r="EV220" t="e">
        <f>AND(Bills!T945,"AAAAAH//Z5c=")</f>
        <v>#VALUE!</v>
      </c>
      <c r="EW220" t="e">
        <f>AND(Bills!#REF!,"AAAAAH//Z5g=")</f>
        <v>#REF!</v>
      </c>
      <c r="EX220" t="e">
        <f>AND(Bills!U945,"AAAAAH//Z5k=")</f>
        <v>#VALUE!</v>
      </c>
      <c r="EY220" t="e">
        <f>AND(Bills!V945,"AAAAAH//Z5o=")</f>
        <v>#VALUE!</v>
      </c>
      <c r="EZ220" t="e">
        <f>AND(Bills!W945,"AAAAAH//Z5s=")</f>
        <v>#VALUE!</v>
      </c>
      <c r="FA220" t="e">
        <f>AND(Bills!#REF!,"AAAAAH//Z5w=")</f>
        <v>#REF!</v>
      </c>
      <c r="FB220" t="e">
        <f>AND(Bills!#REF!,"AAAAAH//Z50=")</f>
        <v>#REF!</v>
      </c>
      <c r="FC220" t="e">
        <f>AND(Bills!Y945,"AAAAAH//Z54=")</f>
        <v>#VALUE!</v>
      </c>
      <c r="FD220" t="e">
        <f>AND(Bills!Z945,"AAAAAH//Z58=")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AND(Bills!AA945,"AAAAAH//Z6k=")</f>
        <v>#VALUE!</v>
      </c>
      <c r="FO220" t="e">
        <f>AND(Bills!AB945,"AAAAAH//Z6o=")</f>
        <v>#VALUE!</v>
      </c>
      <c r="FP220" t="e">
        <f>AND(Bills!#REF!,"AAAAAH//Z6s=")</f>
        <v>#REF!</v>
      </c>
      <c r="FQ220" t="e">
        <f>AND(Bills!#REF!,"AAAAAH//Z6w=")</f>
        <v>#REF!</v>
      </c>
      <c r="FR220" t="e">
        <f>AND(Bills!#REF!,"AAAAAH//Z60=")</f>
        <v>#REF!</v>
      </c>
      <c r="FS220" t="e">
        <f>AND(Bills!AC945,"AAAAAH//Z64=")</f>
        <v>#VALUE!</v>
      </c>
      <c r="FT220" t="e">
        <f>AND(Bills!AD945,"AAAAAH//Z68=")</f>
        <v>#VALUE!</v>
      </c>
      <c r="FU220" t="e">
        <f>AND(Bills!#REF!,"AAAAAH//Z7A=")</f>
        <v>#REF!</v>
      </c>
      <c r="FV220">
        <f>IF(Bills!946:946,"AAAAAH//Z7E=",0)</f>
        <v>0</v>
      </c>
      <c r="FW220" t="e">
        <f>AND(Bills!B946,"AAAAAH//Z7I=")</f>
        <v>#VALUE!</v>
      </c>
      <c r="FX220" t="e">
        <f>AND(Bills!#REF!,"AAAAAH//Z7M=")</f>
        <v>#REF!</v>
      </c>
      <c r="FY220" t="e">
        <f>AND(Bills!C946,"AAAAAH//Z7Q=")</f>
        <v>#VALUE!</v>
      </c>
      <c r="FZ220" t="e">
        <f>AND(Bills!D946,"AAAAAH//Z7U=")</f>
        <v>#VALUE!</v>
      </c>
      <c r="GA220" t="e">
        <f>AND(Bills!E946,"AAAAAH//Z7Y=")</f>
        <v>#VALUE!</v>
      </c>
      <c r="GB220" t="e">
        <f>AND(Bills!#REF!,"AAAAAH//Z7c=")</f>
        <v>#REF!</v>
      </c>
      <c r="GC220" t="e">
        <f>AND(Bills!#REF!,"AAAAAH//Z7g=")</f>
        <v>#REF!</v>
      </c>
      <c r="GD220" t="e">
        <f>AND(Bills!#REF!,"AAAAAH//Z7k=")</f>
        <v>#REF!</v>
      </c>
      <c r="GE220" t="e">
        <f>AND(Bills!F946,"AAAAAH//Z7o=")</f>
        <v>#VALUE!</v>
      </c>
      <c r="GF220" t="e">
        <f>AND(Bills!#REF!,"AAAAAH//Z7s=")</f>
        <v>#REF!</v>
      </c>
      <c r="GG220" t="e">
        <f>AND(Bills!G946,"AAAAAH//Z7w=")</f>
        <v>#VALUE!</v>
      </c>
      <c r="GH220" t="e">
        <f>AND(Bills!H946,"AAAAAH//Z70=")</f>
        <v>#VALUE!</v>
      </c>
      <c r="GI220" t="e">
        <f>AND(Bills!I946,"AAAAAH//Z74=")</f>
        <v>#VALUE!</v>
      </c>
      <c r="GJ220" t="e">
        <f>AND(Bills!J946,"AAAAAH//Z78=")</f>
        <v>#VALUE!</v>
      </c>
      <c r="GK220" t="e">
        <f>AND(Bills!K946,"AAAAAH//Z8A=")</f>
        <v>#VALUE!</v>
      </c>
      <c r="GL220" t="e">
        <f>AND(Bills!L946,"AAAAAH//Z8E=")</f>
        <v>#VALUE!</v>
      </c>
      <c r="GM220" t="e">
        <f>AND(Bills!#REF!,"AAAAAH//Z8I=")</f>
        <v>#REF!</v>
      </c>
      <c r="GN220" t="e">
        <f>AND(Bills!M946,"AAAAAH//Z8M=")</f>
        <v>#VALUE!</v>
      </c>
      <c r="GO220" t="e">
        <f>AND(Bills!N946,"AAAAAH//Z8Q=")</f>
        <v>#VALUE!</v>
      </c>
      <c r="GP220" t="e">
        <f>AND(Bills!O946,"AAAAAH//Z8U=")</f>
        <v>#VALUE!</v>
      </c>
      <c r="GQ220" t="e">
        <f>AND(Bills!P946,"AAAAAH//Z8Y=")</f>
        <v>#VALUE!</v>
      </c>
      <c r="GR220" t="e">
        <f>AND(Bills!Q946,"AAAAAH//Z8c=")</f>
        <v>#VALUE!</v>
      </c>
      <c r="GS220" t="e">
        <f>AND(Bills!R946,"AAAAAH//Z8g=")</f>
        <v>#VALUE!</v>
      </c>
      <c r="GT220" t="e">
        <f>AND(Bills!S946,"AAAAAH//Z8k=")</f>
        <v>#VALUE!</v>
      </c>
      <c r="GU220" t="e">
        <f>AND(Bills!T946,"AAAAAH//Z8o=")</f>
        <v>#VALUE!</v>
      </c>
      <c r="GV220" t="e">
        <f>AND(Bills!#REF!,"AAAAAH//Z8s=")</f>
        <v>#REF!</v>
      </c>
      <c r="GW220" t="e">
        <f>AND(Bills!U946,"AAAAAH//Z8w=")</f>
        <v>#VALUE!</v>
      </c>
      <c r="GX220" t="e">
        <f>AND(Bills!V946,"AAAAAH//Z80=")</f>
        <v>#VALUE!</v>
      </c>
      <c r="GY220" t="e">
        <f>AND(Bills!W946,"AAAAAH//Z84=")</f>
        <v>#VALUE!</v>
      </c>
      <c r="GZ220" t="e">
        <f>AND(Bills!#REF!,"AAAAAH//Z88=")</f>
        <v>#REF!</v>
      </c>
      <c r="HA220" t="e">
        <f>AND(Bills!#REF!,"AAAAAH//Z9A=")</f>
        <v>#REF!</v>
      </c>
      <c r="HB220" t="e">
        <f>AND(Bills!Y946,"AAAAAH//Z9E=")</f>
        <v>#VALUE!</v>
      </c>
      <c r="HC220" t="e">
        <f>AND(Bills!Z946,"AAAAAH//Z9I=")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AND(Bills!AA946,"AAAAAH//Z9w=")</f>
        <v>#VALUE!</v>
      </c>
      <c r="HN220" t="e">
        <f>AND(Bills!AB946,"AAAAAH//Z90=")</f>
        <v>#VALUE!</v>
      </c>
      <c r="HO220" t="e">
        <f>AND(Bills!#REF!,"AAAAAH//Z94=")</f>
        <v>#REF!</v>
      </c>
      <c r="HP220" t="e">
        <f>AND(Bills!#REF!,"AAAAAH//Z98=")</f>
        <v>#REF!</v>
      </c>
      <c r="HQ220" t="e">
        <f>AND(Bills!#REF!,"AAAAAH//Z+A=")</f>
        <v>#REF!</v>
      </c>
      <c r="HR220" t="e">
        <f>AND(Bills!AC946,"AAAAAH//Z+E=")</f>
        <v>#VALUE!</v>
      </c>
      <c r="HS220" t="e">
        <f>AND(Bills!AD946,"AAAAAH//Z+I=")</f>
        <v>#VALUE!</v>
      </c>
      <c r="HT220" t="e">
        <f>AND(Bills!#REF!,"AAAAAH//Z+M=")</f>
        <v>#REF!</v>
      </c>
      <c r="HU220">
        <f>IF(Bills!947:947,"AAAAAH//Z+Q=",0)</f>
        <v>0</v>
      </c>
      <c r="HV220" t="e">
        <f>AND(Bills!B947,"AAAAAH//Z+U=")</f>
        <v>#VALUE!</v>
      </c>
      <c r="HW220" t="e">
        <f>AND(Bills!#REF!,"AAAAAH//Z+Y=")</f>
        <v>#REF!</v>
      </c>
      <c r="HX220" t="e">
        <f>AND(Bills!C947,"AAAAAH//Z+c=")</f>
        <v>#VALUE!</v>
      </c>
      <c r="HY220" t="e">
        <f>AND(Bills!D947,"AAAAAH//Z+g=")</f>
        <v>#VALUE!</v>
      </c>
      <c r="HZ220" t="e">
        <f>AND(Bills!E947,"AAAAAH//Z+k=")</f>
        <v>#VALUE!</v>
      </c>
      <c r="IA220" t="e">
        <f>AND(Bills!#REF!,"AAAAAH//Z+o=")</f>
        <v>#REF!</v>
      </c>
      <c r="IB220" t="e">
        <f>AND(Bills!#REF!,"AAAAAH//Z+s=")</f>
        <v>#REF!</v>
      </c>
      <c r="IC220" t="e">
        <f>AND(Bills!#REF!,"AAAAAH//Z+w=")</f>
        <v>#REF!</v>
      </c>
      <c r="ID220" t="e">
        <f>AND(Bills!F947,"AAAAAH//Z+0=")</f>
        <v>#VALUE!</v>
      </c>
      <c r="IE220" t="e">
        <f>AND(Bills!#REF!,"AAAAAH//Z+4=")</f>
        <v>#REF!</v>
      </c>
      <c r="IF220" t="e">
        <f>AND(Bills!G947,"AAAAAH//Z+8=")</f>
        <v>#VALUE!</v>
      </c>
      <c r="IG220" t="e">
        <f>AND(Bills!H947,"AAAAAH//Z/A=")</f>
        <v>#VALUE!</v>
      </c>
      <c r="IH220" t="e">
        <f>AND(Bills!I947,"AAAAAH//Z/E=")</f>
        <v>#VALUE!</v>
      </c>
      <c r="II220" t="e">
        <f>AND(Bills!J947,"AAAAAH//Z/I=")</f>
        <v>#VALUE!</v>
      </c>
      <c r="IJ220" t="e">
        <f>AND(Bills!K947,"AAAAAH//Z/M=")</f>
        <v>#VALUE!</v>
      </c>
      <c r="IK220" t="e">
        <f>AND(Bills!L947,"AAAAAH//Z/Q=")</f>
        <v>#VALUE!</v>
      </c>
      <c r="IL220" t="e">
        <f>AND(Bills!#REF!,"AAAAAH//Z/U=")</f>
        <v>#REF!</v>
      </c>
      <c r="IM220" t="e">
        <f>AND(Bills!M947,"AAAAAH//Z/Y=")</f>
        <v>#VALUE!</v>
      </c>
      <c r="IN220" t="e">
        <f>AND(Bills!N947,"AAAAAH//Z/c=")</f>
        <v>#VALUE!</v>
      </c>
      <c r="IO220" t="e">
        <f>AND(Bills!O947,"AAAAAH//Z/g=")</f>
        <v>#VALUE!</v>
      </c>
      <c r="IP220" t="e">
        <f>AND(Bills!P947,"AAAAAH//Z/k=")</f>
        <v>#VALUE!</v>
      </c>
      <c r="IQ220" t="e">
        <f>AND(Bills!Q947,"AAAAAH//Z/o=")</f>
        <v>#VALUE!</v>
      </c>
      <c r="IR220" t="e">
        <f>AND(Bills!R947,"AAAAAH//Z/s=")</f>
        <v>#VALUE!</v>
      </c>
      <c r="IS220" t="e">
        <f>AND(Bills!S947,"AAAAAH//Z/w=")</f>
        <v>#VALUE!</v>
      </c>
      <c r="IT220" t="e">
        <f>AND(Bills!T947,"AAAAAH//Z/0=")</f>
        <v>#VALUE!</v>
      </c>
      <c r="IU220" t="e">
        <f>AND(Bills!#REF!,"AAAAAH//Z/4=")</f>
        <v>#REF!</v>
      </c>
      <c r="IV220" t="e">
        <f>AND(Bills!U947,"AAAAAH//Z/8=")</f>
        <v>#VALUE!</v>
      </c>
    </row>
    <row r="221" spans="1:256">
      <c r="A221" t="e">
        <f>AND(Bills!V947,"AAAAAF79uQA=")</f>
        <v>#VALUE!</v>
      </c>
      <c r="B221" t="e">
        <f>AND(Bills!W947,"AAAAAF79uQE=")</f>
        <v>#VALUE!</v>
      </c>
      <c r="C221" t="e">
        <f>AND(Bills!#REF!,"AAAAAF79uQI=")</f>
        <v>#REF!</v>
      </c>
      <c r="D221" t="e">
        <f>AND(Bills!#REF!,"AAAAAF79uQM=")</f>
        <v>#REF!</v>
      </c>
      <c r="E221" t="e">
        <f>AND(Bills!Y947,"AAAAAF79uQQ=")</f>
        <v>#VALUE!</v>
      </c>
      <c r="F221" t="e">
        <f>AND(Bills!Z947,"AAAAAF79uQU=")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AND(Bills!AA947,"AAAAAF79uQ8=")</f>
        <v>#VALUE!</v>
      </c>
      <c r="Q221" t="e">
        <f>AND(Bills!AB947,"AAAAAF79uRA=")</f>
        <v>#VALUE!</v>
      </c>
      <c r="R221" t="e">
        <f>AND(Bills!#REF!,"AAAAAF79uRE=")</f>
        <v>#REF!</v>
      </c>
      <c r="S221" t="e">
        <f>AND(Bills!#REF!,"AAAAAF79uRI=")</f>
        <v>#REF!</v>
      </c>
      <c r="T221" t="e">
        <f>AND(Bills!#REF!,"AAAAAF79uRM=")</f>
        <v>#REF!</v>
      </c>
      <c r="U221" t="e">
        <f>AND(Bills!AC947,"AAAAAF79uRQ=")</f>
        <v>#VALUE!</v>
      </c>
      <c r="V221" t="e">
        <f>AND(Bills!AD947,"AAAAAF79uRU=")</f>
        <v>#VALUE!</v>
      </c>
      <c r="W221" t="e">
        <f>AND(Bills!#REF!,"AAAAAF79uRY=")</f>
        <v>#REF!</v>
      </c>
      <c r="X221">
        <f>IF(Bills!948:948,"AAAAAF79uRc=",0)</f>
        <v>0</v>
      </c>
      <c r="Y221" t="e">
        <f>AND(Bills!B948,"AAAAAF79uRg=")</f>
        <v>#VALUE!</v>
      </c>
      <c r="Z221" t="e">
        <f>AND(Bills!#REF!,"AAAAAF79uRk=")</f>
        <v>#REF!</v>
      </c>
      <c r="AA221" t="e">
        <f>AND(Bills!C948,"AAAAAF79uRo=")</f>
        <v>#VALUE!</v>
      </c>
      <c r="AB221" t="e">
        <f>AND(Bills!D948,"AAAAAF79uRs=")</f>
        <v>#VALUE!</v>
      </c>
      <c r="AC221" t="e">
        <f>AND(Bills!E948,"AAAAAF79uRw=")</f>
        <v>#VALUE!</v>
      </c>
      <c r="AD221" t="e">
        <f>AND(Bills!#REF!,"AAAAAF79uR0=")</f>
        <v>#REF!</v>
      </c>
      <c r="AE221" t="e">
        <f>AND(Bills!#REF!,"AAAAAF79uR4=")</f>
        <v>#REF!</v>
      </c>
      <c r="AF221" t="e">
        <f>AND(Bills!#REF!,"AAAAAF79uR8=")</f>
        <v>#REF!</v>
      </c>
      <c r="AG221" t="e">
        <f>AND(Bills!F948,"AAAAAF79uSA=")</f>
        <v>#VALUE!</v>
      </c>
      <c r="AH221" t="e">
        <f>AND(Bills!#REF!,"AAAAAF79uSE=")</f>
        <v>#REF!</v>
      </c>
      <c r="AI221" t="e">
        <f>AND(Bills!G948,"AAAAAF79uSI=")</f>
        <v>#VALUE!</v>
      </c>
      <c r="AJ221" t="e">
        <f>AND(Bills!H948,"AAAAAF79uSM=")</f>
        <v>#VALUE!</v>
      </c>
      <c r="AK221" t="e">
        <f>AND(Bills!I948,"AAAAAF79uSQ=")</f>
        <v>#VALUE!</v>
      </c>
      <c r="AL221" t="e">
        <f>AND(Bills!J948,"AAAAAF79uSU=")</f>
        <v>#VALUE!</v>
      </c>
      <c r="AM221" t="e">
        <f>AND(Bills!K948,"AAAAAF79uSY=")</f>
        <v>#VALUE!</v>
      </c>
      <c r="AN221" t="e">
        <f>AND(Bills!L948,"AAAAAF79uSc=")</f>
        <v>#VALUE!</v>
      </c>
      <c r="AO221" t="e">
        <f>AND(Bills!#REF!,"AAAAAF79uSg=")</f>
        <v>#REF!</v>
      </c>
      <c r="AP221" t="e">
        <f>AND(Bills!M948,"AAAAAF79uSk=")</f>
        <v>#VALUE!</v>
      </c>
      <c r="AQ221" t="e">
        <f>AND(Bills!N948,"AAAAAF79uSo=")</f>
        <v>#VALUE!</v>
      </c>
      <c r="AR221" t="e">
        <f>AND(Bills!O948,"AAAAAF79uSs=")</f>
        <v>#VALUE!</v>
      </c>
      <c r="AS221" t="e">
        <f>AND(Bills!P948,"AAAAAF79uSw=")</f>
        <v>#VALUE!</v>
      </c>
      <c r="AT221" t="e">
        <f>AND(Bills!Q948,"AAAAAF79uS0=")</f>
        <v>#VALUE!</v>
      </c>
      <c r="AU221" t="e">
        <f>AND(Bills!R948,"AAAAAF79uS4=")</f>
        <v>#VALUE!</v>
      </c>
      <c r="AV221" t="e">
        <f>AND(Bills!S948,"AAAAAF79uS8=")</f>
        <v>#VALUE!</v>
      </c>
      <c r="AW221" t="e">
        <f>AND(Bills!T948,"AAAAAF79uTA=")</f>
        <v>#VALUE!</v>
      </c>
      <c r="AX221" t="e">
        <f>AND(Bills!#REF!,"AAAAAF79uTE=")</f>
        <v>#REF!</v>
      </c>
      <c r="AY221" t="e">
        <f>AND(Bills!U948,"AAAAAF79uTI=")</f>
        <v>#VALUE!</v>
      </c>
      <c r="AZ221" t="e">
        <f>AND(Bills!V948,"AAAAAF79uTM=")</f>
        <v>#VALUE!</v>
      </c>
      <c r="BA221" t="e">
        <f>AND(Bills!W948,"AAAAAF79uTQ=")</f>
        <v>#VALUE!</v>
      </c>
      <c r="BB221" t="e">
        <f>AND(Bills!#REF!,"AAAAAF79uTU=")</f>
        <v>#REF!</v>
      </c>
      <c r="BC221" t="e">
        <f>AND(Bills!#REF!,"AAAAAF79uTY=")</f>
        <v>#REF!</v>
      </c>
      <c r="BD221" t="e">
        <f>AND(Bills!Y948,"AAAAAF79uTc=")</f>
        <v>#VALUE!</v>
      </c>
      <c r="BE221" t="e">
        <f>AND(Bills!Z948,"AAAAAF79uTg=")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AND(Bills!AA948,"AAAAAF79uUI=")</f>
        <v>#VALUE!</v>
      </c>
      <c r="BP221" t="e">
        <f>AND(Bills!AB948,"AAAAAF79uUM=")</f>
        <v>#VALUE!</v>
      </c>
      <c r="BQ221" t="e">
        <f>AND(Bills!#REF!,"AAAAAF79uUQ=")</f>
        <v>#REF!</v>
      </c>
      <c r="BR221" t="e">
        <f>AND(Bills!#REF!,"AAAAAF79uUU=")</f>
        <v>#REF!</v>
      </c>
      <c r="BS221" t="e">
        <f>AND(Bills!#REF!,"AAAAAF79uUY=")</f>
        <v>#REF!</v>
      </c>
      <c r="BT221" t="e">
        <f>AND(Bills!AC948,"AAAAAF79uUc=")</f>
        <v>#VALUE!</v>
      </c>
      <c r="BU221" t="e">
        <f>AND(Bills!AD948,"AAAAAF79uUg=")</f>
        <v>#VALUE!</v>
      </c>
      <c r="BV221" t="e">
        <f>AND(Bills!#REF!,"AAAAAF79uUk=")</f>
        <v>#REF!</v>
      </c>
      <c r="BW221">
        <f>IF(Bills!949:949,"AAAAAF79uUo=",0)</f>
        <v>0</v>
      </c>
      <c r="BX221" t="e">
        <f>AND(Bills!B949,"AAAAAF79uUs=")</f>
        <v>#VALUE!</v>
      </c>
      <c r="BY221" t="e">
        <f>AND(Bills!#REF!,"AAAAAF79uUw=")</f>
        <v>#REF!</v>
      </c>
      <c r="BZ221" t="e">
        <f>AND(Bills!C949,"AAAAAF79uU0=")</f>
        <v>#VALUE!</v>
      </c>
      <c r="CA221" t="e">
        <f>AND(Bills!D949,"AAAAAF79uU4=")</f>
        <v>#VALUE!</v>
      </c>
      <c r="CB221" t="e">
        <f>AND(Bills!E949,"AAAAAF79uU8=")</f>
        <v>#VALUE!</v>
      </c>
      <c r="CC221" t="e">
        <f>AND(Bills!#REF!,"AAAAAF79uVA=")</f>
        <v>#REF!</v>
      </c>
      <c r="CD221" t="e">
        <f>AND(Bills!#REF!,"AAAAAF79uVE=")</f>
        <v>#REF!</v>
      </c>
      <c r="CE221" t="e">
        <f>AND(Bills!#REF!,"AAAAAF79uVI=")</f>
        <v>#REF!</v>
      </c>
      <c r="CF221" t="e">
        <f>AND(Bills!F949,"AAAAAF79uVM=")</f>
        <v>#VALUE!</v>
      </c>
      <c r="CG221" t="e">
        <f>AND(Bills!#REF!,"AAAAAF79uVQ=")</f>
        <v>#REF!</v>
      </c>
      <c r="CH221" t="e">
        <f>AND(Bills!G949,"AAAAAF79uVU=")</f>
        <v>#VALUE!</v>
      </c>
      <c r="CI221" t="e">
        <f>AND(Bills!H949,"AAAAAF79uVY=")</f>
        <v>#VALUE!</v>
      </c>
      <c r="CJ221" t="e">
        <f>AND(Bills!I949,"AAAAAF79uVc=")</f>
        <v>#VALUE!</v>
      </c>
      <c r="CK221" t="e">
        <f>AND(Bills!J949,"AAAAAF79uVg=")</f>
        <v>#VALUE!</v>
      </c>
      <c r="CL221" t="e">
        <f>AND(Bills!K949,"AAAAAF79uVk=")</f>
        <v>#VALUE!</v>
      </c>
      <c r="CM221" t="e">
        <f>AND(Bills!L949,"AAAAAF79uVo=")</f>
        <v>#VALUE!</v>
      </c>
      <c r="CN221" t="e">
        <f>AND(Bills!#REF!,"AAAAAF79uVs=")</f>
        <v>#REF!</v>
      </c>
      <c r="CO221" t="e">
        <f>AND(Bills!M949,"AAAAAF79uVw=")</f>
        <v>#VALUE!</v>
      </c>
      <c r="CP221" t="e">
        <f>AND(Bills!N949,"AAAAAF79uV0=")</f>
        <v>#VALUE!</v>
      </c>
      <c r="CQ221" t="e">
        <f>AND(Bills!O949,"AAAAAF79uV4=")</f>
        <v>#VALUE!</v>
      </c>
      <c r="CR221" t="e">
        <f>AND(Bills!P949,"AAAAAF79uV8=")</f>
        <v>#VALUE!</v>
      </c>
      <c r="CS221" t="e">
        <f>AND(Bills!Q949,"AAAAAF79uWA=")</f>
        <v>#VALUE!</v>
      </c>
      <c r="CT221" t="e">
        <f>AND(Bills!R949,"AAAAAF79uWE=")</f>
        <v>#VALUE!</v>
      </c>
      <c r="CU221" t="e">
        <f>AND(Bills!S949,"AAAAAF79uWI=")</f>
        <v>#VALUE!</v>
      </c>
      <c r="CV221" t="e">
        <f>AND(Bills!T949,"AAAAAF79uWM=")</f>
        <v>#VALUE!</v>
      </c>
      <c r="CW221" t="e">
        <f>AND(Bills!#REF!,"AAAAAF79uWQ=")</f>
        <v>#REF!</v>
      </c>
      <c r="CX221" t="e">
        <f>AND(Bills!U949,"AAAAAF79uWU=")</f>
        <v>#VALUE!</v>
      </c>
      <c r="CY221" t="e">
        <f>AND(Bills!V949,"AAAAAF79uWY=")</f>
        <v>#VALUE!</v>
      </c>
      <c r="CZ221" t="e">
        <f>AND(Bills!W949,"AAAAAF79uWc=")</f>
        <v>#VALUE!</v>
      </c>
      <c r="DA221" t="e">
        <f>AND(Bills!#REF!,"AAAAAF79uWg=")</f>
        <v>#REF!</v>
      </c>
      <c r="DB221" t="e">
        <f>AND(Bills!#REF!,"AAAAAF79uWk=")</f>
        <v>#REF!</v>
      </c>
      <c r="DC221" t="e">
        <f>AND(Bills!Y949,"AAAAAF79uWo=")</f>
        <v>#VALUE!</v>
      </c>
      <c r="DD221" t="e">
        <f>AND(Bills!Z949,"AAAAAF79uWs=")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AND(Bills!AA949,"AAAAAF79uXU=")</f>
        <v>#VALUE!</v>
      </c>
      <c r="DO221" t="e">
        <f>AND(Bills!AB949,"AAAAAF79uXY=")</f>
        <v>#VALUE!</v>
      </c>
      <c r="DP221" t="e">
        <f>AND(Bills!#REF!,"AAAAAF79uXc=")</f>
        <v>#REF!</v>
      </c>
      <c r="DQ221" t="e">
        <f>AND(Bills!#REF!,"AAAAAF79uXg=")</f>
        <v>#REF!</v>
      </c>
      <c r="DR221" t="e">
        <f>AND(Bills!#REF!,"AAAAAF79uXk=")</f>
        <v>#REF!</v>
      </c>
      <c r="DS221" t="e">
        <f>AND(Bills!AC949,"AAAAAF79uXo=")</f>
        <v>#VALUE!</v>
      </c>
      <c r="DT221" t="e">
        <f>AND(Bills!AD949,"AAAAAF79uXs=")</f>
        <v>#VALUE!</v>
      </c>
      <c r="DU221" t="e">
        <f>AND(Bills!#REF!,"AAAAAF79uXw=")</f>
        <v>#REF!</v>
      </c>
      <c r="DV221">
        <f>IF(Bills!950:950,"AAAAAF79uX0=",0)</f>
        <v>0</v>
      </c>
      <c r="DW221" t="e">
        <f>AND(Bills!B950,"AAAAAF79uX4=")</f>
        <v>#VALUE!</v>
      </c>
      <c r="DX221" t="e">
        <f>AND(Bills!#REF!,"AAAAAF79uX8=")</f>
        <v>#REF!</v>
      </c>
      <c r="DY221" t="e">
        <f>AND(Bills!C950,"AAAAAF79uYA=")</f>
        <v>#VALUE!</v>
      </c>
      <c r="DZ221" t="e">
        <f>AND(Bills!D950,"AAAAAF79uYE=")</f>
        <v>#VALUE!</v>
      </c>
      <c r="EA221" t="e">
        <f>AND(Bills!E950,"AAAAAF79uYI=")</f>
        <v>#VALUE!</v>
      </c>
      <c r="EB221" t="e">
        <f>AND(Bills!#REF!,"AAAAAF79uYM=")</f>
        <v>#REF!</v>
      </c>
      <c r="EC221" t="e">
        <f>AND(Bills!#REF!,"AAAAAF79uYQ=")</f>
        <v>#REF!</v>
      </c>
      <c r="ED221" t="e">
        <f>AND(Bills!#REF!,"AAAAAF79uYU=")</f>
        <v>#REF!</v>
      </c>
      <c r="EE221" t="e">
        <f>AND(Bills!F950,"AAAAAF79uYY=")</f>
        <v>#VALUE!</v>
      </c>
      <c r="EF221" t="e">
        <f>AND(Bills!#REF!,"AAAAAF79uYc=")</f>
        <v>#REF!</v>
      </c>
      <c r="EG221" t="e">
        <f>AND(Bills!G950,"AAAAAF79uYg=")</f>
        <v>#VALUE!</v>
      </c>
      <c r="EH221" t="e">
        <f>AND(Bills!H950,"AAAAAF79uYk=")</f>
        <v>#VALUE!</v>
      </c>
      <c r="EI221" t="e">
        <f>AND(Bills!I950,"AAAAAF79uYo=")</f>
        <v>#VALUE!</v>
      </c>
      <c r="EJ221" t="e">
        <f>AND(Bills!J950,"AAAAAF79uYs=")</f>
        <v>#VALUE!</v>
      </c>
      <c r="EK221" t="e">
        <f>AND(Bills!K950,"AAAAAF79uYw=")</f>
        <v>#VALUE!</v>
      </c>
      <c r="EL221" t="e">
        <f>AND(Bills!L950,"AAAAAF79uY0=")</f>
        <v>#VALUE!</v>
      </c>
      <c r="EM221" t="e">
        <f>AND(Bills!#REF!,"AAAAAF79uY4=")</f>
        <v>#REF!</v>
      </c>
      <c r="EN221" t="e">
        <f>AND(Bills!M950,"AAAAAF79uY8=")</f>
        <v>#VALUE!</v>
      </c>
      <c r="EO221" t="e">
        <f>AND(Bills!N950,"AAAAAF79uZA=")</f>
        <v>#VALUE!</v>
      </c>
      <c r="EP221" t="e">
        <f>AND(Bills!O950,"AAAAAF79uZE=")</f>
        <v>#VALUE!</v>
      </c>
      <c r="EQ221" t="e">
        <f>AND(Bills!P950,"AAAAAF79uZI=")</f>
        <v>#VALUE!</v>
      </c>
      <c r="ER221" t="e">
        <f>AND(Bills!Q950,"AAAAAF79uZM=")</f>
        <v>#VALUE!</v>
      </c>
      <c r="ES221" t="e">
        <f>AND(Bills!R950,"AAAAAF79uZQ=")</f>
        <v>#VALUE!</v>
      </c>
      <c r="ET221" t="e">
        <f>AND(Bills!S950,"AAAAAF79uZU=")</f>
        <v>#VALUE!</v>
      </c>
      <c r="EU221" t="e">
        <f>AND(Bills!T950,"AAAAAF79uZY=")</f>
        <v>#VALUE!</v>
      </c>
      <c r="EV221" t="e">
        <f>AND(Bills!#REF!,"AAAAAF79uZc=")</f>
        <v>#REF!</v>
      </c>
      <c r="EW221" t="e">
        <f>AND(Bills!U950,"AAAAAF79uZg=")</f>
        <v>#VALUE!</v>
      </c>
      <c r="EX221" t="e">
        <f>AND(Bills!V950,"AAAAAF79uZk=")</f>
        <v>#VALUE!</v>
      </c>
      <c r="EY221" t="e">
        <f>AND(Bills!W950,"AAAAAF79uZo=")</f>
        <v>#VALUE!</v>
      </c>
      <c r="EZ221" t="e">
        <f>AND(Bills!#REF!,"AAAAAF79uZs=")</f>
        <v>#REF!</v>
      </c>
      <c r="FA221" t="e">
        <f>AND(Bills!#REF!,"AAAAAF79uZw=")</f>
        <v>#REF!</v>
      </c>
      <c r="FB221" t="e">
        <f>AND(Bills!Y950,"AAAAAF79uZ0=")</f>
        <v>#VALUE!</v>
      </c>
      <c r="FC221" t="e">
        <f>AND(Bills!Z950,"AAAAAF79uZ4=")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AND(Bills!AA950,"AAAAAF79uag=")</f>
        <v>#VALUE!</v>
      </c>
      <c r="FN221" t="e">
        <f>AND(Bills!AB950,"AAAAAF79uak=")</f>
        <v>#VALUE!</v>
      </c>
      <c r="FO221" t="e">
        <f>AND(Bills!#REF!,"AAAAAF79uao=")</f>
        <v>#REF!</v>
      </c>
      <c r="FP221" t="e">
        <f>AND(Bills!#REF!,"AAAAAF79uas=")</f>
        <v>#REF!</v>
      </c>
      <c r="FQ221" t="e">
        <f>AND(Bills!#REF!,"AAAAAF79uaw=")</f>
        <v>#REF!</v>
      </c>
      <c r="FR221" t="e">
        <f>AND(Bills!AC950,"AAAAAF79ua0=")</f>
        <v>#VALUE!</v>
      </c>
      <c r="FS221" t="e">
        <f>AND(Bills!AD950,"AAAAAF79ua4=")</f>
        <v>#VALUE!</v>
      </c>
      <c r="FT221" t="e">
        <f>AND(Bills!#REF!,"AAAAAF79ua8=")</f>
        <v>#REF!</v>
      </c>
      <c r="FU221">
        <f>IF(Bills!951:951,"AAAAAF79ubA=",0)</f>
        <v>0</v>
      </c>
      <c r="FV221" t="e">
        <f>AND(Bills!B951,"AAAAAF79ubE=")</f>
        <v>#VALUE!</v>
      </c>
      <c r="FW221" t="e">
        <f>AND(Bills!#REF!,"AAAAAF79ubI=")</f>
        <v>#REF!</v>
      </c>
      <c r="FX221" t="e">
        <f>AND(Bills!C951,"AAAAAF79ubM=")</f>
        <v>#VALUE!</v>
      </c>
      <c r="FY221" t="e">
        <f>AND(Bills!D951,"AAAAAF79ubQ=")</f>
        <v>#VALUE!</v>
      </c>
      <c r="FZ221" t="e">
        <f>AND(Bills!E951,"AAAAAF79ubU=")</f>
        <v>#VALUE!</v>
      </c>
      <c r="GA221" t="e">
        <f>AND(Bills!#REF!,"AAAAAF79ubY=")</f>
        <v>#REF!</v>
      </c>
      <c r="GB221" t="e">
        <f>AND(Bills!#REF!,"AAAAAF79ubc=")</f>
        <v>#REF!</v>
      </c>
      <c r="GC221" t="e">
        <f>AND(Bills!#REF!,"AAAAAF79ubg=")</f>
        <v>#REF!</v>
      </c>
      <c r="GD221" t="e">
        <f>AND(Bills!F951,"AAAAAF79ubk=")</f>
        <v>#VALUE!</v>
      </c>
      <c r="GE221" t="e">
        <f>AND(Bills!#REF!,"AAAAAF79ubo=")</f>
        <v>#REF!</v>
      </c>
      <c r="GF221" t="e">
        <f>AND(Bills!G951,"AAAAAF79ubs=")</f>
        <v>#VALUE!</v>
      </c>
      <c r="GG221" t="e">
        <f>AND(Bills!H951,"AAAAAF79ubw=")</f>
        <v>#VALUE!</v>
      </c>
      <c r="GH221" t="e">
        <f>AND(Bills!I951,"AAAAAF79ub0=")</f>
        <v>#VALUE!</v>
      </c>
      <c r="GI221" t="e">
        <f>AND(Bills!J951,"AAAAAF79ub4=")</f>
        <v>#VALUE!</v>
      </c>
      <c r="GJ221" t="e">
        <f>AND(Bills!K951,"AAAAAF79ub8=")</f>
        <v>#VALUE!</v>
      </c>
      <c r="GK221" t="e">
        <f>AND(Bills!L951,"AAAAAF79ucA=")</f>
        <v>#VALUE!</v>
      </c>
      <c r="GL221" t="e">
        <f>AND(Bills!#REF!,"AAAAAF79ucE=")</f>
        <v>#REF!</v>
      </c>
      <c r="GM221" t="e">
        <f>AND(Bills!M951,"AAAAAF79ucI=")</f>
        <v>#VALUE!</v>
      </c>
      <c r="GN221" t="e">
        <f>AND(Bills!N951,"AAAAAF79ucM=")</f>
        <v>#VALUE!</v>
      </c>
      <c r="GO221" t="e">
        <f>AND(Bills!O951,"AAAAAF79ucQ=")</f>
        <v>#VALUE!</v>
      </c>
      <c r="GP221" t="e">
        <f>AND(Bills!P951,"AAAAAF79ucU=")</f>
        <v>#VALUE!</v>
      </c>
      <c r="GQ221" t="e">
        <f>AND(Bills!Q951,"AAAAAF79ucY=")</f>
        <v>#VALUE!</v>
      </c>
      <c r="GR221" t="e">
        <f>AND(Bills!R951,"AAAAAF79ucc=")</f>
        <v>#VALUE!</v>
      </c>
      <c r="GS221" t="e">
        <f>AND(Bills!S951,"AAAAAF79ucg=")</f>
        <v>#VALUE!</v>
      </c>
      <c r="GT221" t="e">
        <f>AND(Bills!T951,"AAAAAF79uck=")</f>
        <v>#VALUE!</v>
      </c>
      <c r="GU221" t="e">
        <f>AND(Bills!#REF!,"AAAAAF79uco=")</f>
        <v>#REF!</v>
      </c>
      <c r="GV221" t="e">
        <f>AND(Bills!U951,"AAAAAF79ucs=")</f>
        <v>#VALUE!</v>
      </c>
      <c r="GW221" t="e">
        <f>AND(Bills!V951,"AAAAAF79ucw=")</f>
        <v>#VALUE!</v>
      </c>
      <c r="GX221" t="e">
        <f>AND(Bills!W951,"AAAAAF79uc0=")</f>
        <v>#VALUE!</v>
      </c>
      <c r="GY221" t="e">
        <f>AND(Bills!#REF!,"AAAAAF79uc4=")</f>
        <v>#REF!</v>
      </c>
      <c r="GZ221" t="e">
        <f>AND(Bills!#REF!,"AAAAAF79uc8=")</f>
        <v>#REF!</v>
      </c>
      <c r="HA221" t="e">
        <f>AND(Bills!Y951,"AAAAAF79udA=")</f>
        <v>#VALUE!</v>
      </c>
      <c r="HB221" t="e">
        <f>AND(Bills!Z951,"AAAAAF79udE=")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AND(Bills!AA951,"AAAAAF79uds=")</f>
        <v>#VALUE!</v>
      </c>
      <c r="HM221" t="e">
        <f>AND(Bills!AB951,"AAAAAF79udw=")</f>
        <v>#VALUE!</v>
      </c>
      <c r="HN221" t="e">
        <f>AND(Bills!#REF!,"AAAAAF79ud0=")</f>
        <v>#REF!</v>
      </c>
      <c r="HO221" t="e">
        <f>AND(Bills!#REF!,"AAAAAF79ud4=")</f>
        <v>#REF!</v>
      </c>
      <c r="HP221" t="e">
        <f>AND(Bills!#REF!,"AAAAAF79ud8=")</f>
        <v>#REF!</v>
      </c>
      <c r="HQ221" t="e">
        <f>AND(Bills!AC951,"AAAAAF79ueA=")</f>
        <v>#VALUE!</v>
      </c>
      <c r="HR221" t="e">
        <f>AND(Bills!AD951,"AAAAAF79ueE=")</f>
        <v>#VALUE!</v>
      </c>
      <c r="HS221" t="e">
        <f>AND(Bills!#REF!,"AAAAAF79ueI=")</f>
        <v>#REF!</v>
      </c>
      <c r="HT221">
        <f>IF(Bills!952:952,"AAAAAF79ueM=",0)</f>
        <v>0</v>
      </c>
      <c r="HU221" t="e">
        <f>AND(Bills!B952,"AAAAAF79ueQ=")</f>
        <v>#VALUE!</v>
      </c>
      <c r="HV221" t="e">
        <f>AND(Bills!#REF!,"AAAAAF79ueU=")</f>
        <v>#REF!</v>
      </c>
      <c r="HW221" t="e">
        <f>AND(Bills!C952,"AAAAAF79ueY=")</f>
        <v>#VALUE!</v>
      </c>
      <c r="HX221" t="e">
        <f>AND(Bills!D952,"AAAAAF79uec=")</f>
        <v>#VALUE!</v>
      </c>
      <c r="HY221" t="e">
        <f>AND(Bills!E952,"AAAAAF79ueg=")</f>
        <v>#VALUE!</v>
      </c>
      <c r="HZ221" t="e">
        <f>AND(Bills!#REF!,"AAAAAF79uek=")</f>
        <v>#REF!</v>
      </c>
      <c r="IA221" t="e">
        <f>AND(Bills!#REF!,"AAAAAF79ueo=")</f>
        <v>#REF!</v>
      </c>
      <c r="IB221" t="e">
        <f>AND(Bills!#REF!,"AAAAAF79ues=")</f>
        <v>#REF!</v>
      </c>
      <c r="IC221" t="e">
        <f>AND(Bills!F952,"AAAAAF79uew=")</f>
        <v>#VALUE!</v>
      </c>
      <c r="ID221" t="e">
        <f>AND(Bills!#REF!,"AAAAAF79ue0=")</f>
        <v>#REF!</v>
      </c>
      <c r="IE221" t="e">
        <f>AND(Bills!G952,"AAAAAF79ue4=")</f>
        <v>#VALUE!</v>
      </c>
      <c r="IF221" t="e">
        <f>AND(Bills!H952,"AAAAAF79ue8=")</f>
        <v>#VALUE!</v>
      </c>
      <c r="IG221" t="e">
        <f>AND(Bills!I952,"AAAAAF79ufA=")</f>
        <v>#VALUE!</v>
      </c>
      <c r="IH221" t="e">
        <f>AND(Bills!J952,"AAAAAF79ufE=")</f>
        <v>#VALUE!</v>
      </c>
      <c r="II221" t="e">
        <f>AND(Bills!K952,"AAAAAF79ufI=")</f>
        <v>#VALUE!</v>
      </c>
      <c r="IJ221" t="e">
        <f>AND(Bills!L952,"AAAAAF79ufM=")</f>
        <v>#VALUE!</v>
      </c>
      <c r="IK221" t="e">
        <f>AND(Bills!#REF!,"AAAAAF79ufQ=")</f>
        <v>#REF!</v>
      </c>
      <c r="IL221" t="e">
        <f>AND(Bills!M952,"AAAAAF79ufU=")</f>
        <v>#VALUE!</v>
      </c>
      <c r="IM221" t="e">
        <f>AND(Bills!N952,"AAAAAF79ufY=")</f>
        <v>#VALUE!</v>
      </c>
      <c r="IN221" t="e">
        <f>AND(Bills!O952,"AAAAAF79ufc=")</f>
        <v>#VALUE!</v>
      </c>
      <c r="IO221" t="e">
        <f>AND(Bills!P952,"AAAAAF79ufg=")</f>
        <v>#VALUE!</v>
      </c>
      <c r="IP221" t="e">
        <f>AND(Bills!Q952,"AAAAAF79ufk=")</f>
        <v>#VALUE!</v>
      </c>
      <c r="IQ221" t="e">
        <f>AND(Bills!R952,"AAAAAF79ufo=")</f>
        <v>#VALUE!</v>
      </c>
      <c r="IR221" t="e">
        <f>AND(Bills!S952,"AAAAAF79ufs=")</f>
        <v>#VALUE!</v>
      </c>
      <c r="IS221" t="e">
        <f>AND(Bills!T952,"AAAAAF79ufw=")</f>
        <v>#VALUE!</v>
      </c>
      <c r="IT221" t="e">
        <f>AND(Bills!#REF!,"AAAAAF79uf0=")</f>
        <v>#REF!</v>
      </c>
      <c r="IU221" t="e">
        <f>AND(Bills!U952,"AAAAAF79uf4=")</f>
        <v>#VALUE!</v>
      </c>
      <c r="IV221" t="e">
        <f>AND(Bills!V952,"AAAAAF79uf8=")</f>
        <v>#VALUE!</v>
      </c>
    </row>
    <row r="222" spans="1:256">
      <c r="A222" t="e">
        <f>AND(Bills!W952,"AAAAACON+wA=")</f>
        <v>#VALUE!</v>
      </c>
      <c r="B222" t="e">
        <f>AND(Bills!#REF!,"AAAAACON+wE=")</f>
        <v>#REF!</v>
      </c>
      <c r="C222" t="e">
        <f>AND(Bills!#REF!,"AAAAACON+wI=")</f>
        <v>#REF!</v>
      </c>
      <c r="D222" t="e">
        <f>AND(Bills!Y952,"AAAAACON+wM=")</f>
        <v>#VALUE!</v>
      </c>
      <c r="E222" t="e">
        <f>AND(Bills!Z952,"AAAAACON+wQ=")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AND(Bills!AA952,"AAAAACON+w4=")</f>
        <v>#VALUE!</v>
      </c>
      <c r="P222" t="e">
        <f>AND(Bills!AB952,"AAAAACON+w8=")</f>
        <v>#VALUE!</v>
      </c>
      <c r="Q222" t="e">
        <f>AND(Bills!#REF!,"AAAAACON+xA=")</f>
        <v>#REF!</v>
      </c>
      <c r="R222" t="e">
        <f>AND(Bills!#REF!,"AAAAACON+xE=")</f>
        <v>#REF!</v>
      </c>
      <c r="S222" t="e">
        <f>AND(Bills!#REF!,"AAAAACON+xI=")</f>
        <v>#REF!</v>
      </c>
      <c r="T222" t="e">
        <f>AND(Bills!AC952,"AAAAACON+xM=")</f>
        <v>#VALUE!</v>
      </c>
      <c r="U222" t="e">
        <f>AND(Bills!AD952,"AAAAACON+xQ=")</f>
        <v>#VALUE!</v>
      </c>
      <c r="V222" t="e">
        <f>AND(Bills!#REF!,"AAAAACON+xU=")</f>
        <v>#REF!</v>
      </c>
      <c r="W222">
        <f>IF(Bills!953:953,"AAAAACON+xY=",0)</f>
        <v>0</v>
      </c>
      <c r="X222" t="e">
        <f>AND(Bills!B953,"AAAAACON+xc=")</f>
        <v>#VALUE!</v>
      </c>
      <c r="Y222" t="e">
        <f>AND(Bills!#REF!,"AAAAACON+xg=")</f>
        <v>#REF!</v>
      </c>
      <c r="Z222" t="e">
        <f>AND(Bills!C953,"AAAAACON+xk=")</f>
        <v>#VALUE!</v>
      </c>
      <c r="AA222" t="e">
        <f>AND(Bills!D953,"AAAAACON+xo=")</f>
        <v>#VALUE!</v>
      </c>
      <c r="AB222" t="e">
        <f>AND(Bills!E953,"AAAAACON+xs=")</f>
        <v>#VALUE!</v>
      </c>
      <c r="AC222" t="e">
        <f>AND(Bills!#REF!,"AAAAACON+xw=")</f>
        <v>#REF!</v>
      </c>
      <c r="AD222" t="e">
        <f>AND(Bills!#REF!,"AAAAACON+x0=")</f>
        <v>#REF!</v>
      </c>
      <c r="AE222" t="e">
        <f>AND(Bills!#REF!,"AAAAACON+x4=")</f>
        <v>#REF!</v>
      </c>
      <c r="AF222" t="e">
        <f>AND(Bills!F953,"AAAAACON+x8=")</f>
        <v>#VALUE!</v>
      </c>
      <c r="AG222" t="e">
        <f>AND(Bills!#REF!,"AAAAACON+yA=")</f>
        <v>#REF!</v>
      </c>
      <c r="AH222" t="e">
        <f>AND(Bills!G953,"AAAAACON+yE=")</f>
        <v>#VALUE!</v>
      </c>
      <c r="AI222" t="e">
        <f>AND(Bills!H953,"AAAAACON+yI=")</f>
        <v>#VALUE!</v>
      </c>
      <c r="AJ222" t="e">
        <f>AND(Bills!I953,"AAAAACON+yM=")</f>
        <v>#VALUE!</v>
      </c>
      <c r="AK222" t="e">
        <f>AND(Bills!J953,"AAAAACON+yQ=")</f>
        <v>#VALUE!</v>
      </c>
      <c r="AL222" t="e">
        <f>AND(Bills!K953,"AAAAACON+yU=")</f>
        <v>#VALUE!</v>
      </c>
      <c r="AM222" t="e">
        <f>AND(Bills!L953,"AAAAACON+yY=")</f>
        <v>#VALUE!</v>
      </c>
      <c r="AN222" t="e">
        <f>AND(Bills!#REF!,"AAAAACON+yc=")</f>
        <v>#REF!</v>
      </c>
      <c r="AO222" t="e">
        <f>AND(Bills!M953,"AAAAACON+yg=")</f>
        <v>#VALUE!</v>
      </c>
      <c r="AP222" t="e">
        <f>AND(Bills!N953,"AAAAACON+yk=")</f>
        <v>#VALUE!</v>
      </c>
      <c r="AQ222" t="e">
        <f>AND(Bills!O953,"AAAAACON+yo=")</f>
        <v>#VALUE!</v>
      </c>
      <c r="AR222" t="e">
        <f>AND(Bills!P953,"AAAAACON+ys=")</f>
        <v>#VALUE!</v>
      </c>
      <c r="AS222" t="e">
        <f>AND(Bills!Q953,"AAAAACON+yw=")</f>
        <v>#VALUE!</v>
      </c>
      <c r="AT222" t="e">
        <f>AND(Bills!R953,"AAAAACON+y0=")</f>
        <v>#VALUE!</v>
      </c>
      <c r="AU222" t="e">
        <f>AND(Bills!S953,"AAAAACON+y4=")</f>
        <v>#VALUE!</v>
      </c>
      <c r="AV222" t="e">
        <f>AND(Bills!T953,"AAAAACON+y8=")</f>
        <v>#VALUE!</v>
      </c>
      <c r="AW222" t="e">
        <f>AND(Bills!#REF!,"AAAAACON+zA=")</f>
        <v>#REF!</v>
      </c>
      <c r="AX222" t="e">
        <f>AND(Bills!U953,"AAAAACON+zE=")</f>
        <v>#VALUE!</v>
      </c>
      <c r="AY222" t="e">
        <f>AND(Bills!V953,"AAAAACON+zI=")</f>
        <v>#VALUE!</v>
      </c>
      <c r="AZ222" t="e">
        <f>AND(Bills!W953,"AAAAACON+zM=")</f>
        <v>#VALUE!</v>
      </c>
      <c r="BA222" t="e">
        <f>AND(Bills!#REF!,"AAAAACON+zQ=")</f>
        <v>#REF!</v>
      </c>
      <c r="BB222" t="e">
        <f>AND(Bills!#REF!,"AAAAACON+zU=")</f>
        <v>#REF!</v>
      </c>
      <c r="BC222" t="e">
        <f>AND(Bills!Y953,"AAAAACON+zY=")</f>
        <v>#VALUE!</v>
      </c>
      <c r="BD222" t="e">
        <f>AND(Bills!Z953,"AAAAACON+zc=")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AND(Bills!AA953,"AAAAACON+0E=")</f>
        <v>#VALUE!</v>
      </c>
      <c r="BO222" t="e">
        <f>AND(Bills!AB953,"AAAAACON+0I=")</f>
        <v>#VALUE!</v>
      </c>
      <c r="BP222" t="e">
        <f>AND(Bills!#REF!,"AAAAACON+0M=")</f>
        <v>#REF!</v>
      </c>
      <c r="BQ222" t="e">
        <f>AND(Bills!#REF!,"AAAAACON+0Q=")</f>
        <v>#REF!</v>
      </c>
      <c r="BR222" t="e">
        <f>AND(Bills!#REF!,"AAAAACON+0U=")</f>
        <v>#REF!</v>
      </c>
      <c r="BS222" t="e">
        <f>AND(Bills!AC953,"AAAAACON+0Y=")</f>
        <v>#VALUE!</v>
      </c>
      <c r="BT222" t="e">
        <f>AND(Bills!AD953,"AAAAACON+0c=")</f>
        <v>#VALUE!</v>
      </c>
      <c r="BU222" t="e">
        <f>AND(Bills!#REF!,"AAAAACON+0g=")</f>
        <v>#REF!</v>
      </c>
      <c r="BV222">
        <f>IF(Bills!954:954,"AAAAACON+0k=",0)</f>
        <v>0</v>
      </c>
      <c r="BW222" t="e">
        <f>AND(Bills!B954,"AAAAACON+0o=")</f>
        <v>#VALUE!</v>
      </c>
      <c r="BX222" t="e">
        <f>AND(Bills!#REF!,"AAAAACON+0s=")</f>
        <v>#REF!</v>
      </c>
      <c r="BY222" t="e">
        <f>AND(Bills!C954,"AAAAACON+0w=")</f>
        <v>#VALUE!</v>
      </c>
      <c r="BZ222" t="e">
        <f>AND(Bills!D954,"AAAAACON+00=")</f>
        <v>#VALUE!</v>
      </c>
      <c r="CA222" t="e">
        <f>AND(Bills!E954,"AAAAACON+04=")</f>
        <v>#VALUE!</v>
      </c>
      <c r="CB222" t="e">
        <f>AND(Bills!#REF!,"AAAAACON+08=")</f>
        <v>#REF!</v>
      </c>
      <c r="CC222" t="e">
        <f>AND(Bills!#REF!,"AAAAACON+1A=")</f>
        <v>#REF!</v>
      </c>
      <c r="CD222" t="e">
        <f>AND(Bills!#REF!,"AAAAACON+1E=")</f>
        <v>#REF!</v>
      </c>
      <c r="CE222" t="e">
        <f>AND(Bills!F954,"AAAAACON+1I=")</f>
        <v>#VALUE!</v>
      </c>
      <c r="CF222" t="e">
        <f>AND(Bills!#REF!,"AAAAACON+1M=")</f>
        <v>#REF!</v>
      </c>
      <c r="CG222" t="e">
        <f>AND(Bills!G954,"AAAAACON+1Q=")</f>
        <v>#VALUE!</v>
      </c>
      <c r="CH222" t="e">
        <f>AND(Bills!H954,"AAAAACON+1U=")</f>
        <v>#VALUE!</v>
      </c>
      <c r="CI222" t="e">
        <f>AND(Bills!I954,"AAAAACON+1Y=")</f>
        <v>#VALUE!</v>
      </c>
      <c r="CJ222" t="e">
        <f>AND(Bills!J954,"AAAAACON+1c=")</f>
        <v>#VALUE!</v>
      </c>
      <c r="CK222" t="e">
        <f>AND(Bills!K954,"AAAAACON+1g=")</f>
        <v>#VALUE!</v>
      </c>
      <c r="CL222" t="e">
        <f>AND(Bills!L954,"AAAAACON+1k=")</f>
        <v>#VALUE!</v>
      </c>
      <c r="CM222" t="e">
        <f>AND(Bills!#REF!,"AAAAACON+1o=")</f>
        <v>#REF!</v>
      </c>
      <c r="CN222" t="e">
        <f>AND(Bills!M954,"AAAAACON+1s=")</f>
        <v>#VALUE!</v>
      </c>
      <c r="CO222" t="e">
        <f>AND(Bills!N954,"AAAAACON+1w=")</f>
        <v>#VALUE!</v>
      </c>
      <c r="CP222" t="e">
        <f>AND(Bills!O954,"AAAAACON+10=")</f>
        <v>#VALUE!</v>
      </c>
      <c r="CQ222" t="e">
        <f>AND(Bills!P954,"AAAAACON+14=")</f>
        <v>#VALUE!</v>
      </c>
      <c r="CR222" t="e">
        <f>AND(Bills!Q954,"AAAAACON+18=")</f>
        <v>#VALUE!</v>
      </c>
      <c r="CS222" t="e">
        <f>AND(Bills!R954,"AAAAACON+2A=")</f>
        <v>#VALUE!</v>
      </c>
      <c r="CT222" t="e">
        <f>AND(Bills!S954,"AAAAACON+2E=")</f>
        <v>#VALUE!</v>
      </c>
      <c r="CU222" t="e">
        <f>AND(Bills!T954,"AAAAACON+2I=")</f>
        <v>#VALUE!</v>
      </c>
      <c r="CV222" t="e">
        <f>AND(Bills!#REF!,"AAAAACON+2M=")</f>
        <v>#REF!</v>
      </c>
      <c r="CW222" t="e">
        <f>AND(Bills!U954,"AAAAACON+2Q=")</f>
        <v>#VALUE!</v>
      </c>
      <c r="CX222" t="e">
        <f>AND(Bills!V954,"AAAAACON+2U=")</f>
        <v>#VALUE!</v>
      </c>
      <c r="CY222" t="e">
        <f>AND(Bills!W954,"AAAAACON+2Y=")</f>
        <v>#VALUE!</v>
      </c>
      <c r="CZ222" t="e">
        <f>AND(Bills!#REF!,"AAAAACON+2c=")</f>
        <v>#REF!</v>
      </c>
      <c r="DA222" t="e">
        <f>AND(Bills!#REF!,"AAAAACON+2g=")</f>
        <v>#REF!</v>
      </c>
      <c r="DB222" t="e">
        <f>AND(Bills!Y954,"AAAAACON+2k=")</f>
        <v>#VALUE!</v>
      </c>
      <c r="DC222" t="e">
        <f>AND(Bills!Z954,"AAAAACON+2o=")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AND(Bills!AA954,"AAAAACON+3Q=")</f>
        <v>#VALUE!</v>
      </c>
      <c r="DN222" t="e">
        <f>AND(Bills!AB954,"AAAAACON+3U=")</f>
        <v>#VALUE!</v>
      </c>
      <c r="DO222" t="e">
        <f>AND(Bills!#REF!,"AAAAACON+3Y=")</f>
        <v>#REF!</v>
      </c>
      <c r="DP222" t="e">
        <f>AND(Bills!#REF!,"AAAAACON+3c=")</f>
        <v>#REF!</v>
      </c>
      <c r="DQ222" t="e">
        <f>AND(Bills!#REF!,"AAAAACON+3g=")</f>
        <v>#REF!</v>
      </c>
      <c r="DR222" t="e">
        <f>AND(Bills!AC954,"AAAAACON+3k=")</f>
        <v>#VALUE!</v>
      </c>
      <c r="DS222" t="e">
        <f>AND(Bills!AD954,"AAAAACON+3o=")</f>
        <v>#VALUE!</v>
      </c>
      <c r="DT222" t="e">
        <f>AND(Bills!#REF!,"AAAAACON+3s=")</f>
        <v>#REF!</v>
      </c>
      <c r="DU222">
        <f>IF(Bills!955:955,"AAAAACON+3w=",0)</f>
        <v>0</v>
      </c>
      <c r="DV222" t="e">
        <f>AND(Bills!B955,"AAAAACON+30=")</f>
        <v>#VALUE!</v>
      </c>
      <c r="DW222" t="e">
        <f>AND(Bills!#REF!,"AAAAACON+34=")</f>
        <v>#REF!</v>
      </c>
      <c r="DX222" t="e">
        <f>AND(Bills!C955,"AAAAACON+38=")</f>
        <v>#VALUE!</v>
      </c>
      <c r="DY222" t="e">
        <f>AND(Bills!D955,"AAAAACON+4A=")</f>
        <v>#VALUE!</v>
      </c>
      <c r="DZ222" t="e">
        <f>AND(Bills!E955,"AAAAACON+4E=")</f>
        <v>#VALUE!</v>
      </c>
      <c r="EA222" t="e">
        <f>AND(Bills!#REF!,"AAAAACON+4I=")</f>
        <v>#REF!</v>
      </c>
      <c r="EB222" t="e">
        <f>AND(Bills!#REF!,"AAAAACON+4M=")</f>
        <v>#REF!</v>
      </c>
      <c r="EC222" t="e">
        <f>AND(Bills!#REF!,"AAAAACON+4Q=")</f>
        <v>#REF!</v>
      </c>
      <c r="ED222" t="e">
        <f>AND(Bills!F955,"AAAAACON+4U=")</f>
        <v>#VALUE!</v>
      </c>
      <c r="EE222" t="e">
        <f>AND(Bills!#REF!,"AAAAACON+4Y=")</f>
        <v>#REF!</v>
      </c>
      <c r="EF222" t="e">
        <f>AND(Bills!G955,"AAAAACON+4c=")</f>
        <v>#VALUE!</v>
      </c>
      <c r="EG222" t="e">
        <f>AND(Bills!H955,"AAAAACON+4g=")</f>
        <v>#VALUE!</v>
      </c>
      <c r="EH222" t="e">
        <f>AND(Bills!I955,"AAAAACON+4k=")</f>
        <v>#VALUE!</v>
      </c>
      <c r="EI222" t="e">
        <f>AND(Bills!J955,"AAAAACON+4o=")</f>
        <v>#VALUE!</v>
      </c>
      <c r="EJ222" t="e">
        <f>AND(Bills!K955,"AAAAACON+4s=")</f>
        <v>#VALUE!</v>
      </c>
      <c r="EK222" t="e">
        <f>AND(Bills!L955,"AAAAACON+4w=")</f>
        <v>#VALUE!</v>
      </c>
      <c r="EL222" t="e">
        <f>AND(Bills!#REF!,"AAAAACON+40=")</f>
        <v>#REF!</v>
      </c>
      <c r="EM222" t="e">
        <f>AND(Bills!M955,"AAAAACON+44=")</f>
        <v>#VALUE!</v>
      </c>
      <c r="EN222" t="e">
        <f>AND(Bills!N955,"AAAAACON+48=")</f>
        <v>#VALUE!</v>
      </c>
      <c r="EO222" t="e">
        <f>AND(Bills!O955,"AAAAACON+5A=")</f>
        <v>#VALUE!</v>
      </c>
      <c r="EP222" t="e">
        <f>AND(Bills!P955,"AAAAACON+5E=")</f>
        <v>#VALUE!</v>
      </c>
      <c r="EQ222" t="e">
        <f>AND(Bills!Q955,"AAAAACON+5I=")</f>
        <v>#VALUE!</v>
      </c>
      <c r="ER222" t="e">
        <f>AND(Bills!R955,"AAAAACON+5M=")</f>
        <v>#VALUE!</v>
      </c>
      <c r="ES222" t="e">
        <f>AND(Bills!S955,"AAAAACON+5Q=")</f>
        <v>#VALUE!</v>
      </c>
      <c r="ET222" t="e">
        <f>AND(Bills!T955,"AAAAACON+5U=")</f>
        <v>#VALUE!</v>
      </c>
      <c r="EU222" t="e">
        <f>AND(Bills!#REF!,"AAAAACON+5Y=")</f>
        <v>#REF!</v>
      </c>
      <c r="EV222" t="e">
        <f>AND(Bills!U955,"AAAAACON+5c=")</f>
        <v>#VALUE!</v>
      </c>
      <c r="EW222" t="e">
        <f>AND(Bills!V955,"AAAAACON+5g=")</f>
        <v>#VALUE!</v>
      </c>
      <c r="EX222" t="e">
        <f>AND(Bills!W955,"AAAAACON+5k=")</f>
        <v>#VALUE!</v>
      </c>
      <c r="EY222" t="e">
        <f>AND(Bills!#REF!,"AAAAACON+5o=")</f>
        <v>#REF!</v>
      </c>
      <c r="EZ222" t="e">
        <f>AND(Bills!#REF!,"AAAAACON+5s=")</f>
        <v>#REF!</v>
      </c>
      <c r="FA222" t="e">
        <f>AND(Bills!Y955,"AAAAACON+5w=")</f>
        <v>#VALUE!</v>
      </c>
      <c r="FB222" t="e">
        <f>AND(Bills!Z955,"AAAAACON+50=")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AND(Bills!AA955,"AAAAACON+6c=")</f>
        <v>#VALUE!</v>
      </c>
      <c r="FM222" t="e">
        <f>AND(Bills!AB955,"AAAAACON+6g=")</f>
        <v>#VALUE!</v>
      </c>
      <c r="FN222" t="e">
        <f>AND(Bills!#REF!,"AAAAACON+6k=")</f>
        <v>#REF!</v>
      </c>
      <c r="FO222" t="e">
        <f>AND(Bills!#REF!,"AAAAACON+6o=")</f>
        <v>#REF!</v>
      </c>
      <c r="FP222" t="e">
        <f>AND(Bills!#REF!,"AAAAACON+6s=")</f>
        <v>#REF!</v>
      </c>
      <c r="FQ222" t="e">
        <f>AND(Bills!AC955,"AAAAACON+6w=")</f>
        <v>#VALUE!</v>
      </c>
      <c r="FR222" t="e">
        <f>AND(Bills!AD955,"AAAAACON+60=")</f>
        <v>#VALUE!</v>
      </c>
      <c r="FS222" t="e">
        <f>AND(Bills!#REF!,"AAAAACON+64=")</f>
        <v>#REF!</v>
      </c>
      <c r="FT222">
        <f>IF(Bills!956:956,"AAAAACON+68=",0)</f>
        <v>0</v>
      </c>
      <c r="FU222" t="e">
        <f>AND(Bills!B956,"AAAAACON+7A=")</f>
        <v>#VALUE!</v>
      </c>
      <c r="FV222" t="e">
        <f>AND(Bills!#REF!,"AAAAACON+7E=")</f>
        <v>#REF!</v>
      </c>
      <c r="FW222" t="e">
        <f>AND(Bills!C956,"AAAAACON+7I=")</f>
        <v>#VALUE!</v>
      </c>
      <c r="FX222" t="e">
        <f>AND(Bills!D956,"AAAAACON+7M=")</f>
        <v>#VALUE!</v>
      </c>
      <c r="FY222" t="e">
        <f>AND(Bills!E956,"AAAAACON+7Q=")</f>
        <v>#VALUE!</v>
      </c>
      <c r="FZ222" t="e">
        <f>AND(Bills!#REF!,"AAAAACON+7U=")</f>
        <v>#REF!</v>
      </c>
      <c r="GA222" t="e">
        <f>AND(Bills!#REF!,"AAAAACON+7Y=")</f>
        <v>#REF!</v>
      </c>
      <c r="GB222" t="e">
        <f>AND(Bills!#REF!,"AAAAACON+7c=")</f>
        <v>#REF!</v>
      </c>
      <c r="GC222" t="e">
        <f>AND(Bills!F956,"AAAAACON+7g=")</f>
        <v>#VALUE!</v>
      </c>
      <c r="GD222" t="e">
        <f>AND(Bills!#REF!,"AAAAACON+7k=")</f>
        <v>#REF!</v>
      </c>
      <c r="GE222" t="e">
        <f>AND(Bills!G956,"AAAAACON+7o=")</f>
        <v>#VALUE!</v>
      </c>
      <c r="GF222" t="e">
        <f>AND(Bills!H956,"AAAAACON+7s=")</f>
        <v>#VALUE!</v>
      </c>
      <c r="GG222" t="e">
        <f>AND(Bills!I956,"AAAAACON+7w=")</f>
        <v>#VALUE!</v>
      </c>
      <c r="GH222" t="e">
        <f>AND(Bills!J956,"AAAAACON+70=")</f>
        <v>#VALUE!</v>
      </c>
      <c r="GI222" t="e">
        <f>AND(Bills!K956,"AAAAACON+74=")</f>
        <v>#VALUE!</v>
      </c>
      <c r="GJ222" t="e">
        <f>AND(Bills!L956,"AAAAACON+78=")</f>
        <v>#VALUE!</v>
      </c>
      <c r="GK222" t="e">
        <f>AND(Bills!#REF!,"AAAAACON+8A=")</f>
        <v>#REF!</v>
      </c>
      <c r="GL222" t="e">
        <f>AND(Bills!M956,"AAAAACON+8E=")</f>
        <v>#VALUE!</v>
      </c>
      <c r="GM222" t="e">
        <f>AND(Bills!N956,"AAAAACON+8I=")</f>
        <v>#VALUE!</v>
      </c>
      <c r="GN222" t="e">
        <f>AND(Bills!O956,"AAAAACON+8M=")</f>
        <v>#VALUE!</v>
      </c>
      <c r="GO222" t="e">
        <f>AND(Bills!P956,"AAAAACON+8Q=")</f>
        <v>#VALUE!</v>
      </c>
      <c r="GP222" t="e">
        <f>AND(Bills!Q956,"AAAAACON+8U=")</f>
        <v>#VALUE!</v>
      </c>
      <c r="GQ222" t="e">
        <f>AND(Bills!R956,"AAAAACON+8Y=")</f>
        <v>#VALUE!</v>
      </c>
      <c r="GR222" t="e">
        <f>AND(Bills!S956,"AAAAACON+8c=")</f>
        <v>#VALUE!</v>
      </c>
      <c r="GS222" t="e">
        <f>AND(Bills!T956,"AAAAACON+8g=")</f>
        <v>#VALUE!</v>
      </c>
      <c r="GT222" t="e">
        <f>AND(Bills!#REF!,"AAAAACON+8k=")</f>
        <v>#REF!</v>
      </c>
      <c r="GU222" t="e">
        <f>AND(Bills!U956,"AAAAACON+8o=")</f>
        <v>#VALUE!</v>
      </c>
      <c r="GV222" t="e">
        <f>AND(Bills!V956,"AAAAACON+8s=")</f>
        <v>#VALUE!</v>
      </c>
      <c r="GW222" t="e">
        <f>AND(Bills!W956,"AAAAACON+8w=")</f>
        <v>#VALUE!</v>
      </c>
      <c r="GX222" t="e">
        <f>AND(Bills!#REF!,"AAAAACON+80=")</f>
        <v>#REF!</v>
      </c>
      <c r="GY222" t="e">
        <f>AND(Bills!#REF!,"AAAAACON+84=")</f>
        <v>#REF!</v>
      </c>
      <c r="GZ222" t="e">
        <f>AND(Bills!Y956,"AAAAACON+88=")</f>
        <v>#VALUE!</v>
      </c>
      <c r="HA222" t="e">
        <f>AND(Bills!Z956,"AAAAACON+9A=")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AND(Bills!AA956,"AAAAACON+9o=")</f>
        <v>#VALUE!</v>
      </c>
      <c r="HL222" t="e">
        <f>AND(Bills!AB956,"AAAAACON+9s=")</f>
        <v>#VALUE!</v>
      </c>
      <c r="HM222" t="e">
        <f>AND(Bills!#REF!,"AAAAACON+9w=")</f>
        <v>#REF!</v>
      </c>
      <c r="HN222" t="e">
        <f>AND(Bills!#REF!,"AAAAACON+90=")</f>
        <v>#REF!</v>
      </c>
      <c r="HO222" t="e">
        <f>AND(Bills!#REF!,"AAAAACON+94=")</f>
        <v>#REF!</v>
      </c>
      <c r="HP222" t="e">
        <f>AND(Bills!AC956,"AAAAACON+98=")</f>
        <v>#VALUE!</v>
      </c>
      <c r="HQ222" t="e">
        <f>AND(Bills!AD956,"AAAAACON++A=")</f>
        <v>#VALUE!</v>
      </c>
      <c r="HR222" t="e">
        <f>AND(Bills!#REF!,"AAAAACON++E=")</f>
        <v>#REF!</v>
      </c>
      <c r="HS222">
        <f>IF(Bills!957:957,"AAAAACON++I=",0)</f>
        <v>0</v>
      </c>
      <c r="HT222" t="e">
        <f>AND(Bills!B957,"AAAAACON++M=")</f>
        <v>#VALUE!</v>
      </c>
      <c r="HU222" t="e">
        <f>AND(Bills!#REF!,"AAAAACON++Q=")</f>
        <v>#REF!</v>
      </c>
      <c r="HV222" t="e">
        <f>AND(Bills!C957,"AAAAACON++U=")</f>
        <v>#VALUE!</v>
      </c>
      <c r="HW222" t="e">
        <f>AND(Bills!D957,"AAAAACON++Y=")</f>
        <v>#VALUE!</v>
      </c>
      <c r="HX222" t="e">
        <f>AND(Bills!E957,"AAAAACON++c=")</f>
        <v>#VALUE!</v>
      </c>
      <c r="HY222" t="e">
        <f>AND(Bills!#REF!,"AAAAACON++g=")</f>
        <v>#REF!</v>
      </c>
      <c r="HZ222" t="e">
        <f>AND(Bills!#REF!,"AAAAACON++k=")</f>
        <v>#REF!</v>
      </c>
      <c r="IA222" t="e">
        <f>AND(Bills!#REF!,"AAAAACON++o=")</f>
        <v>#REF!</v>
      </c>
      <c r="IB222" t="e">
        <f>AND(Bills!F957,"AAAAACON++s=")</f>
        <v>#VALUE!</v>
      </c>
      <c r="IC222" t="e">
        <f>AND(Bills!#REF!,"AAAAACON++w=")</f>
        <v>#REF!</v>
      </c>
      <c r="ID222" t="e">
        <f>AND(Bills!G957,"AAAAACON++0=")</f>
        <v>#VALUE!</v>
      </c>
      <c r="IE222" t="e">
        <f>AND(Bills!H957,"AAAAACON++4=")</f>
        <v>#VALUE!</v>
      </c>
      <c r="IF222" t="e">
        <f>AND(Bills!I957,"AAAAACON++8=")</f>
        <v>#VALUE!</v>
      </c>
      <c r="IG222" t="e">
        <f>AND(Bills!J957,"AAAAACON+/A=")</f>
        <v>#VALUE!</v>
      </c>
      <c r="IH222" t="e">
        <f>AND(Bills!K957,"AAAAACON+/E=")</f>
        <v>#VALUE!</v>
      </c>
      <c r="II222" t="e">
        <f>AND(Bills!L957,"AAAAACON+/I=")</f>
        <v>#VALUE!</v>
      </c>
      <c r="IJ222" t="e">
        <f>AND(Bills!#REF!,"AAAAACON+/M=")</f>
        <v>#REF!</v>
      </c>
      <c r="IK222" t="e">
        <f>AND(Bills!M957,"AAAAACON+/Q=")</f>
        <v>#VALUE!</v>
      </c>
      <c r="IL222" t="e">
        <f>AND(Bills!N957,"AAAAACON+/U=")</f>
        <v>#VALUE!</v>
      </c>
      <c r="IM222" t="e">
        <f>AND(Bills!O957,"AAAAACON+/Y=")</f>
        <v>#VALUE!</v>
      </c>
      <c r="IN222" t="e">
        <f>AND(Bills!P957,"AAAAACON+/c=")</f>
        <v>#VALUE!</v>
      </c>
      <c r="IO222" t="e">
        <f>AND(Bills!Q957,"AAAAACON+/g=")</f>
        <v>#VALUE!</v>
      </c>
      <c r="IP222" t="e">
        <f>AND(Bills!R957,"AAAAACON+/k=")</f>
        <v>#VALUE!</v>
      </c>
      <c r="IQ222" t="e">
        <f>AND(Bills!S957,"AAAAACON+/o=")</f>
        <v>#VALUE!</v>
      </c>
      <c r="IR222" t="e">
        <f>AND(Bills!T957,"AAAAACON+/s=")</f>
        <v>#VALUE!</v>
      </c>
      <c r="IS222" t="e">
        <f>AND(Bills!#REF!,"AAAAACON+/w=")</f>
        <v>#REF!</v>
      </c>
      <c r="IT222" t="e">
        <f>AND(Bills!U957,"AAAAACON+/0=")</f>
        <v>#VALUE!</v>
      </c>
      <c r="IU222" t="e">
        <f>AND(Bills!V957,"AAAAACON+/4=")</f>
        <v>#VALUE!</v>
      </c>
      <c r="IV222" t="e">
        <f>AND(Bills!W957,"AAAAACON+/8=")</f>
        <v>#VALUE!</v>
      </c>
    </row>
    <row r="223" spans="1:256">
      <c r="A223" t="e">
        <f>AND(Bills!#REF!,"AAAAAEf57wA=")</f>
        <v>#REF!</v>
      </c>
      <c r="B223" t="e">
        <f>AND(Bills!#REF!,"AAAAAEf57wE=")</f>
        <v>#REF!</v>
      </c>
      <c r="C223" t="e">
        <f>AND(Bills!Y957,"AAAAAEf57wI=")</f>
        <v>#VALUE!</v>
      </c>
      <c r="D223" t="e">
        <f>AND(Bills!Z957,"AAAAAEf57wM=")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AND(Bills!AA957,"AAAAAEf57w0=")</f>
        <v>#VALUE!</v>
      </c>
      <c r="O223" t="e">
        <f>AND(Bills!AB957,"AAAAAEf57w4=")</f>
        <v>#VALUE!</v>
      </c>
      <c r="P223" t="e">
        <f>AND(Bills!#REF!,"AAAAAEf57w8=")</f>
        <v>#REF!</v>
      </c>
      <c r="Q223" t="e">
        <f>AND(Bills!#REF!,"AAAAAEf57xA=")</f>
        <v>#REF!</v>
      </c>
      <c r="R223" t="e">
        <f>AND(Bills!#REF!,"AAAAAEf57xE=")</f>
        <v>#REF!</v>
      </c>
      <c r="S223" t="e">
        <f>AND(Bills!AC957,"AAAAAEf57xI=")</f>
        <v>#VALUE!</v>
      </c>
      <c r="T223" t="e">
        <f>AND(Bills!AD957,"AAAAAEf57xM=")</f>
        <v>#VALUE!</v>
      </c>
      <c r="U223" t="e">
        <f>AND(Bills!#REF!,"AAAAAEf57xQ=")</f>
        <v>#REF!</v>
      </c>
      <c r="V223">
        <f>IF(Bills!958:958,"AAAAAEf57xU=",0)</f>
        <v>0</v>
      </c>
      <c r="W223" t="e">
        <f>AND(Bills!B958,"AAAAAEf57xY=")</f>
        <v>#VALUE!</v>
      </c>
      <c r="X223" t="e">
        <f>AND(Bills!#REF!,"AAAAAEf57xc=")</f>
        <v>#REF!</v>
      </c>
      <c r="Y223" t="e">
        <f>AND(Bills!C958,"AAAAAEf57xg=")</f>
        <v>#VALUE!</v>
      </c>
      <c r="Z223" t="e">
        <f>AND(Bills!D958,"AAAAAEf57xk=")</f>
        <v>#VALUE!</v>
      </c>
      <c r="AA223" t="e">
        <f>AND(Bills!E958,"AAAAAEf57xo=")</f>
        <v>#VALUE!</v>
      </c>
      <c r="AB223" t="e">
        <f>AND(Bills!#REF!,"AAAAAEf57xs=")</f>
        <v>#REF!</v>
      </c>
      <c r="AC223" t="e">
        <f>AND(Bills!#REF!,"AAAAAEf57xw=")</f>
        <v>#REF!</v>
      </c>
      <c r="AD223" t="e">
        <f>AND(Bills!#REF!,"AAAAAEf57x0=")</f>
        <v>#REF!</v>
      </c>
      <c r="AE223" t="e">
        <f>AND(Bills!F958,"AAAAAEf57x4=")</f>
        <v>#VALUE!</v>
      </c>
      <c r="AF223" t="e">
        <f>AND(Bills!#REF!,"AAAAAEf57x8=")</f>
        <v>#REF!</v>
      </c>
      <c r="AG223" t="e">
        <f>AND(Bills!G958,"AAAAAEf57yA=")</f>
        <v>#VALUE!</v>
      </c>
      <c r="AH223" t="e">
        <f>AND(Bills!H958,"AAAAAEf57yE=")</f>
        <v>#VALUE!</v>
      </c>
      <c r="AI223" t="e">
        <f>AND(Bills!I958,"AAAAAEf57yI=")</f>
        <v>#VALUE!</v>
      </c>
      <c r="AJ223" t="e">
        <f>AND(Bills!J958,"AAAAAEf57yM=")</f>
        <v>#VALUE!</v>
      </c>
      <c r="AK223" t="e">
        <f>AND(Bills!K958,"AAAAAEf57yQ=")</f>
        <v>#VALUE!</v>
      </c>
      <c r="AL223" t="e">
        <f>AND(Bills!L958,"AAAAAEf57yU=")</f>
        <v>#VALUE!</v>
      </c>
      <c r="AM223" t="e">
        <f>AND(Bills!#REF!,"AAAAAEf57yY=")</f>
        <v>#REF!</v>
      </c>
      <c r="AN223" t="e">
        <f>AND(Bills!M958,"AAAAAEf57yc=")</f>
        <v>#VALUE!</v>
      </c>
      <c r="AO223" t="e">
        <f>AND(Bills!N958,"AAAAAEf57yg=")</f>
        <v>#VALUE!</v>
      </c>
      <c r="AP223" t="e">
        <f>AND(Bills!O958,"AAAAAEf57yk=")</f>
        <v>#VALUE!</v>
      </c>
      <c r="AQ223" t="e">
        <f>AND(Bills!P958,"AAAAAEf57yo=")</f>
        <v>#VALUE!</v>
      </c>
      <c r="AR223" t="e">
        <f>AND(Bills!Q958,"AAAAAEf57ys=")</f>
        <v>#VALUE!</v>
      </c>
      <c r="AS223" t="e">
        <f>AND(Bills!R958,"AAAAAEf57yw=")</f>
        <v>#VALUE!</v>
      </c>
      <c r="AT223" t="e">
        <f>AND(Bills!S958,"AAAAAEf57y0=")</f>
        <v>#VALUE!</v>
      </c>
      <c r="AU223" t="e">
        <f>AND(Bills!T958,"AAAAAEf57y4=")</f>
        <v>#VALUE!</v>
      </c>
      <c r="AV223" t="e">
        <f>AND(Bills!#REF!,"AAAAAEf57y8=")</f>
        <v>#REF!</v>
      </c>
      <c r="AW223" t="e">
        <f>AND(Bills!U958,"AAAAAEf57zA=")</f>
        <v>#VALUE!</v>
      </c>
      <c r="AX223" t="e">
        <f>AND(Bills!V958,"AAAAAEf57zE=")</f>
        <v>#VALUE!</v>
      </c>
      <c r="AY223" t="e">
        <f>AND(Bills!W958,"AAAAAEf57zI=")</f>
        <v>#VALUE!</v>
      </c>
      <c r="AZ223" t="e">
        <f>AND(Bills!#REF!,"AAAAAEf57zM=")</f>
        <v>#REF!</v>
      </c>
      <c r="BA223" t="e">
        <f>AND(Bills!#REF!,"AAAAAEf57zQ=")</f>
        <v>#REF!</v>
      </c>
      <c r="BB223" t="e">
        <f>AND(Bills!Y958,"AAAAAEf57zU=")</f>
        <v>#VALUE!</v>
      </c>
      <c r="BC223" t="e">
        <f>AND(Bills!Z958,"AAAAAEf57zY=")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AND(Bills!AA958,"AAAAAEf570A=")</f>
        <v>#VALUE!</v>
      </c>
      <c r="BN223" t="e">
        <f>AND(Bills!AB958,"AAAAAEf570E=")</f>
        <v>#VALUE!</v>
      </c>
      <c r="BO223" t="e">
        <f>AND(Bills!#REF!,"AAAAAEf570I=")</f>
        <v>#REF!</v>
      </c>
      <c r="BP223" t="e">
        <f>AND(Bills!#REF!,"AAAAAEf570M=")</f>
        <v>#REF!</v>
      </c>
      <c r="BQ223" t="e">
        <f>AND(Bills!#REF!,"AAAAAEf570Q=")</f>
        <v>#REF!</v>
      </c>
      <c r="BR223" t="e">
        <f>AND(Bills!AC958,"AAAAAEf570U=")</f>
        <v>#VALUE!</v>
      </c>
      <c r="BS223" t="e">
        <f>AND(Bills!AD958,"AAAAAEf570Y=")</f>
        <v>#VALUE!</v>
      </c>
      <c r="BT223" t="e">
        <f>AND(Bills!#REF!,"AAAAAEf570c=")</f>
        <v>#REF!</v>
      </c>
      <c r="BU223">
        <f>IF(Bills!959:959,"AAAAAEf570g=",0)</f>
        <v>0</v>
      </c>
      <c r="BV223" t="e">
        <f>AND(Bills!B959,"AAAAAEf570k=")</f>
        <v>#VALUE!</v>
      </c>
      <c r="BW223" t="e">
        <f>AND(Bills!#REF!,"AAAAAEf570o=")</f>
        <v>#REF!</v>
      </c>
      <c r="BX223" t="e">
        <f>AND(Bills!C959,"AAAAAEf570s=")</f>
        <v>#VALUE!</v>
      </c>
      <c r="BY223" t="e">
        <f>AND(Bills!D959,"AAAAAEf570w=")</f>
        <v>#VALUE!</v>
      </c>
      <c r="BZ223" t="e">
        <f>AND(Bills!E959,"AAAAAEf5700=")</f>
        <v>#VALUE!</v>
      </c>
      <c r="CA223" t="e">
        <f>AND(Bills!#REF!,"AAAAAEf5704=")</f>
        <v>#REF!</v>
      </c>
      <c r="CB223" t="e">
        <f>AND(Bills!#REF!,"AAAAAEf5708=")</f>
        <v>#REF!</v>
      </c>
      <c r="CC223" t="e">
        <f>AND(Bills!#REF!,"AAAAAEf571A=")</f>
        <v>#REF!</v>
      </c>
      <c r="CD223" t="e">
        <f>AND(Bills!F959,"AAAAAEf571E=")</f>
        <v>#VALUE!</v>
      </c>
      <c r="CE223" t="e">
        <f>AND(Bills!#REF!,"AAAAAEf571I=")</f>
        <v>#REF!</v>
      </c>
      <c r="CF223" t="e">
        <f>AND(Bills!G959,"AAAAAEf571M=")</f>
        <v>#VALUE!</v>
      </c>
      <c r="CG223" t="e">
        <f>AND(Bills!H959,"AAAAAEf571Q=")</f>
        <v>#VALUE!</v>
      </c>
      <c r="CH223" t="e">
        <f>AND(Bills!I959,"AAAAAEf571U=")</f>
        <v>#VALUE!</v>
      </c>
      <c r="CI223" t="e">
        <f>AND(Bills!J959,"AAAAAEf571Y=")</f>
        <v>#VALUE!</v>
      </c>
      <c r="CJ223" t="e">
        <f>AND(Bills!K959,"AAAAAEf571c=")</f>
        <v>#VALUE!</v>
      </c>
      <c r="CK223" t="e">
        <f>AND(Bills!L959,"AAAAAEf571g=")</f>
        <v>#VALUE!</v>
      </c>
      <c r="CL223" t="e">
        <f>AND(Bills!#REF!,"AAAAAEf571k=")</f>
        <v>#REF!</v>
      </c>
      <c r="CM223" t="e">
        <f>AND(Bills!M959,"AAAAAEf571o=")</f>
        <v>#VALUE!</v>
      </c>
      <c r="CN223" t="e">
        <f>AND(Bills!N959,"AAAAAEf571s=")</f>
        <v>#VALUE!</v>
      </c>
      <c r="CO223" t="e">
        <f>AND(Bills!O959,"AAAAAEf571w=")</f>
        <v>#VALUE!</v>
      </c>
      <c r="CP223" t="e">
        <f>AND(Bills!P959,"AAAAAEf5710=")</f>
        <v>#VALUE!</v>
      </c>
      <c r="CQ223" t="e">
        <f>AND(Bills!Q959,"AAAAAEf5714=")</f>
        <v>#VALUE!</v>
      </c>
      <c r="CR223" t="e">
        <f>AND(Bills!R959,"AAAAAEf5718=")</f>
        <v>#VALUE!</v>
      </c>
      <c r="CS223" t="e">
        <f>AND(Bills!S959,"AAAAAEf572A=")</f>
        <v>#VALUE!</v>
      </c>
      <c r="CT223" t="e">
        <f>AND(Bills!T959,"AAAAAEf572E=")</f>
        <v>#VALUE!</v>
      </c>
      <c r="CU223" t="e">
        <f>AND(Bills!#REF!,"AAAAAEf572I=")</f>
        <v>#REF!</v>
      </c>
      <c r="CV223" t="e">
        <f>AND(Bills!U959,"AAAAAEf572M=")</f>
        <v>#VALUE!</v>
      </c>
      <c r="CW223" t="e">
        <f>AND(Bills!V959,"AAAAAEf572Q=")</f>
        <v>#VALUE!</v>
      </c>
      <c r="CX223" t="e">
        <f>AND(Bills!W959,"AAAAAEf572U=")</f>
        <v>#VALUE!</v>
      </c>
      <c r="CY223" t="e">
        <f>AND(Bills!#REF!,"AAAAAEf572Y=")</f>
        <v>#REF!</v>
      </c>
      <c r="CZ223" t="e">
        <f>AND(Bills!#REF!,"AAAAAEf572c=")</f>
        <v>#REF!</v>
      </c>
      <c r="DA223" t="e">
        <f>AND(Bills!Y959,"AAAAAEf572g=")</f>
        <v>#VALUE!</v>
      </c>
      <c r="DB223" t="e">
        <f>AND(Bills!Z959,"AAAAAEf572k=")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AND(Bills!AA959,"AAAAAEf573M=")</f>
        <v>#VALUE!</v>
      </c>
      <c r="DM223" t="e">
        <f>AND(Bills!AB959,"AAAAAEf573Q=")</f>
        <v>#VALUE!</v>
      </c>
      <c r="DN223" t="e">
        <f>AND(Bills!#REF!,"AAAAAEf573U=")</f>
        <v>#REF!</v>
      </c>
      <c r="DO223" t="e">
        <f>AND(Bills!#REF!,"AAAAAEf573Y=")</f>
        <v>#REF!</v>
      </c>
      <c r="DP223" t="e">
        <f>AND(Bills!#REF!,"AAAAAEf573c=")</f>
        <v>#REF!</v>
      </c>
      <c r="DQ223" t="e">
        <f>AND(Bills!AC959,"AAAAAEf573g=")</f>
        <v>#VALUE!</v>
      </c>
      <c r="DR223" t="e">
        <f>AND(Bills!AD959,"AAAAAEf573k=")</f>
        <v>#VALUE!</v>
      </c>
      <c r="DS223" t="e">
        <f>AND(Bills!#REF!,"AAAAAEf573o=")</f>
        <v>#REF!</v>
      </c>
      <c r="DT223">
        <f>IF(Bills!960:960,"AAAAAEf573s=",0)</f>
        <v>0</v>
      </c>
      <c r="DU223" t="e">
        <f>AND(Bills!B960,"AAAAAEf573w=")</f>
        <v>#VALUE!</v>
      </c>
      <c r="DV223" t="e">
        <f>AND(Bills!#REF!,"AAAAAEf5730=")</f>
        <v>#REF!</v>
      </c>
      <c r="DW223" t="e">
        <f>AND(Bills!C960,"AAAAAEf5734=")</f>
        <v>#VALUE!</v>
      </c>
      <c r="DX223" t="e">
        <f>AND(Bills!D960,"AAAAAEf5738=")</f>
        <v>#VALUE!</v>
      </c>
      <c r="DY223" t="e">
        <f>AND(Bills!E960,"AAAAAEf574A=")</f>
        <v>#VALUE!</v>
      </c>
      <c r="DZ223" t="e">
        <f>AND(Bills!#REF!,"AAAAAEf574E=")</f>
        <v>#REF!</v>
      </c>
      <c r="EA223" t="e">
        <f>AND(Bills!#REF!,"AAAAAEf574I=")</f>
        <v>#REF!</v>
      </c>
      <c r="EB223" t="e">
        <f>AND(Bills!#REF!,"AAAAAEf574M=")</f>
        <v>#REF!</v>
      </c>
      <c r="EC223" t="e">
        <f>AND(Bills!F960,"AAAAAEf574Q=")</f>
        <v>#VALUE!</v>
      </c>
      <c r="ED223" t="e">
        <f>AND(Bills!#REF!,"AAAAAEf574U=")</f>
        <v>#REF!</v>
      </c>
      <c r="EE223" t="e">
        <f>AND(Bills!G960,"AAAAAEf574Y=")</f>
        <v>#VALUE!</v>
      </c>
      <c r="EF223" t="e">
        <f>AND(Bills!H960,"AAAAAEf574c=")</f>
        <v>#VALUE!</v>
      </c>
      <c r="EG223" t="e">
        <f>AND(Bills!I960,"AAAAAEf574g=")</f>
        <v>#VALUE!</v>
      </c>
      <c r="EH223" t="e">
        <f>AND(Bills!J960,"AAAAAEf574k=")</f>
        <v>#VALUE!</v>
      </c>
      <c r="EI223" t="e">
        <f>AND(Bills!K960,"AAAAAEf574o=")</f>
        <v>#VALUE!</v>
      </c>
      <c r="EJ223" t="e">
        <f>AND(Bills!L960,"AAAAAEf574s=")</f>
        <v>#VALUE!</v>
      </c>
      <c r="EK223" t="e">
        <f>AND(Bills!#REF!,"AAAAAEf574w=")</f>
        <v>#REF!</v>
      </c>
      <c r="EL223" t="e">
        <f>AND(Bills!M960,"AAAAAEf5740=")</f>
        <v>#VALUE!</v>
      </c>
      <c r="EM223" t="e">
        <f>AND(Bills!N960,"AAAAAEf5744=")</f>
        <v>#VALUE!</v>
      </c>
      <c r="EN223" t="e">
        <f>AND(Bills!O960,"AAAAAEf5748=")</f>
        <v>#VALUE!</v>
      </c>
      <c r="EO223" t="e">
        <f>AND(Bills!P960,"AAAAAEf575A=")</f>
        <v>#VALUE!</v>
      </c>
      <c r="EP223" t="e">
        <f>AND(Bills!Q960,"AAAAAEf575E=")</f>
        <v>#VALUE!</v>
      </c>
      <c r="EQ223" t="e">
        <f>AND(Bills!R960,"AAAAAEf575I=")</f>
        <v>#VALUE!</v>
      </c>
      <c r="ER223" t="e">
        <f>AND(Bills!S960,"AAAAAEf575M=")</f>
        <v>#VALUE!</v>
      </c>
      <c r="ES223" t="e">
        <f>AND(Bills!T960,"AAAAAEf575Q=")</f>
        <v>#VALUE!</v>
      </c>
      <c r="ET223" t="e">
        <f>AND(Bills!#REF!,"AAAAAEf575U=")</f>
        <v>#REF!</v>
      </c>
      <c r="EU223" t="e">
        <f>AND(Bills!U960,"AAAAAEf575Y=")</f>
        <v>#VALUE!</v>
      </c>
      <c r="EV223" t="e">
        <f>AND(Bills!V960,"AAAAAEf575c=")</f>
        <v>#VALUE!</v>
      </c>
      <c r="EW223" t="e">
        <f>AND(Bills!W960,"AAAAAEf575g=")</f>
        <v>#VALUE!</v>
      </c>
      <c r="EX223" t="e">
        <f>AND(Bills!#REF!,"AAAAAEf575k=")</f>
        <v>#REF!</v>
      </c>
      <c r="EY223" t="e">
        <f>AND(Bills!#REF!,"AAAAAEf575o=")</f>
        <v>#REF!</v>
      </c>
      <c r="EZ223" t="e">
        <f>AND(Bills!Y960,"AAAAAEf575s=")</f>
        <v>#VALUE!</v>
      </c>
      <c r="FA223" t="e">
        <f>AND(Bills!Z960,"AAAAAEf575w=")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AND(Bills!AA960,"AAAAAEf576Y=")</f>
        <v>#VALUE!</v>
      </c>
      <c r="FL223" t="e">
        <f>AND(Bills!AB960,"AAAAAEf576c=")</f>
        <v>#VALUE!</v>
      </c>
      <c r="FM223" t="e">
        <f>AND(Bills!#REF!,"AAAAAEf576g=")</f>
        <v>#REF!</v>
      </c>
      <c r="FN223" t="e">
        <f>AND(Bills!#REF!,"AAAAAEf576k=")</f>
        <v>#REF!</v>
      </c>
      <c r="FO223" t="e">
        <f>AND(Bills!#REF!,"AAAAAEf576o=")</f>
        <v>#REF!</v>
      </c>
      <c r="FP223" t="e">
        <f>AND(Bills!AC960,"AAAAAEf576s=")</f>
        <v>#VALUE!</v>
      </c>
      <c r="FQ223" t="e">
        <f>AND(Bills!AD960,"AAAAAEf576w=")</f>
        <v>#VALUE!</v>
      </c>
      <c r="FR223" t="e">
        <f>AND(Bills!#REF!,"AAAAAEf5760=")</f>
        <v>#REF!</v>
      </c>
      <c r="FS223">
        <f>IF(Bills!961:961,"AAAAAEf5764=",0)</f>
        <v>0</v>
      </c>
      <c r="FT223" t="e">
        <f>AND(Bills!B961,"AAAAAEf5768=")</f>
        <v>#VALUE!</v>
      </c>
      <c r="FU223" t="e">
        <f>AND(Bills!#REF!,"AAAAAEf577A=")</f>
        <v>#REF!</v>
      </c>
      <c r="FV223" t="e">
        <f>AND(Bills!C961,"AAAAAEf577E=")</f>
        <v>#VALUE!</v>
      </c>
      <c r="FW223" t="e">
        <f>AND(Bills!D961,"AAAAAEf577I=")</f>
        <v>#VALUE!</v>
      </c>
      <c r="FX223" t="e">
        <f>AND(Bills!E961,"AAAAAEf577M=")</f>
        <v>#VALUE!</v>
      </c>
      <c r="FY223" t="e">
        <f>AND(Bills!#REF!,"AAAAAEf577Q=")</f>
        <v>#REF!</v>
      </c>
      <c r="FZ223" t="e">
        <f>AND(Bills!#REF!,"AAAAAEf577U=")</f>
        <v>#REF!</v>
      </c>
      <c r="GA223" t="e">
        <f>AND(Bills!#REF!,"AAAAAEf577Y=")</f>
        <v>#REF!</v>
      </c>
      <c r="GB223" t="e">
        <f>AND(Bills!F961,"AAAAAEf577c=")</f>
        <v>#VALUE!</v>
      </c>
      <c r="GC223" t="e">
        <f>AND(Bills!#REF!,"AAAAAEf577g=")</f>
        <v>#REF!</v>
      </c>
      <c r="GD223" t="e">
        <f>AND(Bills!G961,"AAAAAEf577k=")</f>
        <v>#VALUE!</v>
      </c>
      <c r="GE223" t="e">
        <f>AND(Bills!H961,"AAAAAEf577o=")</f>
        <v>#VALUE!</v>
      </c>
      <c r="GF223" t="e">
        <f>AND(Bills!I961,"AAAAAEf577s=")</f>
        <v>#VALUE!</v>
      </c>
      <c r="GG223" t="e">
        <f>AND(Bills!J961,"AAAAAEf577w=")</f>
        <v>#VALUE!</v>
      </c>
      <c r="GH223" t="e">
        <f>AND(Bills!K961,"AAAAAEf5770=")</f>
        <v>#VALUE!</v>
      </c>
      <c r="GI223" t="e">
        <f>AND(Bills!L961,"AAAAAEf5774=")</f>
        <v>#VALUE!</v>
      </c>
      <c r="GJ223" t="e">
        <f>AND(Bills!#REF!,"AAAAAEf5778=")</f>
        <v>#REF!</v>
      </c>
      <c r="GK223" t="e">
        <f>AND(Bills!M961,"AAAAAEf578A=")</f>
        <v>#VALUE!</v>
      </c>
      <c r="GL223" t="e">
        <f>AND(Bills!N961,"AAAAAEf578E=")</f>
        <v>#VALUE!</v>
      </c>
      <c r="GM223" t="e">
        <f>AND(Bills!O961,"AAAAAEf578I=")</f>
        <v>#VALUE!</v>
      </c>
      <c r="GN223" t="e">
        <f>AND(Bills!P961,"AAAAAEf578M=")</f>
        <v>#VALUE!</v>
      </c>
      <c r="GO223" t="e">
        <f>AND(Bills!Q961,"AAAAAEf578Q=")</f>
        <v>#VALUE!</v>
      </c>
      <c r="GP223" t="e">
        <f>AND(Bills!R961,"AAAAAEf578U=")</f>
        <v>#VALUE!</v>
      </c>
      <c r="GQ223" t="e">
        <f>AND(Bills!S961,"AAAAAEf578Y=")</f>
        <v>#VALUE!</v>
      </c>
      <c r="GR223" t="e">
        <f>AND(Bills!T961,"AAAAAEf578c=")</f>
        <v>#VALUE!</v>
      </c>
      <c r="GS223" t="e">
        <f>AND(Bills!#REF!,"AAAAAEf578g=")</f>
        <v>#REF!</v>
      </c>
      <c r="GT223" t="e">
        <f>AND(Bills!U961,"AAAAAEf578k=")</f>
        <v>#VALUE!</v>
      </c>
      <c r="GU223" t="e">
        <f>AND(Bills!V961,"AAAAAEf578o=")</f>
        <v>#VALUE!</v>
      </c>
      <c r="GV223" t="e">
        <f>AND(Bills!W961,"AAAAAEf578s=")</f>
        <v>#VALUE!</v>
      </c>
      <c r="GW223" t="e">
        <f>AND(Bills!#REF!,"AAAAAEf578w=")</f>
        <v>#REF!</v>
      </c>
      <c r="GX223" t="e">
        <f>AND(Bills!#REF!,"AAAAAEf5780=")</f>
        <v>#REF!</v>
      </c>
      <c r="GY223" t="e">
        <f>AND(Bills!Y961,"AAAAAEf5784=")</f>
        <v>#VALUE!</v>
      </c>
      <c r="GZ223" t="e">
        <f>AND(Bills!Z961,"AAAAAEf5788=")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AND(Bills!AA961,"AAAAAEf579k=")</f>
        <v>#VALUE!</v>
      </c>
      <c r="HK223" t="e">
        <f>AND(Bills!AB961,"AAAAAEf579o=")</f>
        <v>#VALUE!</v>
      </c>
      <c r="HL223" t="e">
        <f>AND(Bills!#REF!,"AAAAAEf579s=")</f>
        <v>#REF!</v>
      </c>
      <c r="HM223" t="e">
        <f>AND(Bills!#REF!,"AAAAAEf579w=")</f>
        <v>#REF!</v>
      </c>
      <c r="HN223" t="e">
        <f>AND(Bills!#REF!,"AAAAAEf5790=")</f>
        <v>#REF!</v>
      </c>
      <c r="HO223" t="e">
        <f>AND(Bills!AC961,"AAAAAEf5794=")</f>
        <v>#VALUE!</v>
      </c>
      <c r="HP223" t="e">
        <f>AND(Bills!AD961,"AAAAAEf5798=")</f>
        <v>#VALUE!</v>
      </c>
      <c r="HQ223" t="e">
        <f>AND(Bills!#REF!,"AAAAAEf57+A=")</f>
        <v>#REF!</v>
      </c>
      <c r="HR223">
        <f>IF(Bills!962:962,"AAAAAEf57+E=",0)</f>
        <v>0</v>
      </c>
      <c r="HS223" t="e">
        <f>AND(Bills!B962,"AAAAAEf57+I=")</f>
        <v>#VALUE!</v>
      </c>
      <c r="HT223" t="e">
        <f>AND(Bills!#REF!,"AAAAAEf57+M=")</f>
        <v>#REF!</v>
      </c>
      <c r="HU223" t="e">
        <f>AND(Bills!C962,"AAAAAEf57+Q=")</f>
        <v>#VALUE!</v>
      </c>
      <c r="HV223" t="e">
        <f>AND(Bills!D962,"AAAAAEf57+U=")</f>
        <v>#VALUE!</v>
      </c>
      <c r="HW223" t="e">
        <f>AND(Bills!E962,"AAAAAEf57+Y=")</f>
        <v>#VALUE!</v>
      </c>
      <c r="HX223" t="e">
        <f>AND(Bills!#REF!,"AAAAAEf57+c=")</f>
        <v>#REF!</v>
      </c>
      <c r="HY223" t="e">
        <f>AND(Bills!#REF!,"AAAAAEf57+g=")</f>
        <v>#REF!</v>
      </c>
      <c r="HZ223" t="e">
        <f>AND(Bills!#REF!,"AAAAAEf57+k=")</f>
        <v>#REF!</v>
      </c>
      <c r="IA223" t="e">
        <f>AND(Bills!F962,"AAAAAEf57+o=")</f>
        <v>#VALUE!</v>
      </c>
      <c r="IB223" t="e">
        <f>AND(Bills!#REF!,"AAAAAEf57+s=")</f>
        <v>#REF!</v>
      </c>
      <c r="IC223" t="e">
        <f>AND(Bills!G962,"AAAAAEf57+w=")</f>
        <v>#VALUE!</v>
      </c>
      <c r="ID223" t="e">
        <f>AND(Bills!H962,"AAAAAEf57+0=")</f>
        <v>#VALUE!</v>
      </c>
      <c r="IE223" t="e">
        <f>AND(Bills!I962,"AAAAAEf57+4=")</f>
        <v>#VALUE!</v>
      </c>
      <c r="IF223" t="e">
        <f>AND(Bills!J962,"AAAAAEf57+8=")</f>
        <v>#VALUE!</v>
      </c>
      <c r="IG223" t="e">
        <f>AND(Bills!K962,"AAAAAEf57/A=")</f>
        <v>#VALUE!</v>
      </c>
      <c r="IH223" t="e">
        <f>AND(Bills!L962,"AAAAAEf57/E=")</f>
        <v>#VALUE!</v>
      </c>
      <c r="II223" t="e">
        <f>AND(Bills!#REF!,"AAAAAEf57/I=")</f>
        <v>#REF!</v>
      </c>
      <c r="IJ223" t="e">
        <f>AND(Bills!M962,"AAAAAEf57/M=")</f>
        <v>#VALUE!</v>
      </c>
      <c r="IK223" t="e">
        <f>AND(Bills!N962,"AAAAAEf57/Q=")</f>
        <v>#VALUE!</v>
      </c>
      <c r="IL223" t="e">
        <f>AND(Bills!O962,"AAAAAEf57/U=")</f>
        <v>#VALUE!</v>
      </c>
      <c r="IM223" t="e">
        <f>AND(Bills!P962,"AAAAAEf57/Y=")</f>
        <v>#VALUE!</v>
      </c>
      <c r="IN223" t="e">
        <f>AND(Bills!Q962,"AAAAAEf57/c=")</f>
        <v>#VALUE!</v>
      </c>
      <c r="IO223" t="e">
        <f>AND(Bills!R962,"AAAAAEf57/g=")</f>
        <v>#VALUE!</v>
      </c>
      <c r="IP223" t="e">
        <f>AND(Bills!S962,"AAAAAEf57/k=")</f>
        <v>#VALUE!</v>
      </c>
      <c r="IQ223" t="e">
        <f>AND(Bills!T962,"AAAAAEf57/o=")</f>
        <v>#VALUE!</v>
      </c>
      <c r="IR223" t="e">
        <f>AND(Bills!#REF!,"AAAAAEf57/s=")</f>
        <v>#REF!</v>
      </c>
      <c r="IS223" t="e">
        <f>AND(Bills!U962,"AAAAAEf57/w=")</f>
        <v>#VALUE!</v>
      </c>
      <c r="IT223" t="e">
        <f>AND(Bills!V962,"AAAAAEf57/0=")</f>
        <v>#VALUE!</v>
      </c>
      <c r="IU223" t="e">
        <f>AND(Bills!W962,"AAAAAEf57/4=")</f>
        <v>#VALUE!</v>
      </c>
      <c r="IV223" t="e">
        <f>AND(Bills!#REF!,"AAAAAEf57/8=")</f>
        <v>#REF!</v>
      </c>
    </row>
    <row r="224" spans="1:256">
      <c r="A224" t="e">
        <f>AND(Bills!#REF!,"AAAAAHu0TwA=")</f>
        <v>#REF!</v>
      </c>
      <c r="B224" t="e">
        <f>AND(Bills!Y962,"AAAAAHu0TwE=")</f>
        <v>#VALUE!</v>
      </c>
      <c r="C224" t="e">
        <f>AND(Bills!Z962,"AAAAAHu0TwI=")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AND(Bills!AA962,"AAAAAHu0Tww=")</f>
        <v>#VALUE!</v>
      </c>
      <c r="N224" t="e">
        <f>AND(Bills!AB962,"AAAAAHu0Tw0=")</f>
        <v>#VALUE!</v>
      </c>
      <c r="O224" t="e">
        <f>AND(Bills!#REF!,"AAAAAHu0Tw4=")</f>
        <v>#REF!</v>
      </c>
      <c r="P224" t="e">
        <f>AND(Bills!#REF!,"AAAAAHu0Tw8=")</f>
        <v>#REF!</v>
      </c>
      <c r="Q224" t="e">
        <f>AND(Bills!#REF!,"AAAAAHu0TxA=")</f>
        <v>#REF!</v>
      </c>
      <c r="R224" t="e">
        <f>AND(Bills!AC962,"AAAAAHu0TxE=")</f>
        <v>#VALUE!</v>
      </c>
      <c r="S224" t="e">
        <f>AND(Bills!AD962,"AAAAAHu0TxI=")</f>
        <v>#VALUE!</v>
      </c>
      <c r="T224" t="e">
        <f>AND(Bills!#REF!,"AAAAAHu0TxM=")</f>
        <v>#REF!</v>
      </c>
      <c r="U224">
        <f>IF(Bills!963:963,"AAAAAHu0TxQ=",0)</f>
        <v>0</v>
      </c>
      <c r="V224" t="e">
        <f>AND(Bills!B963,"AAAAAHu0TxU=")</f>
        <v>#VALUE!</v>
      </c>
      <c r="W224" t="e">
        <f>AND(Bills!#REF!,"AAAAAHu0TxY=")</f>
        <v>#REF!</v>
      </c>
      <c r="X224" t="e">
        <f>AND(Bills!C963,"AAAAAHu0Txc=")</f>
        <v>#VALUE!</v>
      </c>
      <c r="Y224" t="e">
        <f>AND(Bills!D963,"AAAAAHu0Txg=")</f>
        <v>#VALUE!</v>
      </c>
      <c r="Z224" t="e">
        <f>AND(Bills!E963,"AAAAAHu0Txk=")</f>
        <v>#VALUE!</v>
      </c>
      <c r="AA224" t="e">
        <f>AND(Bills!#REF!,"AAAAAHu0Txo=")</f>
        <v>#REF!</v>
      </c>
      <c r="AB224" t="e">
        <f>AND(Bills!#REF!,"AAAAAHu0Txs=")</f>
        <v>#REF!</v>
      </c>
      <c r="AC224" t="e">
        <f>AND(Bills!#REF!,"AAAAAHu0Txw=")</f>
        <v>#REF!</v>
      </c>
      <c r="AD224" t="e">
        <f>AND(Bills!F963,"AAAAAHu0Tx0=")</f>
        <v>#VALUE!</v>
      </c>
      <c r="AE224" t="e">
        <f>AND(Bills!#REF!,"AAAAAHu0Tx4=")</f>
        <v>#REF!</v>
      </c>
      <c r="AF224" t="e">
        <f>AND(Bills!G963,"AAAAAHu0Tx8=")</f>
        <v>#VALUE!</v>
      </c>
      <c r="AG224" t="e">
        <f>AND(Bills!H963,"AAAAAHu0TyA=")</f>
        <v>#VALUE!</v>
      </c>
      <c r="AH224" t="e">
        <f>AND(Bills!I963,"AAAAAHu0TyE=")</f>
        <v>#VALUE!</v>
      </c>
      <c r="AI224" t="e">
        <f>AND(Bills!J963,"AAAAAHu0TyI=")</f>
        <v>#VALUE!</v>
      </c>
      <c r="AJ224" t="e">
        <f>AND(Bills!K963,"AAAAAHu0TyM=")</f>
        <v>#VALUE!</v>
      </c>
      <c r="AK224" t="e">
        <f>AND(Bills!L963,"AAAAAHu0TyQ=")</f>
        <v>#VALUE!</v>
      </c>
      <c r="AL224" t="e">
        <f>AND(Bills!#REF!,"AAAAAHu0TyU=")</f>
        <v>#REF!</v>
      </c>
      <c r="AM224" t="e">
        <f>AND(Bills!M963,"AAAAAHu0TyY=")</f>
        <v>#VALUE!</v>
      </c>
      <c r="AN224" t="e">
        <f>AND(Bills!N963,"AAAAAHu0Tyc=")</f>
        <v>#VALUE!</v>
      </c>
      <c r="AO224" t="e">
        <f>AND(Bills!O963,"AAAAAHu0Tyg=")</f>
        <v>#VALUE!</v>
      </c>
      <c r="AP224" t="e">
        <f>AND(Bills!P963,"AAAAAHu0Tyk=")</f>
        <v>#VALUE!</v>
      </c>
      <c r="AQ224" t="e">
        <f>AND(Bills!Q963,"AAAAAHu0Tyo=")</f>
        <v>#VALUE!</v>
      </c>
      <c r="AR224" t="e">
        <f>AND(Bills!R963,"AAAAAHu0Tys=")</f>
        <v>#VALUE!</v>
      </c>
      <c r="AS224" t="e">
        <f>AND(Bills!S963,"AAAAAHu0Tyw=")</f>
        <v>#VALUE!</v>
      </c>
      <c r="AT224" t="e">
        <f>AND(Bills!T963,"AAAAAHu0Ty0=")</f>
        <v>#VALUE!</v>
      </c>
      <c r="AU224" t="e">
        <f>AND(Bills!#REF!,"AAAAAHu0Ty4=")</f>
        <v>#REF!</v>
      </c>
      <c r="AV224" t="e">
        <f>AND(Bills!U963,"AAAAAHu0Ty8=")</f>
        <v>#VALUE!</v>
      </c>
      <c r="AW224" t="e">
        <f>AND(Bills!V963,"AAAAAHu0TzA=")</f>
        <v>#VALUE!</v>
      </c>
      <c r="AX224" t="e">
        <f>AND(Bills!W963,"AAAAAHu0TzE=")</f>
        <v>#VALUE!</v>
      </c>
      <c r="AY224" t="e">
        <f>AND(Bills!#REF!,"AAAAAHu0TzI=")</f>
        <v>#REF!</v>
      </c>
      <c r="AZ224" t="e">
        <f>AND(Bills!#REF!,"AAAAAHu0TzM=")</f>
        <v>#REF!</v>
      </c>
      <c r="BA224" t="e">
        <f>AND(Bills!Y963,"AAAAAHu0TzQ=")</f>
        <v>#VALUE!</v>
      </c>
      <c r="BB224" t="e">
        <f>AND(Bills!Z963,"AAAAAHu0TzU=")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AND(Bills!AA963,"AAAAAHu0Tz8=")</f>
        <v>#VALUE!</v>
      </c>
      <c r="BM224" t="e">
        <f>AND(Bills!AB963,"AAAAAHu0T0A=")</f>
        <v>#VALUE!</v>
      </c>
      <c r="BN224" t="e">
        <f>AND(Bills!#REF!,"AAAAAHu0T0E=")</f>
        <v>#REF!</v>
      </c>
      <c r="BO224" t="e">
        <f>AND(Bills!#REF!,"AAAAAHu0T0I=")</f>
        <v>#REF!</v>
      </c>
      <c r="BP224" t="e">
        <f>AND(Bills!#REF!,"AAAAAHu0T0M=")</f>
        <v>#REF!</v>
      </c>
      <c r="BQ224" t="e">
        <f>AND(Bills!AC963,"AAAAAHu0T0Q=")</f>
        <v>#VALUE!</v>
      </c>
      <c r="BR224" t="e">
        <f>AND(Bills!AD963,"AAAAAHu0T0U=")</f>
        <v>#VALUE!</v>
      </c>
      <c r="BS224" t="e">
        <f>AND(Bills!#REF!,"AAAAAHu0T0Y=")</f>
        <v>#REF!</v>
      </c>
      <c r="BT224">
        <f>IF(Bills!964:964,"AAAAAHu0T0c=",0)</f>
        <v>0</v>
      </c>
      <c r="BU224" t="e">
        <f>AND(Bills!B964,"AAAAAHu0T0g=")</f>
        <v>#VALUE!</v>
      </c>
      <c r="BV224" t="e">
        <f>AND(Bills!#REF!,"AAAAAHu0T0k=")</f>
        <v>#REF!</v>
      </c>
      <c r="BW224" t="e">
        <f>AND(Bills!C964,"AAAAAHu0T0o=")</f>
        <v>#VALUE!</v>
      </c>
      <c r="BX224" t="e">
        <f>AND(Bills!D964,"AAAAAHu0T0s=")</f>
        <v>#VALUE!</v>
      </c>
      <c r="BY224" t="e">
        <f>AND(Bills!E964,"AAAAAHu0T0w=")</f>
        <v>#VALUE!</v>
      </c>
      <c r="BZ224" t="e">
        <f>AND(Bills!#REF!,"AAAAAHu0T00=")</f>
        <v>#REF!</v>
      </c>
      <c r="CA224" t="e">
        <f>AND(Bills!#REF!,"AAAAAHu0T04=")</f>
        <v>#REF!</v>
      </c>
      <c r="CB224" t="e">
        <f>AND(Bills!#REF!,"AAAAAHu0T08=")</f>
        <v>#REF!</v>
      </c>
      <c r="CC224" t="e">
        <f>AND(Bills!F964,"AAAAAHu0T1A=")</f>
        <v>#VALUE!</v>
      </c>
      <c r="CD224" t="e">
        <f>AND(Bills!#REF!,"AAAAAHu0T1E=")</f>
        <v>#REF!</v>
      </c>
      <c r="CE224" t="e">
        <f>AND(Bills!G964,"AAAAAHu0T1I=")</f>
        <v>#VALUE!</v>
      </c>
      <c r="CF224" t="e">
        <f>AND(Bills!H964,"AAAAAHu0T1M=")</f>
        <v>#VALUE!</v>
      </c>
      <c r="CG224" t="e">
        <f>AND(Bills!I964,"AAAAAHu0T1Q=")</f>
        <v>#VALUE!</v>
      </c>
      <c r="CH224" t="e">
        <f>AND(Bills!J964,"AAAAAHu0T1U=")</f>
        <v>#VALUE!</v>
      </c>
      <c r="CI224" t="e">
        <f>AND(Bills!K964,"AAAAAHu0T1Y=")</f>
        <v>#VALUE!</v>
      </c>
      <c r="CJ224" t="e">
        <f>AND(Bills!L964,"AAAAAHu0T1c=")</f>
        <v>#VALUE!</v>
      </c>
      <c r="CK224" t="e">
        <f>AND(Bills!#REF!,"AAAAAHu0T1g=")</f>
        <v>#REF!</v>
      </c>
      <c r="CL224" t="e">
        <f>AND(Bills!M964,"AAAAAHu0T1k=")</f>
        <v>#VALUE!</v>
      </c>
      <c r="CM224" t="e">
        <f>AND(Bills!N964,"AAAAAHu0T1o=")</f>
        <v>#VALUE!</v>
      </c>
      <c r="CN224" t="e">
        <f>AND(Bills!O964,"AAAAAHu0T1s=")</f>
        <v>#VALUE!</v>
      </c>
      <c r="CO224" t="e">
        <f>AND(Bills!P964,"AAAAAHu0T1w=")</f>
        <v>#VALUE!</v>
      </c>
      <c r="CP224" t="e">
        <f>AND(Bills!Q964,"AAAAAHu0T10=")</f>
        <v>#VALUE!</v>
      </c>
      <c r="CQ224" t="e">
        <f>AND(Bills!R964,"AAAAAHu0T14=")</f>
        <v>#VALUE!</v>
      </c>
      <c r="CR224" t="e">
        <f>AND(Bills!S964,"AAAAAHu0T18=")</f>
        <v>#VALUE!</v>
      </c>
      <c r="CS224" t="e">
        <f>AND(Bills!T964,"AAAAAHu0T2A=")</f>
        <v>#VALUE!</v>
      </c>
      <c r="CT224" t="e">
        <f>AND(Bills!#REF!,"AAAAAHu0T2E=")</f>
        <v>#REF!</v>
      </c>
      <c r="CU224" t="e">
        <f>AND(Bills!U964,"AAAAAHu0T2I=")</f>
        <v>#VALUE!</v>
      </c>
      <c r="CV224" t="e">
        <f>AND(Bills!V964,"AAAAAHu0T2M=")</f>
        <v>#VALUE!</v>
      </c>
      <c r="CW224" t="e">
        <f>AND(Bills!W964,"AAAAAHu0T2Q=")</f>
        <v>#VALUE!</v>
      </c>
      <c r="CX224" t="e">
        <f>AND(Bills!#REF!,"AAAAAHu0T2U=")</f>
        <v>#REF!</v>
      </c>
      <c r="CY224" t="e">
        <f>AND(Bills!#REF!,"AAAAAHu0T2Y=")</f>
        <v>#REF!</v>
      </c>
      <c r="CZ224" t="e">
        <f>AND(Bills!Y964,"AAAAAHu0T2c=")</f>
        <v>#VALUE!</v>
      </c>
      <c r="DA224" t="e">
        <f>AND(Bills!Z964,"AAAAAHu0T2g=")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AND(Bills!AA964,"AAAAAHu0T3I=")</f>
        <v>#VALUE!</v>
      </c>
      <c r="DL224" t="e">
        <f>AND(Bills!AB964,"AAAAAHu0T3M=")</f>
        <v>#VALUE!</v>
      </c>
      <c r="DM224" t="e">
        <f>AND(Bills!#REF!,"AAAAAHu0T3Q=")</f>
        <v>#REF!</v>
      </c>
      <c r="DN224" t="e">
        <f>AND(Bills!#REF!,"AAAAAHu0T3U=")</f>
        <v>#REF!</v>
      </c>
      <c r="DO224" t="e">
        <f>AND(Bills!#REF!,"AAAAAHu0T3Y=")</f>
        <v>#REF!</v>
      </c>
      <c r="DP224" t="e">
        <f>AND(Bills!AC964,"AAAAAHu0T3c=")</f>
        <v>#VALUE!</v>
      </c>
      <c r="DQ224" t="e">
        <f>AND(Bills!AD964,"AAAAAHu0T3g=")</f>
        <v>#VALUE!</v>
      </c>
      <c r="DR224" t="e">
        <f>AND(Bills!#REF!,"AAAAAHu0T3k=")</f>
        <v>#REF!</v>
      </c>
      <c r="DS224">
        <f>IF(Bills!965:965,"AAAAAHu0T3o=",0)</f>
        <v>0</v>
      </c>
      <c r="DT224" t="e">
        <f>AND(Bills!B965,"AAAAAHu0T3s=")</f>
        <v>#VALUE!</v>
      </c>
      <c r="DU224" t="e">
        <f>AND(Bills!#REF!,"AAAAAHu0T3w=")</f>
        <v>#REF!</v>
      </c>
      <c r="DV224" t="e">
        <f>AND(Bills!C965,"AAAAAHu0T30=")</f>
        <v>#VALUE!</v>
      </c>
      <c r="DW224" t="e">
        <f>AND(Bills!D965,"AAAAAHu0T34=")</f>
        <v>#VALUE!</v>
      </c>
      <c r="DX224" t="e">
        <f>AND(Bills!E965,"AAAAAHu0T38=")</f>
        <v>#VALUE!</v>
      </c>
      <c r="DY224" t="e">
        <f>AND(Bills!#REF!,"AAAAAHu0T4A=")</f>
        <v>#REF!</v>
      </c>
      <c r="DZ224" t="e">
        <f>AND(Bills!#REF!,"AAAAAHu0T4E=")</f>
        <v>#REF!</v>
      </c>
      <c r="EA224" t="e">
        <f>AND(Bills!#REF!,"AAAAAHu0T4I=")</f>
        <v>#REF!</v>
      </c>
      <c r="EB224" t="e">
        <f>AND(Bills!F965,"AAAAAHu0T4M=")</f>
        <v>#VALUE!</v>
      </c>
      <c r="EC224" t="e">
        <f>AND(Bills!#REF!,"AAAAAHu0T4Q=")</f>
        <v>#REF!</v>
      </c>
      <c r="ED224" t="e">
        <f>AND(Bills!G965,"AAAAAHu0T4U=")</f>
        <v>#VALUE!</v>
      </c>
      <c r="EE224" t="e">
        <f>AND(Bills!H965,"AAAAAHu0T4Y=")</f>
        <v>#VALUE!</v>
      </c>
      <c r="EF224" t="e">
        <f>AND(Bills!I965,"AAAAAHu0T4c=")</f>
        <v>#VALUE!</v>
      </c>
      <c r="EG224" t="e">
        <f>AND(Bills!J965,"AAAAAHu0T4g=")</f>
        <v>#VALUE!</v>
      </c>
      <c r="EH224" t="e">
        <f>AND(Bills!K965,"AAAAAHu0T4k=")</f>
        <v>#VALUE!</v>
      </c>
      <c r="EI224" t="e">
        <f>AND(Bills!L965,"AAAAAHu0T4o=")</f>
        <v>#VALUE!</v>
      </c>
      <c r="EJ224" t="e">
        <f>AND(Bills!#REF!,"AAAAAHu0T4s=")</f>
        <v>#REF!</v>
      </c>
      <c r="EK224" t="e">
        <f>AND(Bills!M965,"AAAAAHu0T4w=")</f>
        <v>#VALUE!</v>
      </c>
      <c r="EL224" t="e">
        <f>AND(Bills!N965,"AAAAAHu0T40=")</f>
        <v>#VALUE!</v>
      </c>
      <c r="EM224" t="e">
        <f>AND(Bills!O965,"AAAAAHu0T44=")</f>
        <v>#VALUE!</v>
      </c>
      <c r="EN224" t="e">
        <f>AND(Bills!P965,"AAAAAHu0T48=")</f>
        <v>#VALUE!</v>
      </c>
      <c r="EO224" t="e">
        <f>AND(Bills!Q965,"AAAAAHu0T5A=")</f>
        <v>#VALUE!</v>
      </c>
      <c r="EP224" t="e">
        <f>AND(Bills!R965,"AAAAAHu0T5E=")</f>
        <v>#VALUE!</v>
      </c>
      <c r="EQ224" t="e">
        <f>AND(Bills!S965,"AAAAAHu0T5I=")</f>
        <v>#VALUE!</v>
      </c>
      <c r="ER224" t="e">
        <f>AND(Bills!T965,"AAAAAHu0T5M=")</f>
        <v>#VALUE!</v>
      </c>
      <c r="ES224" t="e">
        <f>AND(Bills!#REF!,"AAAAAHu0T5Q=")</f>
        <v>#REF!</v>
      </c>
      <c r="ET224" t="e">
        <f>AND(Bills!U965,"AAAAAHu0T5U=")</f>
        <v>#VALUE!</v>
      </c>
      <c r="EU224" t="e">
        <f>AND(Bills!V965,"AAAAAHu0T5Y=")</f>
        <v>#VALUE!</v>
      </c>
      <c r="EV224" t="e">
        <f>AND(Bills!W965,"AAAAAHu0T5c=")</f>
        <v>#VALUE!</v>
      </c>
      <c r="EW224" t="e">
        <f>AND(Bills!#REF!,"AAAAAHu0T5g=")</f>
        <v>#REF!</v>
      </c>
      <c r="EX224" t="e">
        <f>AND(Bills!#REF!,"AAAAAHu0T5k=")</f>
        <v>#REF!</v>
      </c>
      <c r="EY224" t="e">
        <f>AND(Bills!Y965,"AAAAAHu0T5o=")</f>
        <v>#VALUE!</v>
      </c>
      <c r="EZ224" t="e">
        <f>AND(Bills!Z965,"AAAAAHu0T5s=")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AND(Bills!AA965,"AAAAAHu0T6U=")</f>
        <v>#VALUE!</v>
      </c>
      <c r="FK224" t="e">
        <f>AND(Bills!AB965,"AAAAAHu0T6Y=")</f>
        <v>#VALUE!</v>
      </c>
      <c r="FL224" t="e">
        <f>AND(Bills!#REF!,"AAAAAHu0T6c=")</f>
        <v>#REF!</v>
      </c>
      <c r="FM224" t="e">
        <f>AND(Bills!#REF!,"AAAAAHu0T6g=")</f>
        <v>#REF!</v>
      </c>
      <c r="FN224" t="e">
        <f>AND(Bills!#REF!,"AAAAAHu0T6k=")</f>
        <v>#REF!</v>
      </c>
      <c r="FO224" t="e">
        <f>AND(Bills!AC965,"AAAAAHu0T6o=")</f>
        <v>#VALUE!</v>
      </c>
      <c r="FP224" t="e">
        <f>AND(Bills!AD965,"AAAAAHu0T6s=")</f>
        <v>#VALUE!</v>
      </c>
      <c r="FQ224" t="e">
        <f>AND(Bills!#REF!,"AAAAAHu0T6w=")</f>
        <v>#REF!</v>
      </c>
      <c r="FR224">
        <f>IF(Bills!966:966,"AAAAAHu0T60=",0)</f>
        <v>0</v>
      </c>
      <c r="FS224" t="e">
        <f>AND(Bills!B966,"AAAAAHu0T64=")</f>
        <v>#VALUE!</v>
      </c>
      <c r="FT224" t="e">
        <f>AND(Bills!#REF!,"AAAAAHu0T68=")</f>
        <v>#REF!</v>
      </c>
      <c r="FU224" t="e">
        <f>AND(Bills!C966,"AAAAAHu0T7A=")</f>
        <v>#VALUE!</v>
      </c>
      <c r="FV224" t="e">
        <f>AND(Bills!D966,"AAAAAHu0T7E=")</f>
        <v>#VALUE!</v>
      </c>
      <c r="FW224" t="e">
        <f>AND(Bills!E966,"AAAAAHu0T7I=")</f>
        <v>#VALUE!</v>
      </c>
      <c r="FX224" t="e">
        <f>AND(Bills!#REF!,"AAAAAHu0T7M=")</f>
        <v>#REF!</v>
      </c>
      <c r="FY224" t="e">
        <f>AND(Bills!#REF!,"AAAAAHu0T7Q=")</f>
        <v>#REF!</v>
      </c>
      <c r="FZ224" t="e">
        <f>AND(Bills!#REF!,"AAAAAHu0T7U=")</f>
        <v>#REF!</v>
      </c>
      <c r="GA224" t="e">
        <f>AND(Bills!F966,"AAAAAHu0T7Y=")</f>
        <v>#VALUE!</v>
      </c>
      <c r="GB224" t="e">
        <f>AND(Bills!#REF!,"AAAAAHu0T7c=")</f>
        <v>#REF!</v>
      </c>
      <c r="GC224" t="e">
        <f>AND(Bills!G966,"AAAAAHu0T7g=")</f>
        <v>#VALUE!</v>
      </c>
      <c r="GD224" t="e">
        <f>AND(Bills!H966,"AAAAAHu0T7k=")</f>
        <v>#VALUE!</v>
      </c>
      <c r="GE224" t="e">
        <f>AND(Bills!I966,"AAAAAHu0T7o=")</f>
        <v>#VALUE!</v>
      </c>
      <c r="GF224" t="e">
        <f>AND(Bills!J966,"AAAAAHu0T7s=")</f>
        <v>#VALUE!</v>
      </c>
      <c r="GG224" t="e">
        <f>AND(Bills!K966,"AAAAAHu0T7w=")</f>
        <v>#VALUE!</v>
      </c>
      <c r="GH224" t="e">
        <f>AND(Bills!L966,"AAAAAHu0T70=")</f>
        <v>#VALUE!</v>
      </c>
      <c r="GI224" t="e">
        <f>AND(Bills!#REF!,"AAAAAHu0T74=")</f>
        <v>#REF!</v>
      </c>
      <c r="GJ224" t="e">
        <f>AND(Bills!M966,"AAAAAHu0T78=")</f>
        <v>#VALUE!</v>
      </c>
      <c r="GK224" t="e">
        <f>AND(Bills!N966,"AAAAAHu0T8A=")</f>
        <v>#VALUE!</v>
      </c>
      <c r="GL224" t="e">
        <f>AND(Bills!O966,"AAAAAHu0T8E=")</f>
        <v>#VALUE!</v>
      </c>
      <c r="GM224" t="e">
        <f>AND(Bills!P966,"AAAAAHu0T8I=")</f>
        <v>#VALUE!</v>
      </c>
      <c r="GN224" t="e">
        <f>AND(Bills!Q966,"AAAAAHu0T8M=")</f>
        <v>#VALUE!</v>
      </c>
      <c r="GO224" t="e">
        <f>AND(Bills!R966,"AAAAAHu0T8Q=")</f>
        <v>#VALUE!</v>
      </c>
      <c r="GP224" t="e">
        <f>AND(Bills!S966,"AAAAAHu0T8U=")</f>
        <v>#VALUE!</v>
      </c>
      <c r="GQ224" t="e">
        <f>AND(Bills!T966,"AAAAAHu0T8Y=")</f>
        <v>#VALUE!</v>
      </c>
      <c r="GR224" t="e">
        <f>AND(Bills!#REF!,"AAAAAHu0T8c=")</f>
        <v>#REF!</v>
      </c>
      <c r="GS224" t="e">
        <f>AND(Bills!U966,"AAAAAHu0T8g=")</f>
        <v>#VALUE!</v>
      </c>
      <c r="GT224" t="e">
        <f>AND(Bills!V966,"AAAAAHu0T8k=")</f>
        <v>#VALUE!</v>
      </c>
      <c r="GU224" t="e">
        <f>AND(Bills!W966,"AAAAAHu0T8o=")</f>
        <v>#VALUE!</v>
      </c>
      <c r="GV224" t="e">
        <f>AND(Bills!#REF!,"AAAAAHu0T8s=")</f>
        <v>#REF!</v>
      </c>
      <c r="GW224" t="e">
        <f>AND(Bills!#REF!,"AAAAAHu0T8w=")</f>
        <v>#REF!</v>
      </c>
      <c r="GX224" t="e">
        <f>AND(Bills!Y966,"AAAAAHu0T80=")</f>
        <v>#VALUE!</v>
      </c>
      <c r="GY224" t="e">
        <f>AND(Bills!Z966,"AAAAAHu0T84=")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AND(Bills!AA966,"AAAAAHu0T9g=")</f>
        <v>#VALUE!</v>
      </c>
      <c r="HJ224" t="e">
        <f>AND(Bills!AB966,"AAAAAHu0T9k=")</f>
        <v>#VALUE!</v>
      </c>
      <c r="HK224" t="e">
        <f>AND(Bills!#REF!,"AAAAAHu0T9o=")</f>
        <v>#REF!</v>
      </c>
      <c r="HL224" t="e">
        <f>AND(Bills!#REF!,"AAAAAHu0T9s=")</f>
        <v>#REF!</v>
      </c>
      <c r="HM224" t="e">
        <f>AND(Bills!#REF!,"AAAAAHu0T9w=")</f>
        <v>#REF!</v>
      </c>
      <c r="HN224" t="e">
        <f>AND(Bills!AC966,"AAAAAHu0T90=")</f>
        <v>#VALUE!</v>
      </c>
      <c r="HO224" t="e">
        <f>AND(Bills!AD966,"AAAAAHu0T94=")</f>
        <v>#VALUE!</v>
      </c>
      <c r="HP224" t="e">
        <f>AND(Bills!#REF!,"AAAAAHu0T98=")</f>
        <v>#REF!</v>
      </c>
      <c r="HQ224">
        <f>IF(Bills!967:967,"AAAAAHu0T+A=",0)</f>
        <v>0</v>
      </c>
      <c r="HR224" t="e">
        <f>AND(Bills!B967,"AAAAAHu0T+E=")</f>
        <v>#VALUE!</v>
      </c>
      <c r="HS224" t="e">
        <f>AND(Bills!#REF!,"AAAAAHu0T+I=")</f>
        <v>#REF!</v>
      </c>
      <c r="HT224" t="e">
        <f>AND(Bills!C967,"AAAAAHu0T+M=")</f>
        <v>#VALUE!</v>
      </c>
      <c r="HU224" t="e">
        <f>AND(Bills!D967,"AAAAAHu0T+Q=")</f>
        <v>#VALUE!</v>
      </c>
      <c r="HV224" t="e">
        <f>AND(Bills!E967,"AAAAAHu0T+U=")</f>
        <v>#VALUE!</v>
      </c>
      <c r="HW224" t="e">
        <f>AND(Bills!#REF!,"AAAAAHu0T+Y=")</f>
        <v>#REF!</v>
      </c>
      <c r="HX224" t="e">
        <f>AND(Bills!#REF!,"AAAAAHu0T+c=")</f>
        <v>#REF!</v>
      </c>
      <c r="HY224" t="e">
        <f>AND(Bills!#REF!,"AAAAAHu0T+g=")</f>
        <v>#REF!</v>
      </c>
      <c r="HZ224" t="e">
        <f>AND(Bills!F967,"AAAAAHu0T+k=")</f>
        <v>#VALUE!</v>
      </c>
      <c r="IA224" t="e">
        <f>AND(Bills!#REF!,"AAAAAHu0T+o=")</f>
        <v>#REF!</v>
      </c>
      <c r="IB224" t="e">
        <f>AND(Bills!G967,"AAAAAHu0T+s=")</f>
        <v>#VALUE!</v>
      </c>
      <c r="IC224" t="e">
        <f>AND(Bills!H967,"AAAAAHu0T+w=")</f>
        <v>#VALUE!</v>
      </c>
      <c r="ID224" t="e">
        <f>AND(Bills!I967,"AAAAAHu0T+0=")</f>
        <v>#VALUE!</v>
      </c>
      <c r="IE224" t="e">
        <f>AND(Bills!J967,"AAAAAHu0T+4=")</f>
        <v>#VALUE!</v>
      </c>
      <c r="IF224" t="e">
        <f>AND(Bills!K967,"AAAAAHu0T+8=")</f>
        <v>#VALUE!</v>
      </c>
      <c r="IG224" t="e">
        <f>AND(Bills!L967,"AAAAAHu0T/A=")</f>
        <v>#VALUE!</v>
      </c>
      <c r="IH224" t="e">
        <f>AND(Bills!#REF!,"AAAAAHu0T/E=")</f>
        <v>#REF!</v>
      </c>
      <c r="II224" t="e">
        <f>AND(Bills!M967,"AAAAAHu0T/I=")</f>
        <v>#VALUE!</v>
      </c>
      <c r="IJ224" t="e">
        <f>AND(Bills!N967,"AAAAAHu0T/M=")</f>
        <v>#VALUE!</v>
      </c>
      <c r="IK224" t="e">
        <f>AND(Bills!O967,"AAAAAHu0T/Q=")</f>
        <v>#VALUE!</v>
      </c>
      <c r="IL224" t="e">
        <f>AND(Bills!P967,"AAAAAHu0T/U=")</f>
        <v>#VALUE!</v>
      </c>
      <c r="IM224" t="e">
        <f>AND(Bills!Q967,"AAAAAHu0T/Y=")</f>
        <v>#VALUE!</v>
      </c>
      <c r="IN224" t="e">
        <f>AND(Bills!R967,"AAAAAHu0T/c=")</f>
        <v>#VALUE!</v>
      </c>
      <c r="IO224" t="e">
        <f>AND(Bills!S967,"AAAAAHu0T/g=")</f>
        <v>#VALUE!</v>
      </c>
      <c r="IP224" t="e">
        <f>AND(Bills!T967,"AAAAAHu0T/k=")</f>
        <v>#VALUE!</v>
      </c>
      <c r="IQ224" t="e">
        <f>AND(Bills!#REF!,"AAAAAHu0T/o=")</f>
        <v>#REF!</v>
      </c>
      <c r="IR224" t="e">
        <f>AND(Bills!U967,"AAAAAHu0T/s=")</f>
        <v>#VALUE!</v>
      </c>
      <c r="IS224" t="e">
        <f>AND(Bills!V967,"AAAAAHu0T/w=")</f>
        <v>#VALUE!</v>
      </c>
      <c r="IT224" t="e">
        <f>AND(Bills!W967,"AAAAAHu0T/0=")</f>
        <v>#VALUE!</v>
      </c>
      <c r="IU224" t="e">
        <f>AND(Bills!#REF!,"AAAAAHu0T/4=")</f>
        <v>#REF!</v>
      </c>
      <c r="IV224" t="e">
        <f>AND(Bills!#REF!,"AAAAAHu0T/8=")</f>
        <v>#REF!</v>
      </c>
    </row>
    <row r="225" spans="1:256">
      <c r="A225" t="e">
        <f>AND(Bills!Y967,"AAAAAG2+7gA=")</f>
        <v>#VALUE!</v>
      </c>
      <c r="B225" t="e">
        <f>AND(Bills!Z967,"AAAAAG2+7gE=")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AND(Bills!AA967,"AAAAAG2+7gs=")</f>
        <v>#VALUE!</v>
      </c>
      <c r="M225" t="e">
        <f>AND(Bills!AB967,"AAAAAG2+7gw=")</f>
        <v>#VALUE!</v>
      </c>
      <c r="N225" t="e">
        <f>AND(Bills!#REF!,"AAAAAG2+7g0=")</f>
        <v>#REF!</v>
      </c>
      <c r="O225" t="e">
        <f>AND(Bills!#REF!,"AAAAAG2+7g4=")</f>
        <v>#REF!</v>
      </c>
      <c r="P225" t="e">
        <f>AND(Bills!#REF!,"AAAAAG2+7g8=")</f>
        <v>#REF!</v>
      </c>
      <c r="Q225" t="e">
        <f>AND(Bills!AC967,"AAAAAG2+7hA=")</f>
        <v>#VALUE!</v>
      </c>
      <c r="R225" t="e">
        <f>AND(Bills!AD967,"AAAAAG2+7hE=")</f>
        <v>#VALUE!</v>
      </c>
      <c r="S225" t="e">
        <f>AND(Bills!#REF!,"AAAAAG2+7hI=")</f>
        <v>#REF!</v>
      </c>
      <c r="T225">
        <f>IF(Bills!968:968,"AAAAAG2+7hM=",0)</f>
        <v>0</v>
      </c>
      <c r="U225" t="e">
        <f>AND(Bills!B968,"AAAAAG2+7hQ=")</f>
        <v>#VALUE!</v>
      </c>
      <c r="V225" t="e">
        <f>AND(Bills!#REF!,"AAAAAG2+7hU=")</f>
        <v>#REF!</v>
      </c>
      <c r="W225" t="e">
        <f>AND(Bills!C968,"AAAAAG2+7hY=")</f>
        <v>#VALUE!</v>
      </c>
      <c r="X225" t="e">
        <f>AND(Bills!D968,"AAAAAG2+7hc=")</f>
        <v>#VALUE!</v>
      </c>
      <c r="Y225" t="e">
        <f>AND(Bills!E968,"AAAAAG2+7hg=")</f>
        <v>#VALUE!</v>
      </c>
      <c r="Z225" t="e">
        <f>AND(Bills!#REF!,"AAAAAG2+7hk=")</f>
        <v>#REF!</v>
      </c>
      <c r="AA225" t="e">
        <f>AND(Bills!#REF!,"AAAAAG2+7ho=")</f>
        <v>#REF!</v>
      </c>
      <c r="AB225" t="e">
        <f>AND(Bills!#REF!,"AAAAAG2+7hs=")</f>
        <v>#REF!</v>
      </c>
      <c r="AC225" t="e">
        <f>AND(Bills!F968,"AAAAAG2+7hw=")</f>
        <v>#VALUE!</v>
      </c>
      <c r="AD225" t="e">
        <f>AND(Bills!#REF!,"AAAAAG2+7h0=")</f>
        <v>#REF!</v>
      </c>
      <c r="AE225" t="e">
        <f>AND(Bills!G968,"AAAAAG2+7h4=")</f>
        <v>#VALUE!</v>
      </c>
      <c r="AF225" t="e">
        <f>AND(Bills!H968,"AAAAAG2+7h8=")</f>
        <v>#VALUE!</v>
      </c>
      <c r="AG225" t="e">
        <f>AND(Bills!I968,"AAAAAG2+7iA=")</f>
        <v>#VALUE!</v>
      </c>
      <c r="AH225" t="e">
        <f>AND(Bills!J968,"AAAAAG2+7iE=")</f>
        <v>#VALUE!</v>
      </c>
      <c r="AI225" t="e">
        <f>AND(Bills!K968,"AAAAAG2+7iI=")</f>
        <v>#VALUE!</v>
      </c>
      <c r="AJ225" t="e">
        <f>AND(Bills!L968,"AAAAAG2+7iM=")</f>
        <v>#VALUE!</v>
      </c>
      <c r="AK225" t="e">
        <f>AND(Bills!#REF!,"AAAAAG2+7iQ=")</f>
        <v>#REF!</v>
      </c>
      <c r="AL225" t="e">
        <f>AND(Bills!M968,"AAAAAG2+7iU=")</f>
        <v>#VALUE!</v>
      </c>
      <c r="AM225" t="e">
        <f>AND(Bills!N968,"AAAAAG2+7iY=")</f>
        <v>#VALUE!</v>
      </c>
      <c r="AN225" t="e">
        <f>AND(Bills!O968,"AAAAAG2+7ic=")</f>
        <v>#VALUE!</v>
      </c>
      <c r="AO225" t="e">
        <f>AND(Bills!P968,"AAAAAG2+7ig=")</f>
        <v>#VALUE!</v>
      </c>
      <c r="AP225" t="e">
        <f>AND(Bills!Q968,"AAAAAG2+7ik=")</f>
        <v>#VALUE!</v>
      </c>
      <c r="AQ225" t="e">
        <f>AND(Bills!R968,"AAAAAG2+7io=")</f>
        <v>#VALUE!</v>
      </c>
      <c r="AR225" t="e">
        <f>AND(Bills!S968,"AAAAAG2+7is=")</f>
        <v>#VALUE!</v>
      </c>
      <c r="AS225" t="e">
        <f>AND(Bills!T968,"AAAAAG2+7iw=")</f>
        <v>#VALUE!</v>
      </c>
      <c r="AT225" t="e">
        <f>AND(Bills!#REF!,"AAAAAG2+7i0=")</f>
        <v>#REF!</v>
      </c>
      <c r="AU225" t="e">
        <f>AND(Bills!U968,"AAAAAG2+7i4=")</f>
        <v>#VALUE!</v>
      </c>
      <c r="AV225" t="e">
        <f>AND(Bills!V968,"AAAAAG2+7i8=")</f>
        <v>#VALUE!</v>
      </c>
      <c r="AW225" t="e">
        <f>AND(Bills!W968,"AAAAAG2+7jA=")</f>
        <v>#VALUE!</v>
      </c>
      <c r="AX225" t="e">
        <f>AND(Bills!#REF!,"AAAAAG2+7jE=")</f>
        <v>#REF!</v>
      </c>
      <c r="AY225" t="e">
        <f>AND(Bills!#REF!,"AAAAAG2+7jI=")</f>
        <v>#REF!</v>
      </c>
      <c r="AZ225" t="e">
        <f>AND(Bills!Y968,"AAAAAG2+7jM=")</f>
        <v>#VALUE!</v>
      </c>
      <c r="BA225" t="e">
        <f>AND(Bills!Z968,"AAAAAG2+7jQ=")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AND(Bills!AA968,"AAAAAG2+7j4=")</f>
        <v>#VALUE!</v>
      </c>
      <c r="BL225" t="e">
        <f>AND(Bills!AB968,"AAAAAG2+7j8=")</f>
        <v>#VALUE!</v>
      </c>
      <c r="BM225" t="e">
        <f>AND(Bills!#REF!,"AAAAAG2+7kA=")</f>
        <v>#REF!</v>
      </c>
      <c r="BN225" t="e">
        <f>AND(Bills!#REF!,"AAAAAG2+7kE=")</f>
        <v>#REF!</v>
      </c>
      <c r="BO225" t="e">
        <f>AND(Bills!#REF!,"AAAAAG2+7kI=")</f>
        <v>#REF!</v>
      </c>
      <c r="BP225" t="e">
        <f>AND(Bills!AC968,"AAAAAG2+7kM=")</f>
        <v>#VALUE!</v>
      </c>
      <c r="BQ225" t="e">
        <f>AND(Bills!AD968,"AAAAAG2+7kQ=")</f>
        <v>#VALUE!</v>
      </c>
      <c r="BR225" t="e">
        <f>AND(Bills!#REF!,"AAAAAG2+7kU=")</f>
        <v>#REF!</v>
      </c>
      <c r="BS225">
        <f>IF(Bills!969:969,"AAAAAG2+7kY=",0)</f>
        <v>0</v>
      </c>
      <c r="BT225" t="e">
        <f>AND(Bills!B969,"AAAAAG2+7kc=")</f>
        <v>#VALUE!</v>
      </c>
      <c r="BU225" t="e">
        <f>AND(Bills!#REF!,"AAAAAG2+7kg=")</f>
        <v>#REF!</v>
      </c>
      <c r="BV225" t="e">
        <f>AND(Bills!C969,"AAAAAG2+7kk=")</f>
        <v>#VALUE!</v>
      </c>
      <c r="BW225" t="e">
        <f>AND(Bills!D969,"AAAAAG2+7ko=")</f>
        <v>#VALUE!</v>
      </c>
      <c r="BX225" t="e">
        <f>AND(Bills!E969,"AAAAAG2+7ks=")</f>
        <v>#VALUE!</v>
      </c>
      <c r="BY225" t="e">
        <f>AND(Bills!#REF!,"AAAAAG2+7kw=")</f>
        <v>#REF!</v>
      </c>
      <c r="BZ225" t="e">
        <f>AND(Bills!#REF!,"AAAAAG2+7k0=")</f>
        <v>#REF!</v>
      </c>
      <c r="CA225" t="e">
        <f>AND(Bills!#REF!,"AAAAAG2+7k4=")</f>
        <v>#REF!</v>
      </c>
      <c r="CB225" t="e">
        <f>AND(Bills!F969,"AAAAAG2+7k8=")</f>
        <v>#VALUE!</v>
      </c>
      <c r="CC225" t="e">
        <f>AND(Bills!#REF!,"AAAAAG2+7lA=")</f>
        <v>#REF!</v>
      </c>
      <c r="CD225" t="e">
        <f>AND(Bills!G969,"AAAAAG2+7lE=")</f>
        <v>#VALUE!</v>
      </c>
      <c r="CE225" t="e">
        <f>AND(Bills!H969,"AAAAAG2+7lI=")</f>
        <v>#VALUE!</v>
      </c>
      <c r="CF225" t="e">
        <f>AND(Bills!I969,"AAAAAG2+7lM=")</f>
        <v>#VALUE!</v>
      </c>
      <c r="CG225" t="e">
        <f>AND(Bills!J969,"AAAAAG2+7lQ=")</f>
        <v>#VALUE!</v>
      </c>
      <c r="CH225" t="e">
        <f>AND(Bills!K969,"AAAAAG2+7lU=")</f>
        <v>#VALUE!</v>
      </c>
      <c r="CI225" t="e">
        <f>AND(Bills!L969,"AAAAAG2+7lY=")</f>
        <v>#VALUE!</v>
      </c>
      <c r="CJ225" t="e">
        <f>AND(Bills!#REF!,"AAAAAG2+7lc=")</f>
        <v>#REF!</v>
      </c>
      <c r="CK225" t="e">
        <f>AND(Bills!M969,"AAAAAG2+7lg=")</f>
        <v>#VALUE!</v>
      </c>
      <c r="CL225" t="e">
        <f>AND(Bills!N969,"AAAAAG2+7lk=")</f>
        <v>#VALUE!</v>
      </c>
      <c r="CM225" t="e">
        <f>AND(Bills!O969,"AAAAAG2+7lo=")</f>
        <v>#VALUE!</v>
      </c>
      <c r="CN225" t="e">
        <f>AND(Bills!P969,"AAAAAG2+7ls=")</f>
        <v>#VALUE!</v>
      </c>
      <c r="CO225" t="e">
        <f>AND(Bills!Q969,"AAAAAG2+7lw=")</f>
        <v>#VALUE!</v>
      </c>
      <c r="CP225" t="e">
        <f>AND(Bills!R969,"AAAAAG2+7l0=")</f>
        <v>#VALUE!</v>
      </c>
      <c r="CQ225" t="e">
        <f>AND(Bills!S969,"AAAAAG2+7l4=")</f>
        <v>#VALUE!</v>
      </c>
      <c r="CR225" t="e">
        <f>AND(Bills!T969,"AAAAAG2+7l8=")</f>
        <v>#VALUE!</v>
      </c>
      <c r="CS225" t="e">
        <f>AND(Bills!#REF!,"AAAAAG2+7mA=")</f>
        <v>#REF!</v>
      </c>
      <c r="CT225" t="e">
        <f>AND(Bills!U969,"AAAAAG2+7mE=")</f>
        <v>#VALUE!</v>
      </c>
      <c r="CU225" t="e">
        <f>AND(Bills!V969,"AAAAAG2+7mI=")</f>
        <v>#VALUE!</v>
      </c>
      <c r="CV225" t="e">
        <f>AND(Bills!W969,"AAAAAG2+7mM=")</f>
        <v>#VALUE!</v>
      </c>
      <c r="CW225" t="e">
        <f>AND(Bills!#REF!,"AAAAAG2+7mQ=")</f>
        <v>#REF!</v>
      </c>
      <c r="CX225" t="e">
        <f>AND(Bills!#REF!,"AAAAAG2+7mU=")</f>
        <v>#REF!</v>
      </c>
      <c r="CY225" t="e">
        <f>AND(Bills!Y969,"AAAAAG2+7mY=")</f>
        <v>#VALUE!</v>
      </c>
      <c r="CZ225" t="e">
        <f>AND(Bills!Z969,"AAAAAG2+7mc=")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AND(Bills!AA969,"AAAAAG2+7nE=")</f>
        <v>#VALUE!</v>
      </c>
      <c r="DK225" t="e">
        <f>AND(Bills!AB969,"AAAAAG2+7nI=")</f>
        <v>#VALUE!</v>
      </c>
      <c r="DL225" t="e">
        <f>AND(Bills!#REF!,"AAAAAG2+7nM=")</f>
        <v>#REF!</v>
      </c>
      <c r="DM225" t="e">
        <f>AND(Bills!#REF!,"AAAAAG2+7nQ=")</f>
        <v>#REF!</v>
      </c>
      <c r="DN225" t="e">
        <f>AND(Bills!#REF!,"AAAAAG2+7nU=")</f>
        <v>#REF!</v>
      </c>
      <c r="DO225" t="e">
        <f>AND(Bills!AC969,"AAAAAG2+7nY=")</f>
        <v>#VALUE!</v>
      </c>
      <c r="DP225" t="e">
        <f>AND(Bills!AD969,"AAAAAG2+7nc=")</f>
        <v>#VALUE!</v>
      </c>
      <c r="DQ225" t="e">
        <f>AND(Bills!#REF!,"AAAAAG2+7ng=")</f>
        <v>#REF!</v>
      </c>
      <c r="DR225">
        <f>IF(Bills!970:970,"AAAAAG2+7nk=",0)</f>
        <v>0</v>
      </c>
      <c r="DS225" t="e">
        <f>AND(Bills!B970,"AAAAAG2+7no=")</f>
        <v>#VALUE!</v>
      </c>
      <c r="DT225" t="e">
        <f>AND(Bills!#REF!,"AAAAAG2+7ns=")</f>
        <v>#REF!</v>
      </c>
      <c r="DU225" t="e">
        <f>AND(Bills!C970,"AAAAAG2+7nw=")</f>
        <v>#VALUE!</v>
      </c>
      <c r="DV225" t="e">
        <f>AND(Bills!D970,"AAAAAG2+7n0=")</f>
        <v>#VALUE!</v>
      </c>
      <c r="DW225" t="e">
        <f>AND(Bills!E970,"AAAAAG2+7n4=")</f>
        <v>#VALUE!</v>
      </c>
      <c r="DX225" t="e">
        <f>AND(Bills!#REF!,"AAAAAG2+7n8=")</f>
        <v>#REF!</v>
      </c>
      <c r="DY225" t="e">
        <f>AND(Bills!#REF!,"AAAAAG2+7oA=")</f>
        <v>#REF!</v>
      </c>
      <c r="DZ225" t="e">
        <f>AND(Bills!#REF!,"AAAAAG2+7oE=")</f>
        <v>#REF!</v>
      </c>
      <c r="EA225" t="e">
        <f>AND(Bills!F970,"AAAAAG2+7oI=")</f>
        <v>#VALUE!</v>
      </c>
      <c r="EB225" t="e">
        <f>AND(Bills!#REF!,"AAAAAG2+7oM=")</f>
        <v>#REF!</v>
      </c>
      <c r="EC225" t="e">
        <f>AND(Bills!G970,"AAAAAG2+7oQ=")</f>
        <v>#VALUE!</v>
      </c>
      <c r="ED225" t="e">
        <f>AND(Bills!H970,"AAAAAG2+7oU=")</f>
        <v>#VALUE!</v>
      </c>
      <c r="EE225" t="e">
        <f>AND(Bills!I970,"AAAAAG2+7oY=")</f>
        <v>#VALUE!</v>
      </c>
      <c r="EF225" t="e">
        <f>AND(Bills!J970,"AAAAAG2+7oc=")</f>
        <v>#VALUE!</v>
      </c>
      <c r="EG225" t="e">
        <f>AND(Bills!K970,"AAAAAG2+7og=")</f>
        <v>#VALUE!</v>
      </c>
      <c r="EH225" t="e">
        <f>AND(Bills!L970,"AAAAAG2+7ok=")</f>
        <v>#VALUE!</v>
      </c>
      <c r="EI225" t="e">
        <f>AND(Bills!#REF!,"AAAAAG2+7oo=")</f>
        <v>#REF!</v>
      </c>
      <c r="EJ225" t="e">
        <f>AND(Bills!M970,"AAAAAG2+7os=")</f>
        <v>#VALUE!</v>
      </c>
      <c r="EK225" t="e">
        <f>AND(Bills!N970,"AAAAAG2+7ow=")</f>
        <v>#VALUE!</v>
      </c>
      <c r="EL225" t="e">
        <f>AND(Bills!O970,"AAAAAG2+7o0=")</f>
        <v>#VALUE!</v>
      </c>
      <c r="EM225" t="e">
        <f>AND(Bills!P970,"AAAAAG2+7o4=")</f>
        <v>#VALUE!</v>
      </c>
      <c r="EN225" t="e">
        <f>AND(Bills!Q970,"AAAAAG2+7o8=")</f>
        <v>#VALUE!</v>
      </c>
      <c r="EO225" t="e">
        <f>AND(Bills!R970,"AAAAAG2+7pA=")</f>
        <v>#VALUE!</v>
      </c>
      <c r="EP225" t="e">
        <f>AND(Bills!S970,"AAAAAG2+7pE=")</f>
        <v>#VALUE!</v>
      </c>
      <c r="EQ225" t="e">
        <f>AND(Bills!T970,"AAAAAG2+7pI=")</f>
        <v>#VALUE!</v>
      </c>
      <c r="ER225" t="e">
        <f>AND(Bills!#REF!,"AAAAAG2+7pM=")</f>
        <v>#REF!</v>
      </c>
      <c r="ES225" t="e">
        <f>AND(Bills!U970,"AAAAAG2+7pQ=")</f>
        <v>#VALUE!</v>
      </c>
      <c r="ET225" t="e">
        <f>AND(Bills!V970,"AAAAAG2+7pU=")</f>
        <v>#VALUE!</v>
      </c>
      <c r="EU225" t="e">
        <f>AND(Bills!W970,"AAAAAG2+7pY=")</f>
        <v>#VALUE!</v>
      </c>
      <c r="EV225" t="e">
        <f>AND(Bills!#REF!,"AAAAAG2+7pc=")</f>
        <v>#REF!</v>
      </c>
      <c r="EW225" t="e">
        <f>AND(Bills!#REF!,"AAAAAG2+7pg=")</f>
        <v>#REF!</v>
      </c>
      <c r="EX225" t="e">
        <f>AND(Bills!Y970,"AAAAAG2+7pk=")</f>
        <v>#VALUE!</v>
      </c>
      <c r="EY225" t="e">
        <f>AND(Bills!Z970,"AAAAAG2+7po=")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AND(Bills!AA970,"AAAAAG2+7qQ=")</f>
        <v>#VALUE!</v>
      </c>
      <c r="FJ225" t="e">
        <f>AND(Bills!AB970,"AAAAAG2+7qU=")</f>
        <v>#VALUE!</v>
      </c>
      <c r="FK225" t="e">
        <f>AND(Bills!#REF!,"AAAAAG2+7qY=")</f>
        <v>#REF!</v>
      </c>
      <c r="FL225" t="e">
        <f>AND(Bills!#REF!,"AAAAAG2+7qc=")</f>
        <v>#REF!</v>
      </c>
      <c r="FM225" t="e">
        <f>AND(Bills!#REF!,"AAAAAG2+7qg=")</f>
        <v>#REF!</v>
      </c>
      <c r="FN225" t="e">
        <f>AND(Bills!AC970,"AAAAAG2+7qk=")</f>
        <v>#VALUE!</v>
      </c>
      <c r="FO225" t="e">
        <f>AND(Bills!AD970,"AAAAAG2+7qo=")</f>
        <v>#VALUE!</v>
      </c>
      <c r="FP225" t="e">
        <f>AND(Bills!#REF!,"AAAAAG2+7qs=")</f>
        <v>#REF!</v>
      </c>
      <c r="FQ225">
        <f>IF(Bills!971:971,"AAAAAG2+7qw=",0)</f>
        <v>0</v>
      </c>
      <c r="FR225" t="e">
        <f>AND(Bills!B971,"AAAAAG2+7q0=")</f>
        <v>#VALUE!</v>
      </c>
      <c r="FS225" t="e">
        <f>AND(Bills!#REF!,"AAAAAG2+7q4=")</f>
        <v>#REF!</v>
      </c>
      <c r="FT225" t="e">
        <f>AND(Bills!C971,"AAAAAG2+7q8=")</f>
        <v>#VALUE!</v>
      </c>
      <c r="FU225" t="e">
        <f>AND(Bills!D971,"AAAAAG2+7rA=")</f>
        <v>#VALUE!</v>
      </c>
      <c r="FV225" t="e">
        <f>AND(Bills!E971,"AAAAAG2+7rE=")</f>
        <v>#VALUE!</v>
      </c>
      <c r="FW225" t="e">
        <f>AND(Bills!#REF!,"AAAAAG2+7rI=")</f>
        <v>#REF!</v>
      </c>
      <c r="FX225" t="e">
        <f>AND(Bills!#REF!,"AAAAAG2+7rM=")</f>
        <v>#REF!</v>
      </c>
      <c r="FY225" t="e">
        <f>AND(Bills!#REF!,"AAAAAG2+7rQ=")</f>
        <v>#REF!</v>
      </c>
      <c r="FZ225" t="e">
        <f>AND(Bills!F971,"AAAAAG2+7rU=")</f>
        <v>#VALUE!</v>
      </c>
      <c r="GA225" t="e">
        <f>AND(Bills!#REF!,"AAAAAG2+7rY=")</f>
        <v>#REF!</v>
      </c>
      <c r="GB225" t="e">
        <f>AND(Bills!G971,"AAAAAG2+7rc=")</f>
        <v>#VALUE!</v>
      </c>
      <c r="GC225" t="e">
        <f>AND(Bills!H971,"AAAAAG2+7rg=")</f>
        <v>#VALUE!</v>
      </c>
      <c r="GD225" t="e">
        <f>AND(Bills!I971,"AAAAAG2+7rk=")</f>
        <v>#VALUE!</v>
      </c>
      <c r="GE225" t="e">
        <f>AND(Bills!J971,"AAAAAG2+7ro=")</f>
        <v>#VALUE!</v>
      </c>
      <c r="GF225" t="e">
        <f>AND(Bills!K971,"AAAAAG2+7rs=")</f>
        <v>#VALUE!</v>
      </c>
      <c r="GG225" t="e">
        <f>AND(Bills!L971,"AAAAAG2+7rw=")</f>
        <v>#VALUE!</v>
      </c>
      <c r="GH225" t="e">
        <f>AND(Bills!#REF!,"AAAAAG2+7r0=")</f>
        <v>#REF!</v>
      </c>
      <c r="GI225" t="e">
        <f>AND(Bills!M971,"AAAAAG2+7r4=")</f>
        <v>#VALUE!</v>
      </c>
      <c r="GJ225" t="e">
        <f>AND(Bills!N971,"AAAAAG2+7r8=")</f>
        <v>#VALUE!</v>
      </c>
      <c r="GK225" t="e">
        <f>AND(Bills!O971,"AAAAAG2+7sA=")</f>
        <v>#VALUE!</v>
      </c>
      <c r="GL225" t="e">
        <f>AND(Bills!P971,"AAAAAG2+7sE=")</f>
        <v>#VALUE!</v>
      </c>
      <c r="GM225" t="e">
        <f>AND(Bills!Q971,"AAAAAG2+7sI=")</f>
        <v>#VALUE!</v>
      </c>
      <c r="GN225" t="e">
        <f>AND(Bills!R971,"AAAAAG2+7sM=")</f>
        <v>#VALUE!</v>
      </c>
      <c r="GO225" t="e">
        <f>AND(Bills!S971,"AAAAAG2+7sQ=")</f>
        <v>#VALUE!</v>
      </c>
      <c r="GP225" t="e">
        <f>AND(Bills!T971,"AAAAAG2+7sU=")</f>
        <v>#VALUE!</v>
      </c>
      <c r="GQ225" t="e">
        <f>AND(Bills!#REF!,"AAAAAG2+7sY=")</f>
        <v>#REF!</v>
      </c>
      <c r="GR225" t="e">
        <f>AND(Bills!U971,"AAAAAG2+7sc=")</f>
        <v>#VALUE!</v>
      </c>
      <c r="GS225" t="e">
        <f>AND(Bills!V971,"AAAAAG2+7sg=")</f>
        <v>#VALUE!</v>
      </c>
      <c r="GT225" t="e">
        <f>AND(Bills!W971,"AAAAAG2+7sk=")</f>
        <v>#VALUE!</v>
      </c>
      <c r="GU225" t="e">
        <f>AND(Bills!#REF!,"AAAAAG2+7so=")</f>
        <v>#REF!</v>
      </c>
      <c r="GV225" t="e">
        <f>AND(Bills!#REF!,"AAAAAG2+7ss=")</f>
        <v>#REF!</v>
      </c>
      <c r="GW225" t="e">
        <f>AND(Bills!Y971,"AAAAAG2+7sw=")</f>
        <v>#VALUE!</v>
      </c>
      <c r="GX225" t="e">
        <f>AND(Bills!Z971,"AAAAAG2+7s0=")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AND(Bills!AA971,"AAAAAG2+7tc=")</f>
        <v>#VALUE!</v>
      </c>
      <c r="HI225" t="e">
        <f>AND(Bills!AB971,"AAAAAG2+7tg=")</f>
        <v>#VALUE!</v>
      </c>
      <c r="HJ225" t="e">
        <f>AND(Bills!#REF!,"AAAAAG2+7tk=")</f>
        <v>#REF!</v>
      </c>
      <c r="HK225" t="e">
        <f>AND(Bills!#REF!,"AAAAAG2+7to=")</f>
        <v>#REF!</v>
      </c>
      <c r="HL225" t="e">
        <f>AND(Bills!#REF!,"AAAAAG2+7ts=")</f>
        <v>#REF!</v>
      </c>
      <c r="HM225" t="e">
        <f>AND(Bills!AC971,"AAAAAG2+7tw=")</f>
        <v>#VALUE!</v>
      </c>
      <c r="HN225" t="e">
        <f>AND(Bills!AD971,"AAAAAG2+7t0=")</f>
        <v>#VALUE!</v>
      </c>
      <c r="HO225" t="e">
        <f>AND(Bills!#REF!,"AAAAAG2+7t4=")</f>
        <v>#REF!</v>
      </c>
      <c r="HP225">
        <f>IF(Bills!972:972,"AAAAAG2+7t8=",0)</f>
        <v>0</v>
      </c>
      <c r="HQ225" t="e">
        <f>AND(Bills!B972,"AAAAAG2+7uA=")</f>
        <v>#VALUE!</v>
      </c>
      <c r="HR225" t="e">
        <f>AND(Bills!#REF!,"AAAAAG2+7uE=")</f>
        <v>#REF!</v>
      </c>
      <c r="HS225" t="e">
        <f>AND(Bills!C972,"AAAAAG2+7uI=")</f>
        <v>#VALUE!</v>
      </c>
      <c r="HT225" t="e">
        <f>AND(Bills!D972,"AAAAAG2+7uM=")</f>
        <v>#VALUE!</v>
      </c>
      <c r="HU225" t="e">
        <f>AND(Bills!E972,"AAAAAG2+7uQ=")</f>
        <v>#VALUE!</v>
      </c>
      <c r="HV225" t="e">
        <f>AND(Bills!#REF!,"AAAAAG2+7uU=")</f>
        <v>#REF!</v>
      </c>
      <c r="HW225" t="e">
        <f>AND(Bills!#REF!,"AAAAAG2+7uY=")</f>
        <v>#REF!</v>
      </c>
      <c r="HX225" t="e">
        <f>AND(Bills!#REF!,"AAAAAG2+7uc=")</f>
        <v>#REF!</v>
      </c>
      <c r="HY225" t="e">
        <f>AND(Bills!F972,"AAAAAG2+7ug=")</f>
        <v>#VALUE!</v>
      </c>
      <c r="HZ225" t="e">
        <f>AND(Bills!#REF!,"AAAAAG2+7uk=")</f>
        <v>#REF!</v>
      </c>
      <c r="IA225" t="e">
        <f>AND(Bills!G972,"AAAAAG2+7uo=")</f>
        <v>#VALUE!</v>
      </c>
      <c r="IB225" t="e">
        <f>AND(Bills!H972,"AAAAAG2+7us=")</f>
        <v>#VALUE!</v>
      </c>
      <c r="IC225" t="e">
        <f>AND(Bills!I972,"AAAAAG2+7uw=")</f>
        <v>#VALUE!</v>
      </c>
      <c r="ID225" t="e">
        <f>AND(Bills!J972,"AAAAAG2+7u0=")</f>
        <v>#VALUE!</v>
      </c>
      <c r="IE225" t="e">
        <f>AND(Bills!K972,"AAAAAG2+7u4=")</f>
        <v>#VALUE!</v>
      </c>
      <c r="IF225" t="e">
        <f>AND(Bills!L972,"AAAAAG2+7u8=")</f>
        <v>#VALUE!</v>
      </c>
      <c r="IG225" t="e">
        <f>AND(Bills!#REF!,"AAAAAG2+7vA=")</f>
        <v>#REF!</v>
      </c>
      <c r="IH225" t="e">
        <f>AND(Bills!M972,"AAAAAG2+7vE=")</f>
        <v>#VALUE!</v>
      </c>
      <c r="II225" t="e">
        <f>AND(Bills!N972,"AAAAAG2+7vI=")</f>
        <v>#VALUE!</v>
      </c>
      <c r="IJ225" t="e">
        <f>AND(Bills!O972,"AAAAAG2+7vM=")</f>
        <v>#VALUE!</v>
      </c>
      <c r="IK225" t="e">
        <f>AND(Bills!P972,"AAAAAG2+7vQ=")</f>
        <v>#VALUE!</v>
      </c>
      <c r="IL225" t="e">
        <f>AND(Bills!Q972,"AAAAAG2+7vU=")</f>
        <v>#VALUE!</v>
      </c>
      <c r="IM225" t="e">
        <f>AND(Bills!R972,"AAAAAG2+7vY=")</f>
        <v>#VALUE!</v>
      </c>
      <c r="IN225" t="e">
        <f>AND(Bills!S972,"AAAAAG2+7vc=")</f>
        <v>#VALUE!</v>
      </c>
      <c r="IO225" t="e">
        <f>AND(Bills!T972,"AAAAAG2+7vg=")</f>
        <v>#VALUE!</v>
      </c>
      <c r="IP225" t="e">
        <f>AND(Bills!#REF!,"AAAAAG2+7vk=")</f>
        <v>#REF!</v>
      </c>
      <c r="IQ225" t="e">
        <f>AND(Bills!U972,"AAAAAG2+7vo=")</f>
        <v>#VALUE!</v>
      </c>
      <c r="IR225" t="e">
        <f>AND(Bills!V972,"AAAAAG2+7vs=")</f>
        <v>#VALUE!</v>
      </c>
      <c r="IS225" t="e">
        <f>AND(Bills!W972,"AAAAAG2+7vw=")</f>
        <v>#VALUE!</v>
      </c>
      <c r="IT225" t="e">
        <f>AND(Bills!#REF!,"AAAAAG2+7v0=")</f>
        <v>#REF!</v>
      </c>
      <c r="IU225" t="e">
        <f>AND(Bills!#REF!,"AAAAAG2+7v4=")</f>
        <v>#REF!</v>
      </c>
      <c r="IV225" t="e">
        <f>AND(Bills!Y972,"AAAAAG2+7v8=")</f>
        <v>#VALUE!</v>
      </c>
    </row>
    <row r="226" spans="1:256">
      <c r="A226" t="e">
        <f>AND(Bills!Z972,"AAAAAGtd8wA=")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AND(Bills!AA972,"AAAAAGtd8wo=")</f>
        <v>#VALUE!</v>
      </c>
      <c r="L226" t="e">
        <f>AND(Bills!AB972,"AAAAAGtd8ws=")</f>
        <v>#VALUE!</v>
      </c>
      <c r="M226" t="e">
        <f>AND(Bills!#REF!,"AAAAAGtd8ww=")</f>
        <v>#REF!</v>
      </c>
      <c r="N226" t="e">
        <f>AND(Bills!#REF!,"AAAAAGtd8w0=")</f>
        <v>#REF!</v>
      </c>
      <c r="O226" t="e">
        <f>AND(Bills!#REF!,"AAAAAGtd8w4=")</f>
        <v>#REF!</v>
      </c>
      <c r="P226" t="e">
        <f>AND(Bills!AC972,"AAAAAGtd8w8=")</f>
        <v>#VALUE!</v>
      </c>
      <c r="Q226" t="e">
        <f>AND(Bills!AD972,"AAAAAGtd8xA=")</f>
        <v>#VALUE!</v>
      </c>
      <c r="R226" t="e">
        <f>AND(Bills!#REF!,"AAAAAGtd8xE=")</f>
        <v>#REF!</v>
      </c>
      <c r="S226">
        <f>IF(Bills!973:973,"AAAAAGtd8xI=",0)</f>
        <v>0</v>
      </c>
      <c r="T226" t="e">
        <f>AND(Bills!B973,"AAAAAGtd8xM=")</f>
        <v>#VALUE!</v>
      </c>
      <c r="U226" t="e">
        <f>AND(Bills!#REF!,"AAAAAGtd8xQ=")</f>
        <v>#REF!</v>
      </c>
      <c r="V226" t="e">
        <f>AND(Bills!C973,"AAAAAGtd8xU=")</f>
        <v>#VALUE!</v>
      </c>
      <c r="W226" t="e">
        <f>AND(Bills!D973,"AAAAAGtd8xY=")</f>
        <v>#VALUE!</v>
      </c>
      <c r="X226" t="e">
        <f>AND(Bills!E973,"AAAAAGtd8xc=")</f>
        <v>#VALUE!</v>
      </c>
      <c r="Y226" t="e">
        <f>AND(Bills!#REF!,"AAAAAGtd8xg=")</f>
        <v>#REF!</v>
      </c>
      <c r="Z226" t="e">
        <f>AND(Bills!#REF!,"AAAAAGtd8xk=")</f>
        <v>#REF!</v>
      </c>
      <c r="AA226" t="e">
        <f>AND(Bills!#REF!,"AAAAAGtd8xo=")</f>
        <v>#REF!</v>
      </c>
      <c r="AB226" t="e">
        <f>AND(Bills!F973,"AAAAAGtd8xs=")</f>
        <v>#VALUE!</v>
      </c>
      <c r="AC226" t="e">
        <f>AND(Bills!#REF!,"AAAAAGtd8xw=")</f>
        <v>#REF!</v>
      </c>
      <c r="AD226" t="e">
        <f>AND(Bills!G973,"AAAAAGtd8x0=")</f>
        <v>#VALUE!</v>
      </c>
      <c r="AE226" t="e">
        <f>AND(Bills!H973,"AAAAAGtd8x4=")</f>
        <v>#VALUE!</v>
      </c>
      <c r="AF226" t="e">
        <f>AND(Bills!I973,"AAAAAGtd8x8=")</f>
        <v>#VALUE!</v>
      </c>
      <c r="AG226" t="e">
        <f>AND(Bills!J973,"AAAAAGtd8yA=")</f>
        <v>#VALUE!</v>
      </c>
      <c r="AH226" t="e">
        <f>AND(Bills!K973,"AAAAAGtd8yE=")</f>
        <v>#VALUE!</v>
      </c>
      <c r="AI226" t="e">
        <f>AND(Bills!L973,"AAAAAGtd8yI=")</f>
        <v>#VALUE!</v>
      </c>
      <c r="AJ226" t="e">
        <f>AND(Bills!#REF!,"AAAAAGtd8yM=")</f>
        <v>#REF!</v>
      </c>
      <c r="AK226" t="e">
        <f>AND(Bills!M973,"AAAAAGtd8yQ=")</f>
        <v>#VALUE!</v>
      </c>
      <c r="AL226" t="e">
        <f>AND(Bills!N973,"AAAAAGtd8yU=")</f>
        <v>#VALUE!</v>
      </c>
      <c r="AM226" t="e">
        <f>AND(Bills!O973,"AAAAAGtd8yY=")</f>
        <v>#VALUE!</v>
      </c>
      <c r="AN226" t="e">
        <f>AND(Bills!P973,"AAAAAGtd8yc=")</f>
        <v>#VALUE!</v>
      </c>
      <c r="AO226" t="e">
        <f>AND(Bills!Q973,"AAAAAGtd8yg=")</f>
        <v>#VALUE!</v>
      </c>
      <c r="AP226" t="e">
        <f>AND(Bills!R973,"AAAAAGtd8yk=")</f>
        <v>#VALUE!</v>
      </c>
      <c r="AQ226" t="e">
        <f>AND(Bills!S973,"AAAAAGtd8yo=")</f>
        <v>#VALUE!</v>
      </c>
      <c r="AR226" t="e">
        <f>AND(Bills!T973,"AAAAAGtd8ys=")</f>
        <v>#VALUE!</v>
      </c>
      <c r="AS226" t="e">
        <f>AND(Bills!#REF!,"AAAAAGtd8yw=")</f>
        <v>#REF!</v>
      </c>
      <c r="AT226" t="e">
        <f>AND(Bills!U973,"AAAAAGtd8y0=")</f>
        <v>#VALUE!</v>
      </c>
      <c r="AU226" t="e">
        <f>AND(Bills!V973,"AAAAAGtd8y4=")</f>
        <v>#VALUE!</v>
      </c>
      <c r="AV226" t="e">
        <f>AND(Bills!W973,"AAAAAGtd8y8=")</f>
        <v>#VALUE!</v>
      </c>
      <c r="AW226" t="e">
        <f>AND(Bills!#REF!,"AAAAAGtd8zA=")</f>
        <v>#REF!</v>
      </c>
      <c r="AX226" t="e">
        <f>AND(Bills!#REF!,"AAAAAGtd8zE=")</f>
        <v>#REF!</v>
      </c>
      <c r="AY226" t="e">
        <f>AND(Bills!Y973,"AAAAAGtd8zI=")</f>
        <v>#VALUE!</v>
      </c>
      <c r="AZ226" t="e">
        <f>AND(Bills!Z973,"AAAAAGtd8zM=")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AND(Bills!AA973,"AAAAAGtd8z0=")</f>
        <v>#VALUE!</v>
      </c>
      <c r="BK226" t="e">
        <f>AND(Bills!AB973,"AAAAAGtd8z4=")</f>
        <v>#VALUE!</v>
      </c>
      <c r="BL226" t="e">
        <f>AND(Bills!#REF!,"AAAAAGtd8z8=")</f>
        <v>#REF!</v>
      </c>
      <c r="BM226" t="e">
        <f>AND(Bills!#REF!,"AAAAAGtd80A=")</f>
        <v>#REF!</v>
      </c>
      <c r="BN226" t="e">
        <f>AND(Bills!#REF!,"AAAAAGtd80E=")</f>
        <v>#REF!</v>
      </c>
      <c r="BO226" t="e">
        <f>AND(Bills!AC973,"AAAAAGtd80I=")</f>
        <v>#VALUE!</v>
      </c>
      <c r="BP226" t="e">
        <f>AND(Bills!AD973,"AAAAAGtd80M=")</f>
        <v>#VALUE!</v>
      </c>
      <c r="BQ226" t="e">
        <f>AND(Bills!#REF!,"AAAAAGtd80Q=")</f>
        <v>#REF!</v>
      </c>
      <c r="BR226">
        <f>IF(Bills!974:974,"AAAAAGtd80U=",0)</f>
        <v>0</v>
      </c>
      <c r="BS226" t="e">
        <f>AND(Bills!B974,"AAAAAGtd80Y=")</f>
        <v>#VALUE!</v>
      </c>
      <c r="BT226" t="e">
        <f>AND(Bills!#REF!,"AAAAAGtd80c=")</f>
        <v>#REF!</v>
      </c>
      <c r="BU226" t="e">
        <f>AND(Bills!C974,"AAAAAGtd80g=")</f>
        <v>#VALUE!</v>
      </c>
      <c r="BV226" t="e">
        <f>AND(Bills!D974,"AAAAAGtd80k=")</f>
        <v>#VALUE!</v>
      </c>
      <c r="BW226" t="e">
        <f>AND(Bills!E974,"AAAAAGtd80o=")</f>
        <v>#VALUE!</v>
      </c>
      <c r="BX226" t="e">
        <f>AND(Bills!#REF!,"AAAAAGtd80s=")</f>
        <v>#REF!</v>
      </c>
      <c r="BY226" t="e">
        <f>AND(Bills!#REF!,"AAAAAGtd80w=")</f>
        <v>#REF!</v>
      </c>
      <c r="BZ226" t="e">
        <f>AND(Bills!#REF!,"AAAAAGtd800=")</f>
        <v>#REF!</v>
      </c>
      <c r="CA226" t="e">
        <f>AND(Bills!F974,"AAAAAGtd804=")</f>
        <v>#VALUE!</v>
      </c>
      <c r="CB226" t="e">
        <f>AND(Bills!#REF!,"AAAAAGtd808=")</f>
        <v>#REF!</v>
      </c>
      <c r="CC226" t="e">
        <f>AND(Bills!G974,"AAAAAGtd81A=")</f>
        <v>#VALUE!</v>
      </c>
      <c r="CD226" t="e">
        <f>AND(Bills!H974,"AAAAAGtd81E=")</f>
        <v>#VALUE!</v>
      </c>
      <c r="CE226" t="e">
        <f>AND(Bills!I974,"AAAAAGtd81I=")</f>
        <v>#VALUE!</v>
      </c>
      <c r="CF226" t="e">
        <f>AND(Bills!J974,"AAAAAGtd81M=")</f>
        <v>#VALUE!</v>
      </c>
      <c r="CG226" t="e">
        <f>AND(Bills!K974,"AAAAAGtd81Q=")</f>
        <v>#VALUE!</v>
      </c>
      <c r="CH226" t="e">
        <f>AND(Bills!L974,"AAAAAGtd81U=")</f>
        <v>#VALUE!</v>
      </c>
      <c r="CI226" t="e">
        <f>AND(Bills!#REF!,"AAAAAGtd81Y=")</f>
        <v>#REF!</v>
      </c>
      <c r="CJ226" t="e">
        <f>AND(Bills!M974,"AAAAAGtd81c=")</f>
        <v>#VALUE!</v>
      </c>
      <c r="CK226" t="e">
        <f>AND(Bills!N974,"AAAAAGtd81g=")</f>
        <v>#VALUE!</v>
      </c>
      <c r="CL226" t="e">
        <f>AND(Bills!O974,"AAAAAGtd81k=")</f>
        <v>#VALUE!</v>
      </c>
      <c r="CM226" t="e">
        <f>AND(Bills!P974,"AAAAAGtd81o=")</f>
        <v>#VALUE!</v>
      </c>
      <c r="CN226" t="e">
        <f>AND(Bills!Q974,"AAAAAGtd81s=")</f>
        <v>#VALUE!</v>
      </c>
      <c r="CO226" t="e">
        <f>AND(Bills!R974,"AAAAAGtd81w=")</f>
        <v>#VALUE!</v>
      </c>
      <c r="CP226" t="e">
        <f>AND(Bills!S974,"AAAAAGtd810=")</f>
        <v>#VALUE!</v>
      </c>
      <c r="CQ226" t="e">
        <f>AND(Bills!T974,"AAAAAGtd814=")</f>
        <v>#VALUE!</v>
      </c>
      <c r="CR226" t="e">
        <f>AND(Bills!#REF!,"AAAAAGtd818=")</f>
        <v>#REF!</v>
      </c>
      <c r="CS226" t="e">
        <f>AND(Bills!U974,"AAAAAGtd82A=")</f>
        <v>#VALUE!</v>
      </c>
      <c r="CT226" t="e">
        <f>AND(Bills!V974,"AAAAAGtd82E=")</f>
        <v>#VALUE!</v>
      </c>
      <c r="CU226" t="e">
        <f>AND(Bills!W974,"AAAAAGtd82I=")</f>
        <v>#VALUE!</v>
      </c>
      <c r="CV226" t="e">
        <f>AND(Bills!#REF!,"AAAAAGtd82M=")</f>
        <v>#REF!</v>
      </c>
      <c r="CW226" t="e">
        <f>AND(Bills!#REF!,"AAAAAGtd82Q=")</f>
        <v>#REF!</v>
      </c>
      <c r="CX226" t="e">
        <f>AND(Bills!Y974,"AAAAAGtd82U=")</f>
        <v>#VALUE!</v>
      </c>
      <c r="CY226" t="e">
        <f>AND(Bills!Z974,"AAAAAGtd82Y=")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AND(Bills!AA974,"AAAAAGtd83A=")</f>
        <v>#VALUE!</v>
      </c>
      <c r="DJ226" t="e">
        <f>AND(Bills!AB974,"AAAAAGtd83E=")</f>
        <v>#VALUE!</v>
      </c>
      <c r="DK226" t="e">
        <f>AND(Bills!#REF!,"AAAAAGtd83I=")</f>
        <v>#REF!</v>
      </c>
      <c r="DL226" t="e">
        <f>AND(Bills!#REF!,"AAAAAGtd83M=")</f>
        <v>#REF!</v>
      </c>
      <c r="DM226" t="e">
        <f>AND(Bills!#REF!,"AAAAAGtd83Q=")</f>
        <v>#REF!</v>
      </c>
      <c r="DN226" t="e">
        <f>AND(Bills!AC974,"AAAAAGtd83U=")</f>
        <v>#VALUE!</v>
      </c>
      <c r="DO226" t="e">
        <f>AND(Bills!AD974,"AAAAAGtd83Y=")</f>
        <v>#VALUE!</v>
      </c>
      <c r="DP226" t="e">
        <f>AND(Bills!#REF!,"AAAAAGtd83c=")</f>
        <v>#REF!</v>
      </c>
      <c r="DQ226">
        <f>IF(Bills!975:975,"AAAAAGtd83g=",0)</f>
        <v>0</v>
      </c>
      <c r="DR226" t="e">
        <f>AND(Bills!B975,"AAAAAGtd83k=")</f>
        <v>#VALUE!</v>
      </c>
      <c r="DS226" t="e">
        <f>AND(Bills!#REF!,"AAAAAGtd83o=")</f>
        <v>#REF!</v>
      </c>
      <c r="DT226" t="e">
        <f>AND(Bills!C975,"AAAAAGtd83s=")</f>
        <v>#VALUE!</v>
      </c>
      <c r="DU226" t="e">
        <f>AND(Bills!D975,"AAAAAGtd83w=")</f>
        <v>#VALUE!</v>
      </c>
      <c r="DV226" t="e">
        <f>AND(Bills!E975,"AAAAAGtd830=")</f>
        <v>#VALUE!</v>
      </c>
      <c r="DW226" t="e">
        <f>AND(Bills!#REF!,"AAAAAGtd834=")</f>
        <v>#REF!</v>
      </c>
      <c r="DX226" t="e">
        <f>AND(Bills!#REF!,"AAAAAGtd838=")</f>
        <v>#REF!</v>
      </c>
      <c r="DY226" t="e">
        <f>AND(Bills!#REF!,"AAAAAGtd84A=")</f>
        <v>#REF!</v>
      </c>
      <c r="DZ226" t="e">
        <f>AND(Bills!F975,"AAAAAGtd84E=")</f>
        <v>#VALUE!</v>
      </c>
      <c r="EA226" t="e">
        <f>AND(Bills!#REF!,"AAAAAGtd84I=")</f>
        <v>#REF!</v>
      </c>
      <c r="EB226" t="e">
        <f>AND(Bills!G975,"AAAAAGtd84M=")</f>
        <v>#VALUE!</v>
      </c>
      <c r="EC226" t="e">
        <f>AND(Bills!H975,"AAAAAGtd84Q=")</f>
        <v>#VALUE!</v>
      </c>
      <c r="ED226" t="e">
        <f>AND(Bills!I975,"AAAAAGtd84U=")</f>
        <v>#VALUE!</v>
      </c>
      <c r="EE226" t="e">
        <f>AND(Bills!J975,"AAAAAGtd84Y=")</f>
        <v>#VALUE!</v>
      </c>
      <c r="EF226" t="e">
        <f>AND(Bills!K975,"AAAAAGtd84c=")</f>
        <v>#VALUE!</v>
      </c>
      <c r="EG226" t="e">
        <f>AND(Bills!L975,"AAAAAGtd84g=")</f>
        <v>#VALUE!</v>
      </c>
      <c r="EH226" t="e">
        <f>AND(Bills!#REF!,"AAAAAGtd84k=")</f>
        <v>#REF!</v>
      </c>
      <c r="EI226" t="e">
        <f>AND(Bills!M975,"AAAAAGtd84o=")</f>
        <v>#VALUE!</v>
      </c>
      <c r="EJ226" t="e">
        <f>AND(Bills!N975,"AAAAAGtd84s=")</f>
        <v>#VALUE!</v>
      </c>
      <c r="EK226" t="e">
        <f>AND(Bills!O975,"AAAAAGtd84w=")</f>
        <v>#VALUE!</v>
      </c>
      <c r="EL226" t="e">
        <f>AND(Bills!P975,"AAAAAGtd840=")</f>
        <v>#VALUE!</v>
      </c>
      <c r="EM226" t="e">
        <f>AND(Bills!Q975,"AAAAAGtd844=")</f>
        <v>#VALUE!</v>
      </c>
      <c r="EN226" t="e">
        <f>AND(Bills!R975,"AAAAAGtd848=")</f>
        <v>#VALUE!</v>
      </c>
      <c r="EO226" t="e">
        <f>AND(Bills!S975,"AAAAAGtd85A=")</f>
        <v>#VALUE!</v>
      </c>
      <c r="EP226" t="e">
        <f>AND(Bills!T975,"AAAAAGtd85E=")</f>
        <v>#VALUE!</v>
      </c>
      <c r="EQ226" t="e">
        <f>AND(Bills!#REF!,"AAAAAGtd85I=")</f>
        <v>#REF!</v>
      </c>
      <c r="ER226" t="e">
        <f>AND(Bills!U975,"AAAAAGtd85M=")</f>
        <v>#VALUE!</v>
      </c>
      <c r="ES226" t="e">
        <f>AND(Bills!V975,"AAAAAGtd85Q=")</f>
        <v>#VALUE!</v>
      </c>
      <c r="ET226" t="e">
        <f>AND(Bills!W975,"AAAAAGtd85U=")</f>
        <v>#VALUE!</v>
      </c>
      <c r="EU226" t="e">
        <f>AND(Bills!#REF!,"AAAAAGtd85Y=")</f>
        <v>#REF!</v>
      </c>
      <c r="EV226" t="e">
        <f>AND(Bills!#REF!,"AAAAAGtd85c=")</f>
        <v>#REF!</v>
      </c>
      <c r="EW226" t="e">
        <f>AND(Bills!Y975,"AAAAAGtd85g=")</f>
        <v>#VALUE!</v>
      </c>
      <c r="EX226" t="e">
        <f>AND(Bills!Z975,"AAAAAGtd85k=")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AND(Bills!AA975,"AAAAAGtd86M=")</f>
        <v>#VALUE!</v>
      </c>
      <c r="FI226" t="e">
        <f>AND(Bills!AB975,"AAAAAGtd86Q=")</f>
        <v>#VALUE!</v>
      </c>
      <c r="FJ226" t="e">
        <f>AND(Bills!#REF!,"AAAAAGtd86U=")</f>
        <v>#REF!</v>
      </c>
      <c r="FK226" t="e">
        <f>AND(Bills!#REF!,"AAAAAGtd86Y=")</f>
        <v>#REF!</v>
      </c>
      <c r="FL226" t="e">
        <f>AND(Bills!#REF!,"AAAAAGtd86c=")</f>
        <v>#REF!</v>
      </c>
      <c r="FM226" t="e">
        <f>AND(Bills!AC975,"AAAAAGtd86g=")</f>
        <v>#VALUE!</v>
      </c>
      <c r="FN226" t="e">
        <f>AND(Bills!AD975,"AAAAAGtd86k=")</f>
        <v>#VALUE!</v>
      </c>
      <c r="FO226" t="e">
        <f>AND(Bills!#REF!,"AAAAAGtd86o=")</f>
        <v>#REF!</v>
      </c>
      <c r="FP226">
        <f>IF(Bills!976:976,"AAAAAGtd86s=",0)</f>
        <v>0</v>
      </c>
      <c r="FQ226" t="e">
        <f>AND(Bills!B976,"AAAAAGtd86w=")</f>
        <v>#VALUE!</v>
      </c>
      <c r="FR226" t="e">
        <f>AND(Bills!#REF!,"AAAAAGtd860=")</f>
        <v>#REF!</v>
      </c>
      <c r="FS226" t="e">
        <f>AND(Bills!C976,"AAAAAGtd864=")</f>
        <v>#VALUE!</v>
      </c>
      <c r="FT226" t="e">
        <f>AND(Bills!D976,"AAAAAGtd868=")</f>
        <v>#VALUE!</v>
      </c>
      <c r="FU226" t="e">
        <f>AND(Bills!E976,"AAAAAGtd87A=")</f>
        <v>#VALUE!</v>
      </c>
      <c r="FV226" t="e">
        <f>AND(Bills!#REF!,"AAAAAGtd87E=")</f>
        <v>#REF!</v>
      </c>
      <c r="FW226" t="e">
        <f>AND(Bills!#REF!,"AAAAAGtd87I=")</f>
        <v>#REF!</v>
      </c>
      <c r="FX226" t="e">
        <f>AND(Bills!#REF!,"AAAAAGtd87M=")</f>
        <v>#REF!</v>
      </c>
      <c r="FY226" t="e">
        <f>AND(Bills!F976,"AAAAAGtd87Q=")</f>
        <v>#VALUE!</v>
      </c>
      <c r="FZ226" t="e">
        <f>AND(Bills!#REF!,"AAAAAGtd87U=")</f>
        <v>#REF!</v>
      </c>
      <c r="GA226" t="e">
        <f>AND(Bills!G976,"AAAAAGtd87Y=")</f>
        <v>#VALUE!</v>
      </c>
      <c r="GB226" t="e">
        <f>AND(Bills!H976,"AAAAAGtd87c=")</f>
        <v>#VALUE!</v>
      </c>
      <c r="GC226" t="e">
        <f>AND(Bills!I976,"AAAAAGtd87g=")</f>
        <v>#VALUE!</v>
      </c>
      <c r="GD226" t="e">
        <f>AND(Bills!J976,"AAAAAGtd87k=")</f>
        <v>#VALUE!</v>
      </c>
      <c r="GE226" t="e">
        <f>AND(Bills!K976,"AAAAAGtd87o=")</f>
        <v>#VALUE!</v>
      </c>
      <c r="GF226" t="e">
        <f>AND(Bills!L976,"AAAAAGtd87s=")</f>
        <v>#VALUE!</v>
      </c>
      <c r="GG226" t="e">
        <f>AND(Bills!#REF!,"AAAAAGtd87w=")</f>
        <v>#REF!</v>
      </c>
      <c r="GH226" t="e">
        <f>AND(Bills!M976,"AAAAAGtd870=")</f>
        <v>#VALUE!</v>
      </c>
      <c r="GI226" t="e">
        <f>AND(Bills!N976,"AAAAAGtd874=")</f>
        <v>#VALUE!</v>
      </c>
      <c r="GJ226" t="e">
        <f>AND(Bills!O976,"AAAAAGtd878=")</f>
        <v>#VALUE!</v>
      </c>
      <c r="GK226" t="e">
        <f>AND(Bills!P976,"AAAAAGtd88A=")</f>
        <v>#VALUE!</v>
      </c>
      <c r="GL226" t="e">
        <f>AND(Bills!Q976,"AAAAAGtd88E=")</f>
        <v>#VALUE!</v>
      </c>
      <c r="GM226" t="e">
        <f>AND(Bills!R976,"AAAAAGtd88I=")</f>
        <v>#VALUE!</v>
      </c>
      <c r="GN226" t="e">
        <f>AND(Bills!S976,"AAAAAGtd88M=")</f>
        <v>#VALUE!</v>
      </c>
      <c r="GO226" t="e">
        <f>AND(Bills!T976,"AAAAAGtd88Q=")</f>
        <v>#VALUE!</v>
      </c>
      <c r="GP226" t="e">
        <f>AND(Bills!#REF!,"AAAAAGtd88U=")</f>
        <v>#REF!</v>
      </c>
      <c r="GQ226" t="e">
        <f>AND(Bills!U976,"AAAAAGtd88Y=")</f>
        <v>#VALUE!</v>
      </c>
      <c r="GR226" t="e">
        <f>AND(Bills!V976,"AAAAAGtd88c=")</f>
        <v>#VALUE!</v>
      </c>
      <c r="GS226" t="e">
        <f>AND(Bills!W976,"AAAAAGtd88g=")</f>
        <v>#VALUE!</v>
      </c>
      <c r="GT226" t="e">
        <f>AND(Bills!#REF!,"AAAAAGtd88k=")</f>
        <v>#REF!</v>
      </c>
      <c r="GU226" t="e">
        <f>AND(Bills!#REF!,"AAAAAGtd88o=")</f>
        <v>#REF!</v>
      </c>
      <c r="GV226" t="e">
        <f>AND(Bills!Y976,"AAAAAGtd88s=")</f>
        <v>#VALUE!</v>
      </c>
      <c r="GW226" t="e">
        <f>AND(Bills!Z976,"AAAAAGtd88w=")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AND(Bills!AA976,"AAAAAGtd89Y=")</f>
        <v>#VALUE!</v>
      </c>
      <c r="HH226" t="e">
        <f>AND(Bills!AB976,"AAAAAGtd89c=")</f>
        <v>#VALUE!</v>
      </c>
      <c r="HI226" t="e">
        <f>AND(Bills!#REF!,"AAAAAGtd89g=")</f>
        <v>#REF!</v>
      </c>
      <c r="HJ226" t="e">
        <f>AND(Bills!#REF!,"AAAAAGtd89k=")</f>
        <v>#REF!</v>
      </c>
      <c r="HK226" t="e">
        <f>AND(Bills!#REF!,"AAAAAGtd89o=")</f>
        <v>#REF!</v>
      </c>
      <c r="HL226" t="e">
        <f>AND(Bills!AC976,"AAAAAGtd89s=")</f>
        <v>#VALUE!</v>
      </c>
      <c r="HM226" t="e">
        <f>AND(Bills!AD976,"AAAAAGtd89w=")</f>
        <v>#VALUE!</v>
      </c>
      <c r="HN226" t="e">
        <f>AND(Bills!#REF!,"AAAAAGtd890=")</f>
        <v>#REF!</v>
      </c>
      <c r="HO226">
        <f>IF(Bills!977:977,"AAAAAGtd894=",0)</f>
        <v>0</v>
      </c>
      <c r="HP226" t="e">
        <f>AND(Bills!B977,"AAAAAGtd898=")</f>
        <v>#VALUE!</v>
      </c>
      <c r="HQ226" t="e">
        <f>AND(Bills!#REF!,"AAAAAGtd8+A=")</f>
        <v>#REF!</v>
      </c>
      <c r="HR226" t="e">
        <f>AND(Bills!C977,"AAAAAGtd8+E=")</f>
        <v>#VALUE!</v>
      </c>
      <c r="HS226" t="e">
        <f>AND(Bills!D977,"AAAAAGtd8+I=")</f>
        <v>#VALUE!</v>
      </c>
      <c r="HT226" t="e">
        <f>AND(Bills!E977,"AAAAAGtd8+M=")</f>
        <v>#VALUE!</v>
      </c>
      <c r="HU226" t="e">
        <f>AND(Bills!#REF!,"AAAAAGtd8+Q=")</f>
        <v>#REF!</v>
      </c>
      <c r="HV226" t="e">
        <f>AND(Bills!#REF!,"AAAAAGtd8+U=")</f>
        <v>#REF!</v>
      </c>
      <c r="HW226" t="e">
        <f>AND(Bills!#REF!,"AAAAAGtd8+Y=")</f>
        <v>#REF!</v>
      </c>
      <c r="HX226" t="e">
        <f>AND(Bills!F977,"AAAAAGtd8+c=")</f>
        <v>#VALUE!</v>
      </c>
      <c r="HY226" t="e">
        <f>AND(Bills!#REF!,"AAAAAGtd8+g=")</f>
        <v>#REF!</v>
      </c>
      <c r="HZ226" t="e">
        <f>AND(Bills!G977,"AAAAAGtd8+k=")</f>
        <v>#VALUE!</v>
      </c>
      <c r="IA226" t="e">
        <f>AND(Bills!H977,"AAAAAGtd8+o=")</f>
        <v>#VALUE!</v>
      </c>
      <c r="IB226" t="e">
        <f>AND(Bills!I977,"AAAAAGtd8+s=")</f>
        <v>#VALUE!</v>
      </c>
      <c r="IC226" t="e">
        <f>AND(Bills!J977,"AAAAAGtd8+w=")</f>
        <v>#VALUE!</v>
      </c>
      <c r="ID226" t="e">
        <f>AND(Bills!K977,"AAAAAGtd8+0=")</f>
        <v>#VALUE!</v>
      </c>
      <c r="IE226" t="e">
        <f>AND(Bills!L977,"AAAAAGtd8+4=")</f>
        <v>#VALUE!</v>
      </c>
      <c r="IF226" t="e">
        <f>AND(Bills!#REF!,"AAAAAGtd8+8=")</f>
        <v>#REF!</v>
      </c>
      <c r="IG226" t="e">
        <f>AND(Bills!M977,"AAAAAGtd8/A=")</f>
        <v>#VALUE!</v>
      </c>
      <c r="IH226" t="e">
        <f>AND(Bills!N977,"AAAAAGtd8/E=")</f>
        <v>#VALUE!</v>
      </c>
      <c r="II226" t="e">
        <f>AND(Bills!O977,"AAAAAGtd8/I=")</f>
        <v>#VALUE!</v>
      </c>
      <c r="IJ226" t="e">
        <f>AND(Bills!P977,"AAAAAGtd8/M=")</f>
        <v>#VALUE!</v>
      </c>
      <c r="IK226" t="e">
        <f>AND(Bills!Q977,"AAAAAGtd8/Q=")</f>
        <v>#VALUE!</v>
      </c>
      <c r="IL226" t="e">
        <f>AND(Bills!R977,"AAAAAGtd8/U=")</f>
        <v>#VALUE!</v>
      </c>
      <c r="IM226" t="e">
        <f>AND(Bills!S977,"AAAAAGtd8/Y=")</f>
        <v>#VALUE!</v>
      </c>
      <c r="IN226" t="e">
        <f>AND(Bills!T977,"AAAAAGtd8/c=")</f>
        <v>#VALUE!</v>
      </c>
      <c r="IO226" t="e">
        <f>AND(Bills!#REF!,"AAAAAGtd8/g=")</f>
        <v>#REF!</v>
      </c>
      <c r="IP226" t="e">
        <f>AND(Bills!U977,"AAAAAGtd8/k=")</f>
        <v>#VALUE!</v>
      </c>
      <c r="IQ226" t="e">
        <f>AND(Bills!V977,"AAAAAGtd8/o=")</f>
        <v>#VALUE!</v>
      </c>
      <c r="IR226" t="e">
        <f>AND(Bills!W977,"AAAAAGtd8/s=")</f>
        <v>#VALUE!</v>
      </c>
      <c r="IS226" t="e">
        <f>AND(Bills!#REF!,"AAAAAGtd8/w=")</f>
        <v>#REF!</v>
      </c>
      <c r="IT226" t="e">
        <f>AND(Bills!#REF!,"AAAAAGtd8/0=")</f>
        <v>#REF!</v>
      </c>
      <c r="IU226" t="e">
        <f>AND(Bills!Y977,"AAAAAGtd8/4=")</f>
        <v>#VALUE!</v>
      </c>
      <c r="IV226" t="e">
        <f>AND(Bills!Z977,"AAAAAGtd8/8=")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AND(Bills!AA977,"AAAAAFZq3wk=")</f>
        <v>#VALUE!</v>
      </c>
      <c r="K227" t="e">
        <f>AND(Bills!AB977,"AAAAAFZq3wo=")</f>
        <v>#VALUE!</v>
      </c>
      <c r="L227" t="e">
        <f>AND(Bills!#REF!,"AAAAAFZq3ws=")</f>
        <v>#REF!</v>
      </c>
      <c r="M227" t="e">
        <f>AND(Bills!#REF!,"AAAAAFZq3ww=")</f>
        <v>#REF!</v>
      </c>
      <c r="N227" t="e">
        <f>AND(Bills!#REF!,"AAAAAFZq3w0=")</f>
        <v>#REF!</v>
      </c>
      <c r="O227" t="e">
        <f>AND(Bills!AC977,"AAAAAFZq3w4=")</f>
        <v>#VALUE!</v>
      </c>
      <c r="P227" t="e">
        <f>AND(Bills!AD977,"AAAAAFZq3w8=")</f>
        <v>#VALUE!</v>
      </c>
      <c r="Q227" t="e">
        <f>AND(Bills!#REF!,"AAAAAFZq3xA=")</f>
        <v>#REF!</v>
      </c>
      <c r="R227">
        <f>IF(Bills!978:978,"AAAAAFZq3xE=",0)</f>
        <v>0</v>
      </c>
      <c r="S227" t="e">
        <f>AND(Bills!B978,"AAAAAFZq3xI=")</f>
        <v>#VALUE!</v>
      </c>
      <c r="T227" t="e">
        <f>AND(Bills!#REF!,"AAAAAFZq3xM=")</f>
        <v>#REF!</v>
      </c>
      <c r="U227" t="e">
        <f>AND(Bills!C978,"AAAAAFZq3xQ=")</f>
        <v>#VALUE!</v>
      </c>
      <c r="V227" t="e">
        <f>AND(Bills!D978,"AAAAAFZq3xU=")</f>
        <v>#VALUE!</v>
      </c>
      <c r="W227" t="e">
        <f>AND(Bills!E978,"AAAAAFZq3xY=")</f>
        <v>#VALUE!</v>
      </c>
      <c r="X227" t="e">
        <f>AND(Bills!#REF!,"AAAAAFZq3xc=")</f>
        <v>#REF!</v>
      </c>
      <c r="Y227" t="e">
        <f>AND(Bills!#REF!,"AAAAAFZq3xg=")</f>
        <v>#REF!</v>
      </c>
      <c r="Z227" t="e">
        <f>AND(Bills!#REF!,"AAAAAFZq3xk=")</f>
        <v>#REF!</v>
      </c>
      <c r="AA227" t="e">
        <f>AND(Bills!F978,"AAAAAFZq3xo=")</f>
        <v>#VALUE!</v>
      </c>
      <c r="AB227" t="e">
        <f>AND(Bills!#REF!,"AAAAAFZq3xs=")</f>
        <v>#REF!</v>
      </c>
      <c r="AC227" t="e">
        <f>AND(Bills!G978,"AAAAAFZq3xw=")</f>
        <v>#VALUE!</v>
      </c>
      <c r="AD227" t="e">
        <f>AND(Bills!H978,"AAAAAFZq3x0=")</f>
        <v>#VALUE!</v>
      </c>
      <c r="AE227" t="e">
        <f>AND(Bills!I978,"AAAAAFZq3x4=")</f>
        <v>#VALUE!</v>
      </c>
      <c r="AF227" t="e">
        <f>AND(Bills!J978,"AAAAAFZq3x8=")</f>
        <v>#VALUE!</v>
      </c>
      <c r="AG227" t="e">
        <f>AND(Bills!K978,"AAAAAFZq3yA=")</f>
        <v>#VALUE!</v>
      </c>
      <c r="AH227" t="e">
        <f>AND(Bills!L978,"AAAAAFZq3yE=")</f>
        <v>#VALUE!</v>
      </c>
      <c r="AI227" t="e">
        <f>AND(Bills!#REF!,"AAAAAFZq3yI=")</f>
        <v>#REF!</v>
      </c>
      <c r="AJ227" t="e">
        <f>AND(Bills!M978,"AAAAAFZq3yM=")</f>
        <v>#VALUE!</v>
      </c>
      <c r="AK227" t="e">
        <f>AND(Bills!N978,"AAAAAFZq3yQ=")</f>
        <v>#VALUE!</v>
      </c>
      <c r="AL227" t="e">
        <f>AND(Bills!O978,"AAAAAFZq3yU=")</f>
        <v>#VALUE!</v>
      </c>
      <c r="AM227" t="e">
        <f>AND(Bills!P978,"AAAAAFZq3yY=")</f>
        <v>#VALUE!</v>
      </c>
      <c r="AN227" t="e">
        <f>AND(Bills!Q978,"AAAAAFZq3yc=")</f>
        <v>#VALUE!</v>
      </c>
      <c r="AO227" t="e">
        <f>AND(Bills!R978,"AAAAAFZq3yg=")</f>
        <v>#VALUE!</v>
      </c>
      <c r="AP227" t="e">
        <f>AND(Bills!S978,"AAAAAFZq3yk=")</f>
        <v>#VALUE!</v>
      </c>
      <c r="AQ227" t="e">
        <f>AND(Bills!T978,"AAAAAFZq3yo=")</f>
        <v>#VALUE!</v>
      </c>
      <c r="AR227" t="e">
        <f>AND(Bills!#REF!,"AAAAAFZq3ys=")</f>
        <v>#REF!</v>
      </c>
      <c r="AS227" t="e">
        <f>AND(Bills!U978,"AAAAAFZq3yw=")</f>
        <v>#VALUE!</v>
      </c>
      <c r="AT227" t="e">
        <f>AND(Bills!V978,"AAAAAFZq3y0=")</f>
        <v>#VALUE!</v>
      </c>
      <c r="AU227" t="e">
        <f>AND(Bills!W978,"AAAAAFZq3y4=")</f>
        <v>#VALUE!</v>
      </c>
      <c r="AV227" t="e">
        <f>AND(Bills!#REF!,"AAAAAFZq3y8=")</f>
        <v>#REF!</v>
      </c>
      <c r="AW227" t="e">
        <f>AND(Bills!#REF!,"AAAAAFZq3zA=")</f>
        <v>#REF!</v>
      </c>
      <c r="AX227" t="e">
        <f>AND(Bills!Y978,"AAAAAFZq3zE=")</f>
        <v>#VALUE!</v>
      </c>
      <c r="AY227" t="e">
        <f>AND(Bills!Z978,"AAAAAFZq3zI=")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AND(Bills!AA978,"AAAAAFZq3zw=")</f>
        <v>#VALUE!</v>
      </c>
      <c r="BJ227" t="e">
        <f>AND(Bills!AB978,"AAAAAFZq3z0=")</f>
        <v>#VALUE!</v>
      </c>
      <c r="BK227" t="e">
        <f>AND(Bills!#REF!,"AAAAAFZq3z4=")</f>
        <v>#REF!</v>
      </c>
      <c r="BL227" t="e">
        <f>AND(Bills!#REF!,"AAAAAFZq3z8=")</f>
        <v>#REF!</v>
      </c>
      <c r="BM227" t="e">
        <f>AND(Bills!#REF!,"AAAAAFZq30A=")</f>
        <v>#REF!</v>
      </c>
      <c r="BN227" t="e">
        <f>AND(Bills!AC978,"AAAAAFZq30E=")</f>
        <v>#VALUE!</v>
      </c>
      <c r="BO227" t="e">
        <f>AND(Bills!AD978,"AAAAAFZq30I=")</f>
        <v>#VALUE!</v>
      </c>
      <c r="BP227" t="e">
        <f>AND(Bills!#REF!,"AAAAAFZq30M=")</f>
        <v>#REF!</v>
      </c>
      <c r="BQ227">
        <f>IF(Bills!979:979,"AAAAAFZq30Q=",0)</f>
        <v>0</v>
      </c>
      <c r="BR227" t="e">
        <f>AND(Bills!B979,"AAAAAFZq30U=")</f>
        <v>#VALUE!</v>
      </c>
      <c r="BS227" t="e">
        <f>AND(Bills!#REF!,"AAAAAFZq30Y=")</f>
        <v>#REF!</v>
      </c>
      <c r="BT227" t="e">
        <f>AND(Bills!C979,"AAAAAFZq30c=")</f>
        <v>#VALUE!</v>
      </c>
      <c r="BU227" t="e">
        <f>AND(Bills!D979,"AAAAAFZq30g=")</f>
        <v>#VALUE!</v>
      </c>
      <c r="BV227" t="e">
        <f>AND(Bills!E979,"AAAAAFZq30k=")</f>
        <v>#VALUE!</v>
      </c>
      <c r="BW227" t="e">
        <f>AND(Bills!#REF!,"AAAAAFZq30o=")</f>
        <v>#REF!</v>
      </c>
      <c r="BX227" t="e">
        <f>AND(Bills!#REF!,"AAAAAFZq30s=")</f>
        <v>#REF!</v>
      </c>
      <c r="BY227" t="e">
        <f>AND(Bills!#REF!,"AAAAAFZq30w=")</f>
        <v>#REF!</v>
      </c>
      <c r="BZ227" t="e">
        <f>AND(Bills!F979,"AAAAAFZq300=")</f>
        <v>#VALUE!</v>
      </c>
      <c r="CA227" t="e">
        <f>AND(Bills!#REF!,"AAAAAFZq304=")</f>
        <v>#REF!</v>
      </c>
      <c r="CB227" t="e">
        <f>AND(Bills!G979,"AAAAAFZq308=")</f>
        <v>#VALUE!</v>
      </c>
      <c r="CC227" t="e">
        <f>AND(Bills!H979,"AAAAAFZq31A=")</f>
        <v>#VALUE!</v>
      </c>
      <c r="CD227" t="e">
        <f>AND(Bills!I979,"AAAAAFZq31E=")</f>
        <v>#VALUE!</v>
      </c>
      <c r="CE227" t="e">
        <f>AND(Bills!J979,"AAAAAFZq31I=")</f>
        <v>#VALUE!</v>
      </c>
      <c r="CF227" t="e">
        <f>AND(Bills!K979,"AAAAAFZq31M=")</f>
        <v>#VALUE!</v>
      </c>
      <c r="CG227" t="e">
        <f>AND(Bills!L979,"AAAAAFZq31Q=")</f>
        <v>#VALUE!</v>
      </c>
      <c r="CH227" t="e">
        <f>AND(Bills!#REF!,"AAAAAFZq31U=")</f>
        <v>#REF!</v>
      </c>
      <c r="CI227" t="e">
        <f>AND(Bills!M979,"AAAAAFZq31Y=")</f>
        <v>#VALUE!</v>
      </c>
      <c r="CJ227" t="e">
        <f>AND(Bills!N979,"AAAAAFZq31c=")</f>
        <v>#VALUE!</v>
      </c>
      <c r="CK227" t="e">
        <f>AND(Bills!O979,"AAAAAFZq31g=")</f>
        <v>#VALUE!</v>
      </c>
      <c r="CL227" t="e">
        <f>AND(Bills!P979,"AAAAAFZq31k=")</f>
        <v>#VALUE!</v>
      </c>
      <c r="CM227" t="e">
        <f>AND(Bills!Q979,"AAAAAFZq31o=")</f>
        <v>#VALUE!</v>
      </c>
      <c r="CN227" t="e">
        <f>AND(Bills!R979,"AAAAAFZq31s=")</f>
        <v>#VALUE!</v>
      </c>
      <c r="CO227" t="e">
        <f>AND(Bills!S979,"AAAAAFZq31w=")</f>
        <v>#VALUE!</v>
      </c>
      <c r="CP227" t="e">
        <f>AND(Bills!T979,"AAAAAFZq310=")</f>
        <v>#VALUE!</v>
      </c>
      <c r="CQ227" t="e">
        <f>AND(Bills!#REF!,"AAAAAFZq314=")</f>
        <v>#REF!</v>
      </c>
      <c r="CR227" t="e">
        <f>AND(Bills!U979,"AAAAAFZq318=")</f>
        <v>#VALUE!</v>
      </c>
      <c r="CS227" t="e">
        <f>AND(Bills!V979,"AAAAAFZq32A=")</f>
        <v>#VALUE!</v>
      </c>
      <c r="CT227" t="e">
        <f>AND(Bills!W979,"AAAAAFZq32E=")</f>
        <v>#VALUE!</v>
      </c>
      <c r="CU227" t="e">
        <f>AND(Bills!#REF!,"AAAAAFZq32I=")</f>
        <v>#REF!</v>
      </c>
      <c r="CV227" t="e">
        <f>AND(Bills!#REF!,"AAAAAFZq32M=")</f>
        <v>#REF!</v>
      </c>
      <c r="CW227" t="e">
        <f>AND(Bills!Y979,"AAAAAFZq32Q=")</f>
        <v>#VALUE!</v>
      </c>
      <c r="CX227" t="e">
        <f>AND(Bills!Z979,"AAAAAFZq32U=")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AND(Bills!AA979,"AAAAAFZq328=")</f>
        <v>#VALUE!</v>
      </c>
      <c r="DI227" t="e">
        <f>AND(Bills!AB979,"AAAAAFZq33A=")</f>
        <v>#VALUE!</v>
      </c>
      <c r="DJ227" t="e">
        <f>AND(Bills!#REF!,"AAAAAFZq33E=")</f>
        <v>#REF!</v>
      </c>
      <c r="DK227" t="e">
        <f>AND(Bills!#REF!,"AAAAAFZq33I=")</f>
        <v>#REF!</v>
      </c>
      <c r="DL227" t="e">
        <f>AND(Bills!#REF!,"AAAAAFZq33M=")</f>
        <v>#REF!</v>
      </c>
      <c r="DM227" t="e">
        <f>AND(Bills!AC979,"AAAAAFZq33Q=")</f>
        <v>#VALUE!</v>
      </c>
      <c r="DN227" t="e">
        <f>AND(Bills!AD979,"AAAAAFZq33U=")</f>
        <v>#VALUE!</v>
      </c>
      <c r="DO227" t="e">
        <f>AND(Bills!#REF!,"AAAAAFZq33Y=")</f>
        <v>#REF!</v>
      </c>
      <c r="DP227">
        <f>IF(Bills!980:980,"AAAAAFZq33c=",0)</f>
        <v>0</v>
      </c>
      <c r="DQ227" t="e">
        <f>AND(Bills!B980,"AAAAAFZq33g=")</f>
        <v>#VALUE!</v>
      </c>
      <c r="DR227" t="e">
        <f>AND(Bills!#REF!,"AAAAAFZq33k=")</f>
        <v>#REF!</v>
      </c>
      <c r="DS227" t="e">
        <f>AND(Bills!C980,"AAAAAFZq33o=")</f>
        <v>#VALUE!</v>
      </c>
      <c r="DT227" t="e">
        <f>AND(Bills!D980,"AAAAAFZq33s=")</f>
        <v>#VALUE!</v>
      </c>
      <c r="DU227" t="e">
        <f>AND(Bills!E980,"AAAAAFZq33w=")</f>
        <v>#VALUE!</v>
      </c>
      <c r="DV227" t="e">
        <f>AND(Bills!#REF!,"AAAAAFZq330=")</f>
        <v>#REF!</v>
      </c>
      <c r="DW227" t="e">
        <f>AND(Bills!#REF!,"AAAAAFZq334=")</f>
        <v>#REF!</v>
      </c>
      <c r="DX227" t="e">
        <f>AND(Bills!#REF!,"AAAAAFZq338=")</f>
        <v>#REF!</v>
      </c>
      <c r="DY227" t="e">
        <f>AND(Bills!F980,"AAAAAFZq34A=")</f>
        <v>#VALUE!</v>
      </c>
      <c r="DZ227" t="e">
        <f>AND(Bills!#REF!,"AAAAAFZq34E=")</f>
        <v>#REF!</v>
      </c>
      <c r="EA227" t="e">
        <f>AND(Bills!G980,"AAAAAFZq34I=")</f>
        <v>#VALUE!</v>
      </c>
      <c r="EB227" t="e">
        <f>AND(Bills!H980,"AAAAAFZq34M=")</f>
        <v>#VALUE!</v>
      </c>
      <c r="EC227" t="e">
        <f>AND(Bills!I980,"AAAAAFZq34Q=")</f>
        <v>#VALUE!</v>
      </c>
      <c r="ED227" t="e">
        <f>AND(Bills!J980,"AAAAAFZq34U=")</f>
        <v>#VALUE!</v>
      </c>
      <c r="EE227" t="e">
        <f>AND(Bills!K980,"AAAAAFZq34Y=")</f>
        <v>#VALUE!</v>
      </c>
      <c r="EF227" t="e">
        <f>AND(Bills!L980,"AAAAAFZq34c=")</f>
        <v>#VALUE!</v>
      </c>
      <c r="EG227" t="e">
        <f>AND(Bills!#REF!,"AAAAAFZq34g=")</f>
        <v>#REF!</v>
      </c>
      <c r="EH227" t="e">
        <f>AND(Bills!M980,"AAAAAFZq34k=")</f>
        <v>#VALUE!</v>
      </c>
      <c r="EI227" t="e">
        <f>AND(Bills!N980,"AAAAAFZq34o=")</f>
        <v>#VALUE!</v>
      </c>
      <c r="EJ227" t="e">
        <f>AND(Bills!O980,"AAAAAFZq34s=")</f>
        <v>#VALUE!</v>
      </c>
      <c r="EK227" t="e">
        <f>AND(Bills!P980,"AAAAAFZq34w=")</f>
        <v>#VALUE!</v>
      </c>
      <c r="EL227" t="e">
        <f>AND(Bills!Q980,"AAAAAFZq340=")</f>
        <v>#VALUE!</v>
      </c>
      <c r="EM227" t="e">
        <f>AND(Bills!R980,"AAAAAFZq344=")</f>
        <v>#VALUE!</v>
      </c>
      <c r="EN227" t="e">
        <f>AND(Bills!S980,"AAAAAFZq348=")</f>
        <v>#VALUE!</v>
      </c>
      <c r="EO227" t="e">
        <f>AND(Bills!T980,"AAAAAFZq35A=")</f>
        <v>#VALUE!</v>
      </c>
      <c r="EP227" t="e">
        <f>AND(Bills!#REF!,"AAAAAFZq35E=")</f>
        <v>#REF!</v>
      </c>
      <c r="EQ227" t="e">
        <f>AND(Bills!U980,"AAAAAFZq35I=")</f>
        <v>#VALUE!</v>
      </c>
      <c r="ER227" t="e">
        <f>AND(Bills!V980,"AAAAAFZq35M=")</f>
        <v>#VALUE!</v>
      </c>
      <c r="ES227" t="e">
        <f>AND(Bills!W980,"AAAAAFZq35Q=")</f>
        <v>#VALUE!</v>
      </c>
      <c r="ET227" t="e">
        <f>AND(Bills!#REF!,"AAAAAFZq35U=")</f>
        <v>#REF!</v>
      </c>
      <c r="EU227" t="e">
        <f>AND(Bills!#REF!,"AAAAAFZq35Y=")</f>
        <v>#REF!</v>
      </c>
      <c r="EV227" t="e">
        <f>AND(Bills!Y980,"AAAAAFZq35c=")</f>
        <v>#VALUE!</v>
      </c>
      <c r="EW227" t="e">
        <f>AND(Bills!Z980,"AAAAAFZq35g=")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AND(Bills!AA980,"AAAAAFZq36I=")</f>
        <v>#VALUE!</v>
      </c>
      <c r="FH227" t="e">
        <f>AND(Bills!AB980,"AAAAAFZq36M=")</f>
        <v>#VALUE!</v>
      </c>
      <c r="FI227" t="e">
        <f>AND(Bills!#REF!,"AAAAAFZq36Q=")</f>
        <v>#REF!</v>
      </c>
      <c r="FJ227" t="e">
        <f>AND(Bills!#REF!,"AAAAAFZq36U=")</f>
        <v>#REF!</v>
      </c>
      <c r="FK227" t="e">
        <f>AND(Bills!#REF!,"AAAAAFZq36Y=")</f>
        <v>#REF!</v>
      </c>
      <c r="FL227" t="e">
        <f>AND(Bills!AC980,"AAAAAFZq36c=")</f>
        <v>#VALUE!</v>
      </c>
      <c r="FM227" t="e">
        <f>AND(Bills!AD980,"AAAAAFZq36g=")</f>
        <v>#VALUE!</v>
      </c>
      <c r="FN227" t="e">
        <f>AND(Bills!#REF!,"AAAAAFZq36k=")</f>
        <v>#REF!</v>
      </c>
      <c r="FO227">
        <f>IF(Bills!981:981,"AAAAAFZq36o=",0)</f>
        <v>0</v>
      </c>
      <c r="FP227" t="e">
        <f>AND(Bills!B981,"AAAAAFZq36s=")</f>
        <v>#VALUE!</v>
      </c>
      <c r="FQ227" t="e">
        <f>AND(Bills!#REF!,"AAAAAFZq36w=")</f>
        <v>#REF!</v>
      </c>
      <c r="FR227" t="e">
        <f>AND(Bills!C981,"AAAAAFZq360=")</f>
        <v>#VALUE!</v>
      </c>
      <c r="FS227" t="e">
        <f>AND(Bills!D981,"AAAAAFZq364=")</f>
        <v>#VALUE!</v>
      </c>
      <c r="FT227" t="e">
        <f>AND(Bills!E981,"AAAAAFZq368=")</f>
        <v>#VALUE!</v>
      </c>
      <c r="FU227" t="e">
        <f>AND(Bills!#REF!,"AAAAAFZq37A=")</f>
        <v>#REF!</v>
      </c>
      <c r="FV227" t="e">
        <f>AND(Bills!#REF!,"AAAAAFZq37E=")</f>
        <v>#REF!</v>
      </c>
      <c r="FW227" t="e">
        <f>AND(Bills!#REF!,"AAAAAFZq37I=")</f>
        <v>#REF!</v>
      </c>
      <c r="FX227" t="e">
        <f>AND(Bills!F981,"AAAAAFZq37M=")</f>
        <v>#VALUE!</v>
      </c>
      <c r="FY227" t="e">
        <f>AND(Bills!#REF!,"AAAAAFZq37Q=")</f>
        <v>#REF!</v>
      </c>
      <c r="FZ227" t="e">
        <f>AND(Bills!G981,"AAAAAFZq37U=")</f>
        <v>#VALUE!</v>
      </c>
      <c r="GA227" t="e">
        <f>AND(Bills!H981,"AAAAAFZq37Y=")</f>
        <v>#VALUE!</v>
      </c>
      <c r="GB227" t="e">
        <f>AND(Bills!I981,"AAAAAFZq37c=")</f>
        <v>#VALUE!</v>
      </c>
      <c r="GC227" t="e">
        <f>AND(Bills!J981,"AAAAAFZq37g=")</f>
        <v>#VALUE!</v>
      </c>
      <c r="GD227" t="e">
        <f>AND(Bills!K981,"AAAAAFZq37k=")</f>
        <v>#VALUE!</v>
      </c>
      <c r="GE227" t="e">
        <f>AND(Bills!L981,"AAAAAFZq37o=")</f>
        <v>#VALUE!</v>
      </c>
      <c r="GF227" t="e">
        <f>AND(Bills!#REF!,"AAAAAFZq37s=")</f>
        <v>#REF!</v>
      </c>
      <c r="GG227" t="e">
        <f>AND(Bills!M981,"AAAAAFZq37w=")</f>
        <v>#VALUE!</v>
      </c>
      <c r="GH227" t="e">
        <f>AND(Bills!N981,"AAAAAFZq370=")</f>
        <v>#VALUE!</v>
      </c>
      <c r="GI227" t="e">
        <f>AND(Bills!O981,"AAAAAFZq374=")</f>
        <v>#VALUE!</v>
      </c>
      <c r="GJ227" t="e">
        <f>AND(Bills!P981,"AAAAAFZq378=")</f>
        <v>#VALUE!</v>
      </c>
      <c r="GK227" t="e">
        <f>AND(Bills!Q981,"AAAAAFZq38A=")</f>
        <v>#VALUE!</v>
      </c>
      <c r="GL227" t="e">
        <f>AND(Bills!R981,"AAAAAFZq38E=")</f>
        <v>#VALUE!</v>
      </c>
      <c r="GM227" t="e">
        <f>AND(Bills!S981,"AAAAAFZq38I=")</f>
        <v>#VALUE!</v>
      </c>
      <c r="GN227" t="e">
        <f>AND(Bills!T981,"AAAAAFZq38M=")</f>
        <v>#VALUE!</v>
      </c>
      <c r="GO227" t="e">
        <f>AND(Bills!#REF!,"AAAAAFZq38Q=")</f>
        <v>#REF!</v>
      </c>
      <c r="GP227" t="e">
        <f>AND(Bills!U981,"AAAAAFZq38U=")</f>
        <v>#VALUE!</v>
      </c>
      <c r="GQ227" t="e">
        <f>AND(Bills!V981,"AAAAAFZq38Y=")</f>
        <v>#VALUE!</v>
      </c>
      <c r="GR227" t="e">
        <f>AND(Bills!W981,"AAAAAFZq38c=")</f>
        <v>#VALUE!</v>
      </c>
      <c r="GS227" t="e">
        <f>AND(Bills!#REF!,"AAAAAFZq38g=")</f>
        <v>#REF!</v>
      </c>
      <c r="GT227" t="e">
        <f>AND(Bills!#REF!,"AAAAAFZq38k=")</f>
        <v>#REF!</v>
      </c>
      <c r="GU227" t="e">
        <f>AND(Bills!Y981,"AAAAAFZq38o=")</f>
        <v>#VALUE!</v>
      </c>
      <c r="GV227" t="e">
        <f>AND(Bills!Z981,"AAAAAFZq38s=")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AND(Bills!AA981,"AAAAAFZq39U=")</f>
        <v>#VALUE!</v>
      </c>
      <c r="HG227" t="e">
        <f>AND(Bills!AB981,"AAAAAFZq39Y=")</f>
        <v>#VALUE!</v>
      </c>
      <c r="HH227" t="e">
        <f>AND(Bills!#REF!,"AAAAAFZq39c=")</f>
        <v>#REF!</v>
      </c>
      <c r="HI227" t="e">
        <f>AND(Bills!#REF!,"AAAAAFZq39g=")</f>
        <v>#REF!</v>
      </c>
      <c r="HJ227" t="e">
        <f>AND(Bills!#REF!,"AAAAAFZq39k=")</f>
        <v>#REF!</v>
      </c>
      <c r="HK227" t="e">
        <f>AND(Bills!AC981,"AAAAAFZq39o=")</f>
        <v>#VALUE!</v>
      </c>
      <c r="HL227" t="e">
        <f>AND(Bills!AD981,"AAAAAFZq39s=")</f>
        <v>#VALUE!</v>
      </c>
      <c r="HM227" t="e">
        <f>AND(Bills!#REF!,"AAAAAFZq39w=")</f>
        <v>#REF!</v>
      </c>
      <c r="HN227">
        <f>IF(Bills!982:982,"AAAAAFZq390=",0)</f>
        <v>0</v>
      </c>
      <c r="HO227" t="e">
        <f>AND(Bills!B982,"AAAAAFZq394=")</f>
        <v>#VALUE!</v>
      </c>
      <c r="HP227" t="e">
        <f>AND(Bills!#REF!,"AAAAAFZq398=")</f>
        <v>#REF!</v>
      </c>
      <c r="HQ227" t="e">
        <f>AND(Bills!C982,"AAAAAFZq3+A=")</f>
        <v>#VALUE!</v>
      </c>
      <c r="HR227" t="e">
        <f>AND(Bills!D982,"AAAAAFZq3+E=")</f>
        <v>#VALUE!</v>
      </c>
      <c r="HS227" t="e">
        <f>AND(Bills!E982,"AAAAAFZq3+I=")</f>
        <v>#VALUE!</v>
      </c>
      <c r="HT227" t="e">
        <f>AND(Bills!#REF!,"AAAAAFZq3+M=")</f>
        <v>#REF!</v>
      </c>
      <c r="HU227" t="e">
        <f>AND(Bills!#REF!,"AAAAAFZq3+Q=")</f>
        <v>#REF!</v>
      </c>
      <c r="HV227" t="e">
        <f>AND(Bills!#REF!,"AAAAAFZq3+U=")</f>
        <v>#REF!</v>
      </c>
      <c r="HW227" t="e">
        <f>AND(Bills!F982,"AAAAAFZq3+Y=")</f>
        <v>#VALUE!</v>
      </c>
      <c r="HX227" t="e">
        <f>AND(Bills!#REF!,"AAAAAFZq3+c=")</f>
        <v>#REF!</v>
      </c>
      <c r="HY227" t="e">
        <f>AND(Bills!G982,"AAAAAFZq3+g=")</f>
        <v>#VALUE!</v>
      </c>
      <c r="HZ227" t="e">
        <f>AND(Bills!H982,"AAAAAFZq3+k=")</f>
        <v>#VALUE!</v>
      </c>
      <c r="IA227" t="e">
        <f>AND(Bills!I982,"AAAAAFZq3+o=")</f>
        <v>#VALUE!</v>
      </c>
      <c r="IB227" t="e">
        <f>AND(Bills!J982,"AAAAAFZq3+s=")</f>
        <v>#VALUE!</v>
      </c>
      <c r="IC227" t="e">
        <f>AND(Bills!K982,"AAAAAFZq3+w=")</f>
        <v>#VALUE!</v>
      </c>
      <c r="ID227" t="e">
        <f>AND(Bills!L982,"AAAAAFZq3+0=")</f>
        <v>#VALUE!</v>
      </c>
      <c r="IE227" t="e">
        <f>AND(Bills!#REF!,"AAAAAFZq3+4=")</f>
        <v>#REF!</v>
      </c>
      <c r="IF227" t="e">
        <f>AND(Bills!M982,"AAAAAFZq3+8=")</f>
        <v>#VALUE!</v>
      </c>
      <c r="IG227" t="e">
        <f>AND(Bills!N982,"AAAAAFZq3/A=")</f>
        <v>#VALUE!</v>
      </c>
      <c r="IH227" t="e">
        <f>AND(Bills!O982,"AAAAAFZq3/E=")</f>
        <v>#VALUE!</v>
      </c>
      <c r="II227" t="e">
        <f>AND(Bills!P982,"AAAAAFZq3/I=")</f>
        <v>#VALUE!</v>
      </c>
      <c r="IJ227" t="e">
        <f>AND(Bills!Q982,"AAAAAFZq3/M=")</f>
        <v>#VALUE!</v>
      </c>
      <c r="IK227" t="e">
        <f>AND(Bills!R982,"AAAAAFZq3/Q=")</f>
        <v>#VALUE!</v>
      </c>
      <c r="IL227" t="e">
        <f>AND(Bills!S982,"AAAAAFZq3/U=")</f>
        <v>#VALUE!</v>
      </c>
      <c r="IM227" t="e">
        <f>AND(Bills!T982,"AAAAAFZq3/Y=")</f>
        <v>#VALUE!</v>
      </c>
      <c r="IN227" t="e">
        <f>AND(Bills!#REF!,"AAAAAFZq3/c=")</f>
        <v>#REF!</v>
      </c>
      <c r="IO227" t="e">
        <f>AND(Bills!U982,"AAAAAFZq3/g=")</f>
        <v>#VALUE!</v>
      </c>
      <c r="IP227" t="e">
        <f>AND(Bills!V982,"AAAAAFZq3/k=")</f>
        <v>#VALUE!</v>
      </c>
      <c r="IQ227" t="e">
        <f>AND(Bills!W982,"AAAAAFZq3/o=")</f>
        <v>#VALUE!</v>
      </c>
      <c r="IR227" t="e">
        <f>AND(Bills!#REF!,"AAAAAFZq3/s=")</f>
        <v>#REF!</v>
      </c>
      <c r="IS227" t="e">
        <f>AND(Bills!#REF!,"AAAAAFZq3/w=")</f>
        <v>#REF!</v>
      </c>
      <c r="IT227" t="e">
        <f>AND(Bills!Y982,"AAAAAFZq3/0=")</f>
        <v>#VALUE!</v>
      </c>
      <c r="IU227" t="e">
        <f>AND(Bills!Z982,"AAAAAFZq3/4=")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AND(Bills!AA982,"AAAAAH9b9wg=")</f>
        <v>#VALUE!</v>
      </c>
      <c r="J228" t="e">
        <f>AND(Bills!AB982,"AAAAAH9b9wk=")</f>
        <v>#VALUE!</v>
      </c>
      <c r="K228" t="e">
        <f>AND(Bills!#REF!,"AAAAAH9b9wo=")</f>
        <v>#REF!</v>
      </c>
      <c r="L228" t="e">
        <f>AND(Bills!#REF!,"AAAAAH9b9ws=")</f>
        <v>#REF!</v>
      </c>
      <c r="M228" t="e">
        <f>AND(Bills!#REF!,"AAAAAH9b9ww=")</f>
        <v>#REF!</v>
      </c>
      <c r="N228" t="e">
        <f>AND(Bills!AC982,"AAAAAH9b9w0=")</f>
        <v>#VALUE!</v>
      </c>
      <c r="O228" t="e">
        <f>AND(Bills!AD982,"AAAAAH9b9w4=")</f>
        <v>#VALUE!</v>
      </c>
      <c r="P228" t="e">
        <f>AND(Bills!#REF!,"AAAAAH9b9w8=")</f>
        <v>#REF!</v>
      </c>
      <c r="Q228">
        <f>IF(Bills!983:983,"AAAAAH9b9xA=",0)</f>
        <v>0</v>
      </c>
      <c r="R228" t="e">
        <f>AND(Bills!B983,"AAAAAH9b9xE=")</f>
        <v>#VALUE!</v>
      </c>
      <c r="S228" t="e">
        <f>AND(Bills!#REF!,"AAAAAH9b9xI=")</f>
        <v>#REF!</v>
      </c>
      <c r="T228" t="e">
        <f>AND(Bills!C983,"AAAAAH9b9xM=")</f>
        <v>#VALUE!</v>
      </c>
      <c r="U228" t="e">
        <f>AND(Bills!D983,"AAAAAH9b9xQ=")</f>
        <v>#VALUE!</v>
      </c>
      <c r="V228" t="e">
        <f>AND(Bills!E983,"AAAAAH9b9xU=")</f>
        <v>#VALUE!</v>
      </c>
      <c r="W228" t="e">
        <f>AND(Bills!#REF!,"AAAAAH9b9xY=")</f>
        <v>#REF!</v>
      </c>
      <c r="X228" t="e">
        <f>AND(Bills!#REF!,"AAAAAH9b9xc=")</f>
        <v>#REF!</v>
      </c>
      <c r="Y228" t="e">
        <f>AND(Bills!#REF!,"AAAAAH9b9xg=")</f>
        <v>#REF!</v>
      </c>
      <c r="Z228" t="e">
        <f>AND(Bills!F983,"AAAAAH9b9xk=")</f>
        <v>#VALUE!</v>
      </c>
      <c r="AA228" t="e">
        <f>AND(Bills!#REF!,"AAAAAH9b9xo=")</f>
        <v>#REF!</v>
      </c>
      <c r="AB228" t="e">
        <f>AND(Bills!G983,"AAAAAH9b9xs=")</f>
        <v>#VALUE!</v>
      </c>
      <c r="AC228" t="e">
        <f>AND(Bills!H983,"AAAAAH9b9xw=")</f>
        <v>#VALUE!</v>
      </c>
      <c r="AD228" t="e">
        <f>AND(Bills!I983,"AAAAAH9b9x0=")</f>
        <v>#VALUE!</v>
      </c>
      <c r="AE228" t="e">
        <f>AND(Bills!J983,"AAAAAH9b9x4=")</f>
        <v>#VALUE!</v>
      </c>
      <c r="AF228" t="e">
        <f>AND(Bills!K983,"AAAAAH9b9x8=")</f>
        <v>#VALUE!</v>
      </c>
      <c r="AG228" t="e">
        <f>AND(Bills!L983,"AAAAAH9b9yA=")</f>
        <v>#VALUE!</v>
      </c>
      <c r="AH228" t="e">
        <f>AND(Bills!#REF!,"AAAAAH9b9yE=")</f>
        <v>#REF!</v>
      </c>
      <c r="AI228" t="e">
        <f>AND(Bills!M983,"AAAAAH9b9yI=")</f>
        <v>#VALUE!</v>
      </c>
      <c r="AJ228" t="e">
        <f>AND(Bills!N983,"AAAAAH9b9yM=")</f>
        <v>#VALUE!</v>
      </c>
      <c r="AK228" t="e">
        <f>AND(Bills!O983,"AAAAAH9b9yQ=")</f>
        <v>#VALUE!</v>
      </c>
      <c r="AL228" t="e">
        <f>AND(Bills!P983,"AAAAAH9b9yU=")</f>
        <v>#VALUE!</v>
      </c>
      <c r="AM228" t="e">
        <f>AND(Bills!Q983,"AAAAAH9b9yY=")</f>
        <v>#VALUE!</v>
      </c>
      <c r="AN228" t="e">
        <f>AND(Bills!R983,"AAAAAH9b9yc=")</f>
        <v>#VALUE!</v>
      </c>
      <c r="AO228" t="e">
        <f>AND(Bills!S983,"AAAAAH9b9yg=")</f>
        <v>#VALUE!</v>
      </c>
      <c r="AP228" t="e">
        <f>AND(Bills!T983,"AAAAAH9b9yk=")</f>
        <v>#VALUE!</v>
      </c>
      <c r="AQ228" t="e">
        <f>AND(Bills!#REF!,"AAAAAH9b9yo=")</f>
        <v>#REF!</v>
      </c>
      <c r="AR228" t="e">
        <f>AND(Bills!U983,"AAAAAH9b9ys=")</f>
        <v>#VALUE!</v>
      </c>
      <c r="AS228" t="e">
        <f>AND(Bills!V983,"AAAAAH9b9yw=")</f>
        <v>#VALUE!</v>
      </c>
      <c r="AT228" t="e">
        <f>AND(Bills!W983,"AAAAAH9b9y0=")</f>
        <v>#VALUE!</v>
      </c>
      <c r="AU228" t="e">
        <f>AND(Bills!#REF!,"AAAAAH9b9y4=")</f>
        <v>#REF!</v>
      </c>
      <c r="AV228" t="e">
        <f>AND(Bills!#REF!,"AAAAAH9b9y8=")</f>
        <v>#REF!</v>
      </c>
      <c r="AW228" t="e">
        <f>AND(Bills!Y983,"AAAAAH9b9zA=")</f>
        <v>#VALUE!</v>
      </c>
      <c r="AX228" t="e">
        <f>AND(Bills!Z983,"AAAAAH9b9zE=")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AND(Bills!AA983,"AAAAAH9b9zs=")</f>
        <v>#VALUE!</v>
      </c>
      <c r="BI228" t="e">
        <f>AND(Bills!AB983,"AAAAAH9b9zw=")</f>
        <v>#VALUE!</v>
      </c>
      <c r="BJ228" t="e">
        <f>AND(Bills!#REF!,"AAAAAH9b9z0=")</f>
        <v>#REF!</v>
      </c>
      <c r="BK228" t="e">
        <f>AND(Bills!#REF!,"AAAAAH9b9z4=")</f>
        <v>#REF!</v>
      </c>
      <c r="BL228" t="e">
        <f>AND(Bills!#REF!,"AAAAAH9b9z8=")</f>
        <v>#REF!</v>
      </c>
      <c r="BM228" t="e">
        <f>AND(Bills!AC983,"AAAAAH9b90A=")</f>
        <v>#VALUE!</v>
      </c>
      <c r="BN228" t="e">
        <f>AND(Bills!AD983,"AAAAAH9b90E=")</f>
        <v>#VALUE!</v>
      </c>
      <c r="BO228" t="e">
        <f>AND(Bills!#REF!,"AAAAAH9b90I=")</f>
        <v>#REF!</v>
      </c>
      <c r="BP228">
        <f>IF(Bills!984:984,"AAAAAH9b90M=",0)</f>
        <v>0</v>
      </c>
      <c r="BQ228" t="e">
        <f>AND(Bills!B984,"AAAAAH9b90Q=")</f>
        <v>#VALUE!</v>
      </c>
      <c r="BR228" t="e">
        <f>AND(Bills!#REF!,"AAAAAH9b90U=")</f>
        <v>#REF!</v>
      </c>
      <c r="BS228" t="e">
        <f>AND(Bills!C984,"AAAAAH9b90Y=")</f>
        <v>#VALUE!</v>
      </c>
      <c r="BT228" t="e">
        <f>AND(Bills!D984,"AAAAAH9b90c=")</f>
        <v>#VALUE!</v>
      </c>
      <c r="BU228" t="e">
        <f>AND(Bills!E984,"AAAAAH9b90g=")</f>
        <v>#VALUE!</v>
      </c>
      <c r="BV228" t="e">
        <f>AND(Bills!#REF!,"AAAAAH9b90k=")</f>
        <v>#REF!</v>
      </c>
      <c r="BW228" t="e">
        <f>AND(Bills!#REF!,"AAAAAH9b90o=")</f>
        <v>#REF!</v>
      </c>
      <c r="BX228" t="e">
        <f>AND(Bills!#REF!,"AAAAAH9b90s=")</f>
        <v>#REF!</v>
      </c>
      <c r="BY228" t="e">
        <f>AND(Bills!F984,"AAAAAH9b90w=")</f>
        <v>#VALUE!</v>
      </c>
      <c r="BZ228" t="e">
        <f>AND(Bills!#REF!,"AAAAAH9b900=")</f>
        <v>#REF!</v>
      </c>
      <c r="CA228" t="e">
        <f>AND(Bills!G984,"AAAAAH9b904=")</f>
        <v>#VALUE!</v>
      </c>
      <c r="CB228" t="e">
        <f>AND(Bills!H984,"AAAAAH9b908=")</f>
        <v>#VALUE!</v>
      </c>
      <c r="CC228" t="e">
        <f>AND(Bills!I984,"AAAAAH9b91A=")</f>
        <v>#VALUE!</v>
      </c>
      <c r="CD228" t="e">
        <f>AND(Bills!J984,"AAAAAH9b91E=")</f>
        <v>#VALUE!</v>
      </c>
      <c r="CE228" t="e">
        <f>AND(Bills!K984,"AAAAAH9b91I=")</f>
        <v>#VALUE!</v>
      </c>
      <c r="CF228" t="e">
        <f>AND(Bills!L984,"AAAAAH9b91M=")</f>
        <v>#VALUE!</v>
      </c>
      <c r="CG228" t="e">
        <f>AND(Bills!#REF!,"AAAAAH9b91Q=")</f>
        <v>#REF!</v>
      </c>
      <c r="CH228" t="e">
        <f>AND(Bills!M984,"AAAAAH9b91U=")</f>
        <v>#VALUE!</v>
      </c>
      <c r="CI228" t="e">
        <f>AND(Bills!N984,"AAAAAH9b91Y=")</f>
        <v>#VALUE!</v>
      </c>
      <c r="CJ228" t="e">
        <f>AND(Bills!O984,"AAAAAH9b91c=")</f>
        <v>#VALUE!</v>
      </c>
      <c r="CK228" t="e">
        <f>AND(Bills!P984,"AAAAAH9b91g=")</f>
        <v>#VALUE!</v>
      </c>
      <c r="CL228" t="e">
        <f>AND(Bills!Q984,"AAAAAH9b91k=")</f>
        <v>#VALUE!</v>
      </c>
      <c r="CM228" t="e">
        <f>AND(Bills!R984,"AAAAAH9b91o=")</f>
        <v>#VALUE!</v>
      </c>
      <c r="CN228" t="e">
        <f>AND(Bills!S984,"AAAAAH9b91s=")</f>
        <v>#VALUE!</v>
      </c>
      <c r="CO228" t="e">
        <f>AND(Bills!T984,"AAAAAH9b91w=")</f>
        <v>#VALUE!</v>
      </c>
      <c r="CP228" t="e">
        <f>AND(Bills!#REF!,"AAAAAH9b910=")</f>
        <v>#REF!</v>
      </c>
      <c r="CQ228" t="e">
        <f>AND(Bills!U984,"AAAAAH9b914=")</f>
        <v>#VALUE!</v>
      </c>
      <c r="CR228" t="e">
        <f>AND(Bills!V984,"AAAAAH9b918=")</f>
        <v>#VALUE!</v>
      </c>
      <c r="CS228" t="e">
        <f>AND(Bills!W984,"AAAAAH9b92A=")</f>
        <v>#VALUE!</v>
      </c>
      <c r="CT228" t="e">
        <f>AND(Bills!#REF!,"AAAAAH9b92E=")</f>
        <v>#REF!</v>
      </c>
      <c r="CU228" t="e">
        <f>AND(Bills!#REF!,"AAAAAH9b92I=")</f>
        <v>#REF!</v>
      </c>
      <c r="CV228" t="e">
        <f>AND(Bills!Y984,"AAAAAH9b92M=")</f>
        <v>#VALUE!</v>
      </c>
      <c r="CW228" t="e">
        <f>AND(Bills!Z984,"AAAAAH9b92Q=")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AND(Bills!AA984,"AAAAAH9b924=")</f>
        <v>#VALUE!</v>
      </c>
      <c r="DH228" t="e">
        <f>AND(Bills!AB984,"AAAAAH9b928=")</f>
        <v>#VALUE!</v>
      </c>
      <c r="DI228" t="e">
        <f>AND(Bills!#REF!,"AAAAAH9b93A=")</f>
        <v>#REF!</v>
      </c>
      <c r="DJ228" t="e">
        <f>AND(Bills!#REF!,"AAAAAH9b93E=")</f>
        <v>#REF!</v>
      </c>
      <c r="DK228" t="e">
        <f>AND(Bills!#REF!,"AAAAAH9b93I=")</f>
        <v>#REF!</v>
      </c>
      <c r="DL228" t="e">
        <f>AND(Bills!AC984,"AAAAAH9b93M=")</f>
        <v>#VALUE!</v>
      </c>
      <c r="DM228" t="e">
        <f>AND(Bills!AD984,"AAAAAH9b93Q=")</f>
        <v>#VALUE!</v>
      </c>
      <c r="DN228" t="e">
        <f>AND(Bills!#REF!,"AAAAAH9b93U=")</f>
        <v>#REF!</v>
      </c>
      <c r="DO228">
        <f>IF(Bills!985:985,"AAAAAH9b93Y=",0)</f>
        <v>0</v>
      </c>
      <c r="DP228" t="e">
        <f>AND(Bills!B985,"AAAAAH9b93c=")</f>
        <v>#VALUE!</v>
      </c>
      <c r="DQ228" t="e">
        <f>AND(Bills!#REF!,"AAAAAH9b93g=")</f>
        <v>#REF!</v>
      </c>
      <c r="DR228" t="e">
        <f>AND(Bills!C985,"AAAAAH9b93k=")</f>
        <v>#VALUE!</v>
      </c>
      <c r="DS228" t="e">
        <f>AND(Bills!D985,"AAAAAH9b93o=")</f>
        <v>#VALUE!</v>
      </c>
      <c r="DT228" t="e">
        <f>AND(Bills!E985,"AAAAAH9b93s=")</f>
        <v>#VALUE!</v>
      </c>
      <c r="DU228" t="e">
        <f>AND(Bills!#REF!,"AAAAAH9b93w=")</f>
        <v>#REF!</v>
      </c>
      <c r="DV228" t="e">
        <f>AND(Bills!#REF!,"AAAAAH9b930=")</f>
        <v>#REF!</v>
      </c>
      <c r="DW228" t="e">
        <f>AND(Bills!#REF!,"AAAAAH9b934=")</f>
        <v>#REF!</v>
      </c>
      <c r="DX228" t="e">
        <f>AND(Bills!F985,"AAAAAH9b938=")</f>
        <v>#VALUE!</v>
      </c>
      <c r="DY228" t="e">
        <f>AND(Bills!#REF!,"AAAAAH9b94A=")</f>
        <v>#REF!</v>
      </c>
      <c r="DZ228" t="e">
        <f>AND(Bills!G985,"AAAAAH9b94E=")</f>
        <v>#VALUE!</v>
      </c>
      <c r="EA228" t="e">
        <f>AND(Bills!H985,"AAAAAH9b94I=")</f>
        <v>#VALUE!</v>
      </c>
      <c r="EB228" t="e">
        <f>AND(Bills!I985,"AAAAAH9b94M=")</f>
        <v>#VALUE!</v>
      </c>
      <c r="EC228" t="e">
        <f>AND(Bills!J985,"AAAAAH9b94Q=")</f>
        <v>#VALUE!</v>
      </c>
      <c r="ED228" t="e">
        <f>AND(Bills!K985,"AAAAAH9b94U=")</f>
        <v>#VALUE!</v>
      </c>
      <c r="EE228" t="e">
        <f>AND(Bills!L985,"AAAAAH9b94Y=")</f>
        <v>#VALUE!</v>
      </c>
      <c r="EF228" t="e">
        <f>AND(Bills!#REF!,"AAAAAH9b94c=")</f>
        <v>#REF!</v>
      </c>
      <c r="EG228" t="e">
        <f>AND(Bills!M985,"AAAAAH9b94g=")</f>
        <v>#VALUE!</v>
      </c>
      <c r="EH228" t="e">
        <f>AND(Bills!N985,"AAAAAH9b94k=")</f>
        <v>#VALUE!</v>
      </c>
      <c r="EI228" t="e">
        <f>AND(Bills!O985,"AAAAAH9b94o=")</f>
        <v>#VALUE!</v>
      </c>
      <c r="EJ228" t="e">
        <f>AND(Bills!P985,"AAAAAH9b94s=")</f>
        <v>#VALUE!</v>
      </c>
      <c r="EK228" t="e">
        <f>AND(Bills!Q985,"AAAAAH9b94w=")</f>
        <v>#VALUE!</v>
      </c>
      <c r="EL228" t="e">
        <f>AND(Bills!R985,"AAAAAH9b940=")</f>
        <v>#VALUE!</v>
      </c>
      <c r="EM228" t="e">
        <f>AND(Bills!S985,"AAAAAH9b944=")</f>
        <v>#VALUE!</v>
      </c>
      <c r="EN228" t="e">
        <f>AND(Bills!T985,"AAAAAH9b948=")</f>
        <v>#VALUE!</v>
      </c>
      <c r="EO228" t="e">
        <f>AND(Bills!#REF!,"AAAAAH9b95A=")</f>
        <v>#REF!</v>
      </c>
      <c r="EP228" t="e">
        <f>AND(Bills!U985,"AAAAAH9b95E=")</f>
        <v>#VALUE!</v>
      </c>
      <c r="EQ228" t="e">
        <f>AND(Bills!V985,"AAAAAH9b95I=")</f>
        <v>#VALUE!</v>
      </c>
      <c r="ER228" t="e">
        <f>AND(Bills!W985,"AAAAAH9b95M=")</f>
        <v>#VALUE!</v>
      </c>
      <c r="ES228" t="e">
        <f>AND(Bills!#REF!,"AAAAAH9b95Q=")</f>
        <v>#REF!</v>
      </c>
      <c r="ET228" t="e">
        <f>AND(Bills!#REF!,"AAAAAH9b95U=")</f>
        <v>#REF!</v>
      </c>
      <c r="EU228" t="e">
        <f>AND(Bills!Y985,"AAAAAH9b95Y=")</f>
        <v>#VALUE!</v>
      </c>
      <c r="EV228" t="e">
        <f>AND(Bills!Z985,"AAAAAH9b95c=")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AND(Bills!AA985,"AAAAAH9b96E=")</f>
        <v>#VALUE!</v>
      </c>
      <c r="FG228" t="e">
        <f>AND(Bills!AB985,"AAAAAH9b96I=")</f>
        <v>#VALUE!</v>
      </c>
      <c r="FH228" t="e">
        <f>AND(Bills!#REF!,"AAAAAH9b96M=")</f>
        <v>#REF!</v>
      </c>
      <c r="FI228" t="e">
        <f>AND(Bills!#REF!,"AAAAAH9b96Q=")</f>
        <v>#REF!</v>
      </c>
      <c r="FJ228" t="e">
        <f>AND(Bills!#REF!,"AAAAAH9b96U=")</f>
        <v>#REF!</v>
      </c>
      <c r="FK228" t="e">
        <f>AND(Bills!AC985,"AAAAAH9b96Y=")</f>
        <v>#VALUE!</v>
      </c>
      <c r="FL228" t="e">
        <f>AND(Bills!AD985,"AAAAAH9b96c=")</f>
        <v>#VALUE!</v>
      </c>
      <c r="FM228" t="e">
        <f>AND(Bills!#REF!,"AAAAAH9b96g=")</f>
        <v>#REF!</v>
      </c>
      <c r="FN228">
        <f>IF(Bills!986:986,"AAAAAH9b96k=",0)</f>
        <v>0</v>
      </c>
      <c r="FO228" t="e">
        <f>AND(Bills!B986,"AAAAAH9b96o=")</f>
        <v>#VALUE!</v>
      </c>
      <c r="FP228" t="e">
        <f>AND(Bills!#REF!,"AAAAAH9b96s=")</f>
        <v>#REF!</v>
      </c>
      <c r="FQ228" t="e">
        <f>AND(Bills!C986,"AAAAAH9b96w=")</f>
        <v>#VALUE!</v>
      </c>
      <c r="FR228" t="e">
        <f>AND(Bills!D986,"AAAAAH9b960=")</f>
        <v>#VALUE!</v>
      </c>
      <c r="FS228" t="e">
        <f>AND(Bills!E986,"AAAAAH9b964=")</f>
        <v>#VALUE!</v>
      </c>
      <c r="FT228" t="e">
        <f>AND(Bills!#REF!,"AAAAAH9b968=")</f>
        <v>#REF!</v>
      </c>
      <c r="FU228" t="e">
        <f>AND(Bills!#REF!,"AAAAAH9b97A=")</f>
        <v>#REF!</v>
      </c>
      <c r="FV228" t="e">
        <f>AND(Bills!#REF!,"AAAAAH9b97E=")</f>
        <v>#REF!</v>
      </c>
      <c r="FW228" t="e">
        <f>AND(Bills!F986,"AAAAAH9b97I=")</f>
        <v>#VALUE!</v>
      </c>
      <c r="FX228" t="e">
        <f>AND(Bills!#REF!,"AAAAAH9b97M=")</f>
        <v>#REF!</v>
      </c>
      <c r="FY228" t="e">
        <f>AND(Bills!G986,"AAAAAH9b97Q=")</f>
        <v>#VALUE!</v>
      </c>
      <c r="FZ228" t="e">
        <f>AND(Bills!H986,"AAAAAH9b97U=")</f>
        <v>#VALUE!</v>
      </c>
      <c r="GA228" t="e">
        <f>AND(Bills!I986,"AAAAAH9b97Y=")</f>
        <v>#VALUE!</v>
      </c>
      <c r="GB228" t="e">
        <f>AND(Bills!J986,"AAAAAH9b97c=")</f>
        <v>#VALUE!</v>
      </c>
      <c r="GC228" t="e">
        <f>AND(Bills!K986,"AAAAAH9b97g=")</f>
        <v>#VALUE!</v>
      </c>
      <c r="GD228" t="e">
        <f>AND(Bills!L986,"AAAAAH9b97k=")</f>
        <v>#VALUE!</v>
      </c>
      <c r="GE228" t="e">
        <f>AND(Bills!#REF!,"AAAAAH9b97o=")</f>
        <v>#REF!</v>
      </c>
      <c r="GF228" t="e">
        <f>AND(Bills!M986,"AAAAAH9b97s=")</f>
        <v>#VALUE!</v>
      </c>
      <c r="GG228" t="e">
        <f>AND(Bills!N986,"AAAAAH9b97w=")</f>
        <v>#VALUE!</v>
      </c>
      <c r="GH228" t="e">
        <f>AND(Bills!O986,"AAAAAH9b970=")</f>
        <v>#VALUE!</v>
      </c>
      <c r="GI228" t="e">
        <f>AND(Bills!P986,"AAAAAH9b974=")</f>
        <v>#VALUE!</v>
      </c>
      <c r="GJ228" t="e">
        <f>AND(Bills!Q986,"AAAAAH9b978=")</f>
        <v>#VALUE!</v>
      </c>
      <c r="GK228" t="e">
        <f>AND(Bills!R986,"AAAAAH9b98A=")</f>
        <v>#VALUE!</v>
      </c>
      <c r="GL228" t="e">
        <f>AND(Bills!S986,"AAAAAH9b98E=")</f>
        <v>#VALUE!</v>
      </c>
      <c r="GM228" t="e">
        <f>AND(Bills!T986,"AAAAAH9b98I=")</f>
        <v>#VALUE!</v>
      </c>
      <c r="GN228" t="e">
        <f>AND(Bills!#REF!,"AAAAAH9b98M=")</f>
        <v>#REF!</v>
      </c>
      <c r="GO228" t="e">
        <f>AND(Bills!U986,"AAAAAH9b98Q=")</f>
        <v>#VALUE!</v>
      </c>
      <c r="GP228" t="e">
        <f>AND(Bills!V986,"AAAAAH9b98U=")</f>
        <v>#VALUE!</v>
      </c>
      <c r="GQ228" t="e">
        <f>AND(Bills!W986,"AAAAAH9b98Y=")</f>
        <v>#VALUE!</v>
      </c>
      <c r="GR228" t="e">
        <f>AND(Bills!#REF!,"AAAAAH9b98c=")</f>
        <v>#REF!</v>
      </c>
      <c r="GS228" t="e">
        <f>AND(Bills!#REF!,"AAAAAH9b98g=")</f>
        <v>#REF!</v>
      </c>
      <c r="GT228" t="e">
        <f>AND(Bills!Y986,"AAAAAH9b98k=")</f>
        <v>#VALUE!</v>
      </c>
      <c r="GU228" t="e">
        <f>AND(Bills!Z986,"AAAAAH9b98o=")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AND(Bills!AA986,"AAAAAH9b99Q=")</f>
        <v>#VALUE!</v>
      </c>
      <c r="HF228" t="e">
        <f>AND(Bills!AB986,"AAAAAH9b99U=")</f>
        <v>#VALUE!</v>
      </c>
      <c r="HG228" t="e">
        <f>AND(Bills!#REF!,"AAAAAH9b99Y=")</f>
        <v>#REF!</v>
      </c>
      <c r="HH228" t="e">
        <f>AND(Bills!#REF!,"AAAAAH9b99c=")</f>
        <v>#REF!</v>
      </c>
      <c r="HI228" t="e">
        <f>AND(Bills!#REF!,"AAAAAH9b99g=")</f>
        <v>#REF!</v>
      </c>
      <c r="HJ228" t="e">
        <f>AND(Bills!AC986,"AAAAAH9b99k=")</f>
        <v>#VALUE!</v>
      </c>
      <c r="HK228" t="e">
        <f>AND(Bills!AD986,"AAAAAH9b99o=")</f>
        <v>#VALUE!</v>
      </c>
      <c r="HL228" t="e">
        <f>AND(Bills!#REF!,"AAAAAH9b99s=")</f>
        <v>#REF!</v>
      </c>
      <c r="HM228">
        <f>IF(Bills!987:987,"AAAAAH9b99w=",0)</f>
        <v>0</v>
      </c>
      <c r="HN228" t="e">
        <f>AND(Bills!B987,"AAAAAH9b990=")</f>
        <v>#VALUE!</v>
      </c>
      <c r="HO228" t="e">
        <f>AND(Bills!#REF!,"AAAAAH9b994=")</f>
        <v>#REF!</v>
      </c>
      <c r="HP228" t="e">
        <f>AND(Bills!C987,"AAAAAH9b998=")</f>
        <v>#VALUE!</v>
      </c>
      <c r="HQ228" t="e">
        <f>AND(Bills!D987,"AAAAAH9b9+A=")</f>
        <v>#VALUE!</v>
      </c>
      <c r="HR228" t="e">
        <f>AND(Bills!E987,"AAAAAH9b9+E=")</f>
        <v>#VALUE!</v>
      </c>
      <c r="HS228" t="e">
        <f>AND(Bills!#REF!,"AAAAAH9b9+I=")</f>
        <v>#REF!</v>
      </c>
      <c r="HT228" t="e">
        <f>AND(Bills!#REF!,"AAAAAH9b9+M=")</f>
        <v>#REF!</v>
      </c>
      <c r="HU228" t="e">
        <f>AND(Bills!#REF!,"AAAAAH9b9+Q=")</f>
        <v>#REF!</v>
      </c>
      <c r="HV228" t="e">
        <f>AND(Bills!F987,"AAAAAH9b9+U=")</f>
        <v>#VALUE!</v>
      </c>
      <c r="HW228" t="e">
        <f>AND(Bills!#REF!,"AAAAAH9b9+Y=")</f>
        <v>#REF!</v>
      </c>
      <c r="HX228" t="e">
        <f>AND(Bills!G987,"AAAAAH9b9+c=")</f>
        <v>#VALUE!</v>
      </c>
      <c r="HY228" t="e">
        <f>AND(Bills!H987,"AAAAAH9b9+g=")</f>
        <v>#VALUE!</v>
      </c>
      <c r="HZ228" t="e">
        <f>AND(Bills!I987,"AAAAAH9b9+k=")</f>
        <v>#VALUE!</v>
      </c>
      <c r="IA228" t="e">
        <f>AND(Bills!J987,"AAAAAH9b9+o=")</f>
        <v>#VALUE!</v>
      </c>
      <c r="IB228" t="e">
        <f>AND(Bills!K987,"AAAAAH9b9+s=")</f>
        <v>#VALUE!</v>
      </c>
      <c r="IC228" t="e">
        <f>AND(Bills!L987,"AAAAAH9b9+w=")</f>
        <v>#VALUE!</v>
      </c>
      <c r="ID228" t="e">
        <f>AND(Bills!#REF!,"AAAAAH9b9+0=")</f>
        <v>#REF!</v>
      </c>
      <c r="IE228" t="e">
        <f>AND(Bills!M987,"AAAAAH9b9+4=")</f>
        <v>#VALUE!</v>
      </c>
      <c r="IF228" t="e">
        <f>AND(Bills!N987,"AAAAAH9b9+8=")</f>
        <v>#VALUE!</v>
      </c>
      <c r="IG228" t="e">
        <f>AND(Bills!O987,"AAAAAH9b9/A=")</f>
        <v>#VALUE!</v>
      </c>
      <c r="IH228" t="e">
        <f>AND(Bills!P987,"AAAAAH9b9/E=")</f>
        <v>#VALUE!</v>
      </c>
      <c r="II228" t="e">
        <f>AND(Bills!Q987,"AAAAAH9b9/I=")</f>
        <v>#VALUE!</v>
      </c>
      <c r="IJ228" t="e">
        <f>AND(Bills!R987,"AAAAAH9b9/M=")</f>
        <v>#VALUE!</v>
      </c>
      <c r="IK228" t="e">
        <f>AND(Bills!S987,"AAAAAH9b9/Q=")</f>
        <v>#VALUE!</v>
      </c>
      <c r="IL228" t="e">
        <f>AND(Bills!T987,"AAAAAH9b9/U=")</f>
        <v>#VALUE!</v>
      </c>
      <c r="IM228" t="e">
        <f>AND(Bills!#REF!,"AAAAAH9b9/Y=")</f>
        <v>#REF!</v>
      </c>
      <c r="IN228" t="e">
        <f>AND(Bills!U987,"AAAAAH9b9/c=")</f>
        <v>#VALUE!</v>
      </c>
      <c r="IO228" t="e">
        <f>AND(Bills!V987,"AAAAAH9b9/g=")</f>
        <v>#VALUE!</v>
      </c>
      <c r="IP228" t="e">
        <f>AND(Bills!W987,"AAAAAH9b9/k=")</f>
        <v>#VALUE!</v>
      </c>
      <c r="IQ228" t="e">
        <f>AND(Bills!#REF!,"AAAAAH9b9/o=")</f>
        <v>#REF!</v>
      </c>
      <c r="IR228" t="e">
        <f>AND(Bills!#REF!,"AAAAAH9b9/s=")</f>
        <v>#REF!</v>
      </c>
      <c r="IS228" t="e">
        <f>AND(Bills!Y987,"AAAAAH9b9/w=")</f>
        <v>#VALUE!</v>
      </c>
      <c r="IT228" t="e">
        <f>AND(Bills!Z987,"AAAAAH9b9/0=")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AND(Bills!AA987,"AAAAABv/8Qc=")</f>
        <v>#VALUE!</v>
      </c>
      <c r="I229" t="e">
        <f>AND(Bills!AB987,"AAAAABv/8Qg=")</f>
        <v>#VALUE!</v>
      </c>
      <c r="J229" t="e">
        <f>AND(Bills!#REF!,"AAAAABv/8Qk=")</f>
        <v>#REF!</v>
      </c>
      <c r="K229" t="e">
        <f>AND(Bills!#REF!,"AAAAABv/8Qo=")</f>
        <v>#REF!</v>
      </c>
      <c r="L229" t="e">
        <f>AND(Bills!#REF!,"AAAAABv/8Qs=")</f>
        <v>#REF!</v>
      </c>
      <c r="M229" t="e">
        <f>AND(Bills!AC987,"AAAAABv/8Qw=")</f>
        <v>#VALUE!</v>
      </c>
      <c r="N229" t="e">
        <f>AND(Bills!AD987,"AAAAABv/8Q0=")</f>
        <v>#VALUE!</v>
      </c>
      <c r="O229" t="e">
        <f>AND(Bills!#REF!,"AAAAABv/8Q4=")</f>
        <v>#REF!</v>
      </c>
      <c r="P229">
        <f>IF(Bills!988:988,"AAAAABv/8Q8=",0)</f>
        <v>0</v>
      </c>
      <c r="Q229" t="e">
        <f>AND(Bills!B988,"AAAAABv/8RA=")</f>
        <v>#VALUE!</v>
      </c>
      <c r="R229" t="e">
        <f>AND(Bills!#REF!,"AAAAABv/8RE=")</f>
        <v>#REF!</v>
      </c>
      <c r="S229" t="e">
        <f>AND(Bills!C988,"AAAAABv/8RI=")</f>
        <v>#VALUE!</v>
      </c>
      <c r="T229" t="e">
        <f>AND(Bills!D988,"AAAAABv/8RM=")</f>
        <v>#VALUE!</v>
      </c>
      <c r="U229" t="e">
        <f>AND(Bills!E988,"AAAAABv/8RQ=")</f>
        <v>#VALUE!</v>
      </c>
      <c r="V229" t="e">
        <f>AND(Bills!#REF!,"AAAAABv/8RU=")</f>
        <v>#REF!</v>
      </c>
      <c r="W229" t="e">
        <f>AND(Bills!#REF!,"AAAAABv/8RY=")</f>
        <v>#REF!</v>
      </c>
      <c r="X229" t="e">
        <f>AND(Bills!#REF!,"AAAAABv/8Rc=")</f>
        <v>#REF!</v>
      </c>
      <c r="Y229" t="e">
        <f>AND(Bills!F988,"AAAAABv/8Rg=")</f>
        <v>#VALUE!</v>
      </c>
      <c r="Z229" t="e">
        <f>AND(Bills!#REF!,"AAAAABv/8Rk=")</f>
        <v>#REF!</v>
      </c>
      <c r="AA229" t="e">
        <f>AND(Bills!G988,"AAAAABv/8Ro=")</f>
        <v>#VALUE!</v>
      </c>
      <c r="AB229" t="e">
        <f>AND(Bills!H988,"AAAAABv/8Rs=")</f>
        <v>#VALUE!</v>
      </c>
      <c r="AC229" t="e">
        <f>AND(Bills!I988,"AAAAABv/8Rw=")</f>
        <v>#VALUE!</v>
      </c>
      <c r="AD229" t="e">
        <f>AND(Bills!J988,"AAAAABv/8R0=")</f>
        <v>#VALUE!</v>
      </c>
      <c r="AE229" t="e">
        <f>AND(Bills!K988,"AAAAABv/8R4=")</f>
        <v>#VALUE!</v>
      </c>
      <c r="AF229" t="e">
        <f>AND(Bills!L988,"AAAAABv/8R8=")</f>
        <v>#VALUE!</v>
      </c>
      <c r="AG229" t="e">
        <f>AND(Bills!#REF!,"AAAAABv/8SA=")</f>
        <v>#REF!</v>
      </c>
      <c r="AH229" t="e">
        <f>AND(Bills!M988,"AAAAABv/8SE=")</f>
        <v>#VALUE!</v>
      </c>
      <c r="AI229" t="e">
        <f>AND(Bills!N988,"AAAAABv/8SI=")</f>
        <v>#VALUE!</v>
      </c>
      <c r="AJ229" t="e">
        <f>AND(Bills!O988,"AAAAABv/8SM=")</f>
        <v>#VALUE!</v>
      </c>
      <c r="AK229" t="e">
        <f>AND(Bills!P988,"AAAAABv/8SQ=")</f>
        <v>#VALUE!</v>
      </c>
      <c r="AL229" t="e">
        <f>AND(Bills!Q988,"AAAAABv/8SU=")</f>
        <v>#VALUE!</v>
      </c>
      <c r="AM229" t="e">
        <f>AND(Bills!R988,"AAAAABv/8SY=")</f>
        <v>#VALUE!</v>
      </c>
      <c r="AN229" t="e">
        <f>AND(Bills!S988,"AAAAABv/8Sc=")</f>
        <v>#VALUE!</v>
      </c>
      <c r="AO229" t="e">
        <f>AND(Bills!T988,"AAAAABv/8Sg=")</f>
        <v>#VALUE!</v>
      </c>
      <c r="AP229" t="e">
        <f>AND(Bills!#REF!,"AAAAABv/8Sk=")</f>
        <v>#REF!</v>
      </c>
      <c r="AQ229" t="e">
        <f>AND(Bills!U988,"AAAAABv/8So=")</f>
        <v>#VALUE!</v>
      </c>
      <c r="AR229" t="e">
        <f>AND(Bills!V988,"AAAAABv/8Ss=")</f>
        <v>#VALUE!</v>
      </c>
      <c r="AS229" t="e">
        <f>AND(Bills!W988,"AAAAABv/8Sw=")</f>
        <v>#VALUE!</v>
      </c>
      <c r="AT229" t="e">
        <f>AND(Bills!#REF!,"AAAAABv/8S0=")</f>
        <v>#REF!</v>
      </c>
      <c r="AU229" t="e">
        <f>AND(Bills!#REF!,"AAAAABv/8S4=")</f>
        <v>#REF!</v>
      </c>
      <c r="AV229" t="e">
        <f>AND(Bills!Y988,"AAAAABv/8S8=")</f>
        <v>#VALUE!</v>
      </c>
      <c r="AW229" t="e">
        <f>AND(Bills!Z988,"AAAAABv/8TA=")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AND(Bills!AA988,"AAAAABv/8To=")</f>
        <v>#VALUE!</v>
      </c>
      <c r="BH229" t="e">
        <f>AND(Bills!AB988,"AAAAABv/8Ts=")</f>
        <v>#VALUE!</v>
      </c>
      <c r="BI229" t="e">
        <f>AND(Bills!#REF!,"AAAAABv/8Tw=")</f>
        <v>#REF!</v>
      </c>
      <c r="BJ229" t="e">
        <f>AND(Bills!#REF!,"AAAAABv/8T0=")</f>
        <v>#REF!</v>
      </c>
      <c r="BK229" t="e">
        <f>AND(Bills!#REF!,"AAAAABv/8T4=")</f>
        <v>#REF!</v>
      </c>
      <c r="BL229" t="e">
        <f>AND(Bills!AC988,"AAAAABv/8T8=")</f>
        <v>#VALUE!</v>
      </c>
      <c r="BM229" t="e">
        <f>AND(Bills!AD988,"AAAAABv/8UA=")</f>
        <v>#VALUE!</v>
      </c>
      <c r="BN229" t="e">
        <f>AND(Bills!#REF!,"AAAAABv/8UE=")</f>
        <v>#REF!</v>
      </c>
      <c r="BO229">
        <f>IF(Bills!989:989,"AAAAABv/8UI=",0)</f>
        <v>0</v>
      </c>
      <c r="BP229" t="e">
        <f>AND(Bills!B989,"AAAAABv/8UM=")</f>
        <v>#VALUE!</v>
      </c>
      <c r="BQ229" t="e">
        <f>AND(Bills!#REF!,"AAAAABv/8UQ=")</f>
        <v>#REF!</v>
      </c>
      <c r="BR229" t="e">
        <f>AND(Bills!C989,"AAAAABv/8UU=")</f>
        <v>#VALUE!</v>
      </c>
      <c r="BS229" t="e">
        <f>AND(Bills!D989,"AAAAABv/8UY=")</f>
        <v>#VALUE!</v>
      </c>
      <c r="BT229" t="e">
        <f>AND(Bills!E989,"AAAAABv/8Uc=")</f>
        <v>#VALUE!</v>
      </c>
      <c r="BU229" t="e">
        <f>AND(Bills!#REF!,"AAAAABv/8Ug=")</f>
        <v>#REF!</v>
      </c>
      <c r="BV229" t="e">
        <f>AND(Bills!#REF!,"AAAAABv/8Uk=")</f>
        <v>#REF!</v>
      </c>
      <c r="BW229" t="e">
        <f>AND(Bills!#REF!,"AAAAABv/8Uo=")</f>
        <v>#REF!</v>
      </c>
      <c r="BX229" t="e">
        <f>AND(Bills!F989,"AAAAABv/8Us=")</f>
        <v>#VALUE!</v>
      </c>
      <c r="BY229" t="e">
        <f>AND(Bills!#REF!,"AAAAABv/8Uw=")</f>
        <v>#REF!</v>
      </c>
      <c r="BZ229" t="e">
        <f>AND(Bills!G989,"AAAAABv/8U0=")</f>
        <v>#VALUE!</v>
      </c>
      <c r="CA229" t="e">
        <f>AND(Bills!H989,"AAAAABv/8U4=")</f>
        <v>#VALUE!</v>
      </c>
      <c r="CB229" t="e">
        <f>AND(Bills!I989,"AAAAABv/8U8=")</f>
        <v>#VALUE!</v>
      </c>
      <c r="CC229" t="e">
        <f>AND(Bills!J989,"AAAAABv/8VA=")</f>
        <v>#VALUE!</v>
      </c>
      <c r="CD229" t="e">
        <f>AND(Bills!K989,"AAAAABv/8VE=")</f>
        <v>#VALUE!</v>
      </c>
      <c r="CE229" t="e">
        <f>AND(Bills!L989,"AAAAABv/8VI=")</f>
        <v>#VALUE!</v>
      </c>
      <c r="CF229" t="e">
        <f>AND(Bills!#REF!,"AAAAABv/8VM=")</f>
        <v>#REF!</v>
      </c>
      <c r="CG229" t="e">
        <f>AND(Bills!M989,"AAAAABv/8VQ=")</f>
        <v>#VALUE!</v>
      </c>
      <c r="CH229" t="e">
        <f>AND(Bills!N989,"AAAAABv/8VU=")</f>
        <v>#VALUE!</v>
      </c>
      <c r="CI229" t="e">
        <f>AND(Bills!O989,"AAAAABv/8VY=")</f>
        <v>#VALUE!</v>
      </c>
      <c r="CJ229" t="e">
        <f>AND(Bills!P989,"AAAAABv/8Vc=")</f>
        <v>#VALUE!</v>
      </c>
      <c r="CK229" t="e">
        <f>AND(Bills!Q989,"AAAAABv/8Vg=")</f>
        <v>#VALUE!</v>
      </c>
      <c r="CL229" t="e">
        <f>AND(Bills!R989,"AAAAABv/8Vk=")</f>
        <v>#VALUE!</v>
      </c>
      <c r="CM229" t="e">
        <f>AND(Bills!S989,"AAAAABv/8Vo=")</f>
        <v>#VALUE!</v>
      </c>
      <c r="CN229" t="e">
        <f>AND(Bills!T989,"AAAAABv/8Vs=")</f>
        <v>#VALUE!</v>
      </c>
      <c r="CO229" t="e">
        <f>AND(Bills!#REF!,"AAAAABv/8Vw=")</f>
        <v>#REF!</v>
      </c>
      <c r="CP229" t="e">
        <f>AND(Bills!U989,"AAAAABv/8V0=")</f>
        <v>#VALUE!</v>
      </c>
      <c r="CQ229" t="e">
        <f>AND(Bills!V989,"AAAAABv/8V4=")</f>
        <v>#VALUE!</v>
      </c>
      <c r="CR229" t="e">
        <f>AND(Bills!W989,"AAAAABv/8V8=")</f>
        <v>#VALUE!</v>
      </c>
      <c r="CS229" t="e">
        <f>AND(Bills!#REF!,"AAAAABv/8WA=")</f>
        <v>#REF!</v>
      </c>
      <c r="CT229" t="e">
        <f>AND(Bills!#REF!,"AAAAABv/8WE=")</f>
        <v>#REF!</v>
      </c>
      <c r="CU229" t="e">
        <f>AND(Bills!Y989,"AAAAABv/8WI=")</f>
        <v>#VALUE!</v>
      </c>
      <c r="CV229" t="e">
        <f>AND(Bills!Z989,"AAAAABv/8WM=")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AND(Bills!AA989,"AAAAABv/8W0=")</f>
        <v>#VALUE!</v>
      </c>
      <c r="DG229" t="e">
        <f>AND(Bills!AB989,"AAAAABv/8W4=")</f>
        <v>#VALUE!</v>
      </c>
      <c r="DH229" t="e">
        <f>AND(Bills!#REF!,"AAAAABv/8W8=")</f>
        <v>#REF!</v>
      </c>
      <c r="DI229" t="e">
        <f>AND(Bills!#REF!,"AAAAABv/8XA=")</f>
        <v>#REF!</v>
      </c>
      <c r="DJ229" t="e">
        <f>AND(Bills!#REF!,"AAAAABv/8XE=")</f>
        <v>#REF!</v>
      </c>
      <c r="DK229" t="e">
        <f>AND(Bills!AC989,"AAAAABv/8XI=")</f>
        <v>#VALUE!</v>
      </c>
      <c r="DL229" t="e">
        <f>AND(Bills!AD989,"AAAAABv/8XM=")</f>
        <v>#VALUE!</v>
      </c>
      <c r="DM229" t="e">
        <f>AND(Bills!#REF!,"AAAAABv/8XQ=")</f>
        <v>#REF!</v>
      </c>
      <c r="DN229">
        <f>IF(Bills!990:990,"AAAAABv/8XU=",0)</f>
        <v>0</v>
      </c>
      <c r="DO229" t="e">
        <f>AND(Bills!B990,"AAAAABv/8XY=")</f>
        <v>#VALUE!</v>
      </c>
      <c r="DP229" t="e">
        <f>AND(Bills!#REF!,"AAAAABv/8Xc=")</f>
        <v>#REF!</v>
      </c>
      <c r="DQ229" t="e">
        <f>AND(Bills!C990,"AAAAABv/8Xg=")</f>
        <v>#VALUE!</v>
      </c>
      <c r="DR229" t="e">
        <f>AND(Bills!D990,"AAAAABv/8Xk=")</f>
        <v>#VALUE!</v>
      </c>
      <c r="DS229" t="e">
        <f>AND(Bills!E990,"AAAAABv/8Xo=")</f>
        <v>#VALUE!</v>
      </c>
      <c r="DT229" t="e">
        <f>AND(Bills!#REF!,"AAAAABv/8Xs=")</f>
        <v>#REF!</v>
      </c>
      <c r="DU229" t="e">
        <f>AND(Bills!#REF!,"AAAAABv/8Xw=")</f>
        <v>#REF!</v>
      </c>
      <c r="DV229" t="e">
        <f>AND(Bills!#REF!,"AAAAABv/8X0=")</f>
        <v>#REF!</v>
      </c>
      <c r="DW229" t="e">
        <f>AND(Bills!F990,"AAAAABv/8X4=")</f>
        <v>#VALUE!</v>
      </c>
      <c r="DX229" t="e">
        <f>AND(Bills!#REF!,"AAAAABv/8X8=")</f>
        <v>#REF!</v>
      </c>
      <c r="DY229" t="e">
        <f>AND(Bills!G990,"AAAAABv/8YA=")</f>
        <v>#VALUE!</v>
      </c>
      <c r="DZ229" t="e">
        <f>AND(Bills!H990,"AAAAABv/8YE=")</f>
        <v>#VALUE!</v>
      </c>
      <c r="EA229" t="e">
        <f>AND(Bills!I990,"AAAAABv/8YI=")</f>
        <v>#VALUE!</v>
      </c>
      <c r="EB229" t="e">
        <f>AND(Bills!J990,"AAAAABv/8YM=")</f>
        <v>#VALUE!</v>
      </c>
      <c r="EC229" t="e">
        <f>AND(Bills!K990,"AAAAABv/8YQ=")</f>
        <v>#VALUE!</v>
      </c>
      <c r="ED229" t="e">
        <f>AND(Bills!L990,"AAAAABv/8YU=")</f>
        <v>#VALUE!</v>
      </c>
      <c r="EE229" t="e">
        <f>AND(Bills!#REF!,"AAAAABv/8YY=")</f>
        <v>#REF!</v>
      </c>
      <c r="EF229" t="e">
        <f>AND(Bills!M990,"AAAAABv/8Yc=")</f>
        <v>#VALUE!</v>
      </c>
      <c r="EG229" t="e">
        <f>AND(Bills!N990,"AAAAABv/8Yg=")</f>
        <v>#VALUE!</v>
      </c>
      <c r="EH229" t="e">
        <f>AND(Bills!O990,"AAAAABv/8Yk=")</f>
        <v>#VALUE!</v>
      </c>
      <c r="EI229" t="e">
        <f>AND(Bills!P990,"AAAAABv/8Yo=")</f>
        <v>#VALUE!</v>
      </c>
      <c r="EJ229" t="e">
        <f>AND(Bills!Q990,"AAAAABv/8Ys=")</f>
        <v>#VALUE!</v>
      </c>
      <c r="EK229" t="e">
        <f>AND(Bills!R990,"AAAAABv/8Yw=")</f>
        <v>#VALUE!</v>
      </c>
      <c r="EL229" t="e">
        <f>AND(Bills!S990,"AAAAABv/8Y0=")</f>
        <v>#VALUE!</v>
      </c>
      <c r="EM229" t="e">
        <f>AND(Bills!T990,"AAAAABv/8Y4=")</f>
        <v>#VALUE!</v>
      </c>
      <c r="EN229" t="e">
        <f>AND(Bills!#REF!,"AAAAABv/8Y8=")</f>
        <v>#REF!</v>
      </c>
      <c r="EO229" t="e">
        <f>AND(Bills!U990,"AAAAABv/8ZA=")</f>
        <v>#VALUE!</v>
      </c>
      <c r="EP229" t="e">
        <f>AND(Bills!V990,"AAAAABv/8ZE=")</f>
        <v>#VALUE!</v>
      </c>
      <c r="EQ229" t="e">
        <f>AND(Bills!W990,"AAAAABv/8ZI=")</f>
        <v>#VALUE!</v>
      </c>
      <c r="ER229" t="e">
        <f>AND(Bills!#REF!,"AAAAABv/8ZM=")</f>
        <v>#REF!</v>
      </c>
      <c r="ES229" t="e">
        <f>AND(Bills!#REF!,"AAAAABv/8ZQ=")</f>
        <v>#REF!</v>
      </c>
      <c r="ET229" t="e">
        <f>AND(Bills!Y990,"AAAAABv/8ZU=")</f>
        <v>#VALUE!</v>
      </c>
      <c r="EU229" t="e">
        <f>AND(Bills!Z990,"AAAAABv/8ZY=")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AND(Bills!AA990,"AAAAABv/8aA=")</f>
        <v>#VALUE!</v>
      </c>
      <c r="FF229" t="e">
        <f>AND(Bills!AB990,"AAAAABv/8aE=")</f>
        <v>#VALUE!</v>
      </c>
      <c r="FG229" t="e">
        <f>AND(Bills!#REF!,"AAAAABv/8aI=")</f>
        <v>#REF!</v>
      </c>
      <c r="FH229" t="e">
        <f>AND(Bills!#REF!,"AAAAABv/8aM=")</f>
        <v>#REF!</v>
      </c>
      <c r="FI229" t="e">
        <f>AND(Bills!#REF!,"AAAAABv/8aQ=")</f>
        <v>#REF!</v>
      </c>
      <c r="FJ229" t="e">
        <f>AND(Bills!AC990,"AAAAABv/8aU=")</f>
        <v>#VALUE!</v>
      </c>
      <c r="FK229" t="e">
        <f>AND(Bills!AD990,"AAAAABv/8aY=")</f>
        <v>#VALUE!</v>
      </c>
      <c r="FL229" t="e">
        <f>AND(Bills!#REF!,"AAAAABv/8ac=")</f>
        <v>#REF!</v>
      </c>
      <c r="FM229">
        <f>IF(Bills!991:991,"AAAAABv/8ag=",0)</f>
        <v>0</v>
      </c>
      <c r="FN229" t="e">
        <f>AND(Bills!B991,"AAAAABv/8ak=")</f>
        <v>#VALUE!</v>
      </c>
      <c r="FO229" t="e">
        <f>AND(Bills!#REF!,"AAAAABv/8ao=")</f>
        <v>#REF!</v>
      </c>
      <c r="FP229" t="e">
        <f>AND(Bills!C991,"AAAAABv/8as=")</f>
        <v>#VALUE!</v>
      </c>
      <c r="FQ229" t="e">
        <f>AND(Bills!D991,"AAAAABv/8aw=")</f>
        <v>#VALUE!</v>
      </c>
      <c r="FR229" t="e">
        <f>AND(Bills!E991,"AAAAABv/8a0=")</f>
        <v>#VALUE!</v>
      </c>
      <c r="FS229" t="e">
        <f>AND(Bills!#REF!,"AAAAABv/8a4=")</f>
        <v>#REF!</v>
      </c>
      <c r="FT229" t="e">
        <f>AND(Bills!#REF!,"AAAAABv/8a8=")</f>
        <v>#REF!</v>
      </c>
      <c r="FU229" t="e">
        <f>AND(Bills!#REF!,"AAAAABv/8bA=")</f>
        <v>#REF!</v>
      </c>
      <c r="FV229" t="e">
        <f>AND(Bills!F991,"AAAAABv/8bE=")</f>
        <v>#VALUE!</v>
      </c>
      <c r="FW229" t="e">
        <f>AND(Bills!#REF!,"AAAAABv/8bI=")</f>
        <v>#REF!</v>
      </c>
      <c r="FX229" t="e">
        <f>AND(Bills!G991,"AAAAABv/8bM=")</f>
        <v>#VALUE!</v>
      </c>
      <c r="FY229" t="e">
        <f>AND(Bills!H991,"AAAAABv/8bQ=")</f>
        <v>#VALUE!</v>
      </c>
      <c r="FZ229" t="e">
        <f>AND(Bills!I991,"AAAAABv/8bU=")</f>
        <v>#VALUE!</v>
      </c>
      <c r="GA229" t="e">
        <f>AND(Bills!J991,"AAAAABv/8bY=")</f>
        <v>#VALUE!</v>
      </c>
      <c r="GB229" t="e">
        <f>AND(Bills!K991,"AAAAABv/8bc=")</f>
        <v>#VALUE!</v>
      </c>
      <c r="GC229" t="e">
        <f>AND(Bills!L991,"AAAAABv/8bg=")</f>
        <v>#VALUE!</v>
      </c>
      <c r="GD229" t="e">
        <f>AND(Bills!#REF!,"AAAAABv/8bk=")</f>
        <v>#REF!</v>
      </c>
      <c r="GE229" t="e">
        <f>AND(Bills!M991,"AAAAABv/8bo=")</f>
        <v>#VALUE!</v>
      </c>
      <c r="GF229" t="e">
        <f>AND(Bills!N991,"AAAAABv/8bs=")</f>
        <v>#VALUE!</v>
      </c>
      <c r="GG229" t="e">
        <f>AND(Bills!O991,"AAAAABv/8bw=")</f>
        <v>#VALUE!</v>
      </c>
      <c r="GH229" t="e">
        <f>AND(Bills!P991,"AAAAABv/8b0=")</f>
        <v>#VALUE!</v>
      </c>
      <c r="GI229" t="e">
        <f>AND(Bills!Q991,"AAAAABv/8b4=")</f>
        <v>#VALUE!</v>
      </c>
      <c r="GJ229" t="e">
        <f>AND(Bills!R991,"AAAAABv/8b8=")</f>
        <v>#VALUE!</v>
      </c>
      <c r="GK229" t="e">
        <f>AND(Bills!S991,"AAAAABv/8cA=")</f>
        <v>#VALUE!</v>
      </c>
      <c r="GL229" t="e">
        <f>AND(Bills!T991,"AAAAABv/8cE=")</f>
        <v>#VALUE!</v>
      </c>
      <c r="GM229" t="e">
        <f>AND(Bills!#REF!,"AAAAABv/8cI=")</f>
        <v>#REF!</v>
      </c>
      <c r="GN229" t="e">
        <f>AND(Bills!U991,"AAAAABv/8cM=")</f>
        <v>#VALUE!</v>
      </c>
      <c r="GO229" t="e">
        <f>AND(Bills!V991,"AAAAABv/8cQ=")</f>
        <v>#VALUE!</v>
      </c>
      <c r="GP229" t="e">
        <f>AND(Bills!W991,"AAAAABv/8cU=")</f>
        <v>#VALUE!</v>
      </c>
      <c r="GQ229" t="e">
        <f>AND(Bills!#REF!,"AAAAABv/8cY=")</f>
        <v>#REF!</v>
      </c>
      <c r="GR229" t="e">
        <f>AND(Bills!#REF!,"AAAAABv/8cc=")</f>
        <v>#REF!</v>
      </c>
      <c r="GS229" t="e">
        <f>AND(Bills!Y991,"AAAAABv/8cg=")</f>
        <v>#VALUE!</v>
      </c>
      <c r="GT229" t="e">
        <f>AND(Bills!Z991,"AAAAABv/8ck=")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AND(Bills!AA991,"AAAAABv/8dM=")</f>
        <v>#VALUE!</v>
      </c>
      <c r="HE229" t="e">
        <f>AND(Bills!AB991,"AAAAABv/8dQ=")</f>
        <v>#VALUE!</v>
      </c>
      <c r="HF229" t="e">
        <f>AND(Bills!#REF!,"AAAAABv/8dU=")</f>
        <v>#REF!</v>
      </c>
      <c r="HG229" t="e">
        <f>AND(Bills!#REF!,"AAAAABv/8dY=")</f>
        <v>#REF!</v>
      </c>
      <c r="HH229" t="e">
        <f>AND(Bills!#REF!,"AAAAABv/8dc=")</f>
        <v>#REF!</v>
      </c>
      <c r="HI229" t="e">
        <f>AND(Bills!AC991,"AAAAABv/8dg=")</f>
        <v>#VALUE!</v>
      </c>
      <c r="HJ229" t="e">
        <f>AND(Bills!AD991,"AAAAABv/8dk=")</f>
        <v>#VALUE!</v>
      </c>
      <c r="HK229" t="e">
        <f>AND(Bills!#REF!,"AAAAABv/8do=")</f>
        <v>#REF!</v>
      </c>
      <c r="HL229">
        <f>IF(Bills!992:992,"AAAAABv/8ds=",0)</f>
        <v>0</v>
      </c>
      <c r="HM229" t="e">
        <f>AND(Bills!B992,"AAAAABv/8dw=")</f>
        <v>#VALUE!</v>
      </c>
      <c r="HN229" t="e">
        <f>AND(Bills!#REF!,"AAAAABv/8d0=")</f>
        <v>#REF!</v>
      </c>
      <c r="HO229" t="e">
        <f>AND(Bills!C992,"AAAAABv/8d4=")</f>
        <v>#VALUE!</v>
      </c>
      <c r="HP229" t="e">
        <f>AND(Bills!D992,"AAAAABv/8d8=")</f>
        <v>#VALUE!</v>
      </c>
      <c r="HQ229" t="e">
        <f>AND(Bills!E992,"AAAAABv/8eA=")</f>
        <v>#VALUE!</v>
      </c>
      <c r="HR229" t="e">
        <f>AND(Bills!#REF!,"AAAAABv/8eE=")</f>
        <v>#REF!</v>
      </c>
      <c r="HS229" t="e">
        <f>AND(Bills!#REF!,"AAAAABv/8eI=")</f>
        <v>#REF!</v>
      </c>
      <c r="HT229" t="e">
        <f>AND(Bills!#REF!,"AAAAABv/8eM=")</f>
        <v>#REF!</v>
      </c>
      <c r="HU229" t="e">
        <f>AND(Bills!F992,"AAAAABv/8eQ=")</f>
        <v>#VALUE!</v>
      </c>
      <c r="HV229" t="e">
        <f>AND(Bills!#REF!,"AAAAABv/8eU=")</f>
        <v>#REF!</v>
      </c>
      <c r="HW229" t="e">
        <f>AND(Bills!G992,"AAAAABv/8eY=")</f>
        <v>#VALUE!</v>
      </c>
      <c r="HX229" t="e">
        <f>AND(Bills!H992,"AAAAABv/8ec=")</f>
        <v>#VALUE!</v>
      </c>
      <c r="HY229" t="e">
        <f>AND(Bills!I992,"AAAAABv/8eg=")</f>
        <v>#VALUE!</v>
      </c>
      <c r="HZ229" t="e">
        <f>AND(Bills!J992,"AAAAABv/8ek=")</f>
        <v>#VALUE!</v>
      </c>
      <c r="IA229" t="e">
        <f>AND(Bills!K992,"AAAAABv/8eo=")</f>
        <v>#VALUE!</v>
      </c>
      <c r="IB229" t="e">
        <f>AND(Bills!L992,"AAAAABv/8es=")</f>
        <v>#VALUE!</v>
      </c>
      <c r="IC229" t="e">
        <f>AND(Bills!#REF!,"AAAAABv/8ew=")</f>
        <v>#REF!</v>
      </c>
      <c r="ID229" t="e">
        <f>AND(Bills!M992,"AAAAABv/8e0=")</f>
        <v>#VALUE!</v>
      </c>
      <c r="IE229" t="e">
        <f>AND(Bills!N992,"AAAAABv/8e4=")</f>
        <v>#VALUE!</v>
      </c>
      <c r="IF229" t="e">
        <f>AND(Bills!O992,"AAAAABv/8e8=")</f>
        <v>#VALUE!</v>
      </c>
      <c r="IG229" t="e">
        <f>AND(Bills!P992,"AAAAABv/8fA=")</f>
        <v>#VALUE!</v>
      </c>
      <c r="IH229" t="e">
        <f>AND(Bills!Q992,"AAAAABv/8fE=")</f>
        <v>#VALUE!</v>
      </c>
      <c r="II229" t="e">
        <f>AND(Bills!R992,"AAAAABv/8fI=")</f>
        <v>#VALUE!</v>
      </c>
      <c r="IJ229" t="e">
        <f>AND(Bills!S992,"AAAAABv/8fM=")</f>
        <v>#VALUE!</v>
      </c>
      <c r="IK229" t="e">
        <f>AND(Bills!T992,"AAAAABv/8fQ=")</f>
        <v>#VALUE!</v>
      </c>
      <c r="IL229" t="e">
        <f>AND(Bills!#REF!,"AAAAABv/8fU=")</f>
        <v>#REF!</v>
      </c>
      <c r="IM229" t="e">
        <f>AND(Bills!U992,"AAAAABv/8fY=")</f>
        <v>#VALUE!</v>
      </c>
      <c r="IN229" t="e">
        <f>AND(Bills!V992,"AAAAABv/8fc=")</f>
        <v>#VALUE!</v>
      </c>
      <c r="IO229" t="e">
        <f>AND(Bills!W992,"AAAAABv/8fg=")</f>
        <v>#VALUE!</v>
      </c>
      <c r="IP229" t="e">
        <f>AND(Bills!#REF!,"AAAAABv/8fk=")</f>
        <v>#REF!</v>
      </c>
      <c r="IQ229" t="e">
        <f>AND(Bills!#REF!,"AAAAABv/8fo=")</f>
        <v>#REF!</v>
      </c>
      <c r="IR229" t="e">
        <f>AND(Bills!Y992,"AAAAABv/8fs=")</f>
        <v>#VALUE!</v>
      </c>
      <c r="IS229" t="e">
        <f>AND(Bills!Z992,"AAAAABv/8fw=")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AND(Bills!AA992,"AAAAAH+//gY=")</f>
        <v>#VALUE!</v>
      </c>
      <c r="H230" t="e">
        <f>AND(Bills!AB992,"AAAAAH+//gc=")</f>
        <v>#VALUE!</v>
      </c>
      <c r="I230" t="e">
        <f>AND(Bills!#REF!,"AAAAAH+//gg=")</f>
        <v>#REF!</v>
      </c>
      <c r="J230" t="e">
        <f>AND(Bills!#REF!,"AAAAAH+//gk=")</f>
        <v>#REF!</v>
      </c>
      <c r="K230" t="e">
        <f>AND(Bills!#REF!,"AAAAAH+//go=")</f>
        <v>#REF!</v>
      </c>
      <c r="L230" t="e">
        <f>AND(Bills!AC992,"AAAAAH+//gs=")</f>
        <v>#VALUE!</v>
      </c>
      <c r="M230" t="e">
        <f>AND(Bills!AD992,"AAAAAH+//gw=")</f>
        <v>#VALUE!</v>
      </c>
      <c r="N230" t="e">
        <f>AND(Bills!#REF!,"AAAAAH+//g0=")</f>
        <v>#REF!</v>
      </c>
      <c r="O230">
        <f>IF(Bills!993:993,"AAAAAH+//g4=",0)</f>
        <v>0</v>
      </c>
      <c r="P230" t="e">
        <f>AND(Bills!B993,"AAAAAH+//g8=")</f>
        <v>#VALUE!</v>
      </c>
      <c r="Q230" t="e">
        <f>AND(Bills!#REF!,"AAAAAH+//hA=")</f>
        <v>#REF!</v>
      </c>
      <c r="R230" t="e">
        <f>AND(Bills!C993,"AAAAAH+//hE=")</f>
        <v>#VALUE!</v>
      </c>
      <c r="S230" t="e">
        <f>AND(Bills!D993,"AAAAAH+//hI=")</f>
        <v>#VALUE!</v>
      </c>
      <c r="T230" t="e">
        <f>AND(Bills!E993,"AAAAAH+//hM=")</f>
        <v>#VALUE!</v>
      </c>
      <c r="U230" t="e">
        <f>AND(Bills!#REF!,"AAAAAH+//hQ=")</f>
        <v>#REF!</v>
      </c>
      <c r="V230" t="e">
        <f>AND(Bills!#REF!,"AAAAAH+//hU=")</f>
        <v>#REF!</v>
      </c>
      <c r="W230" t="e">
        <f>AND(Bills!#REF!,"AAAAAH+//hY=")</f>
        <v>#REF!</v>
      </c>
      <c r="X230" t="e">
        <f>AND(Bills!F993,"AAAAAH+//hc=")</f>
        <v>#VALUE!</v>
      </c>
      <c r="Y230" t="e">
        <f>AND(Bills!#REF!,"AAAAAH+//hg=")</f>
        <v>#REF!</v>
      </c>
      <c r="Z230" t="e">
        <f>AND(Bills!G993,"AAAAAH+//hk=")</f>
        <v>#VALUE!</v>
      </c>
      <c r="AA230" t="e">
        <f>AND(Bills!H993,"AAAAAH+//ho=")</f>
        <v>#VALUE!</v>
      </c>
      <c r="AB230" t="e">
        <f>AND(Bills!I993,"AAAAAH+//hs=")</f>
        <v>#VALUE!</v>
      </c>
      <c r="AC230" t="e">
        <f>AND(Bills!J993,"AAAAAH+//hw=")</f>
        <v>#VALUE!</v>
      </c>
      <c r="AD230" t="e">
        <f>AND(Bills!K993,"AAAAAH+//h0=")</f>
        <v>#VALUE!</v>
      </c>
      <c r="AE230" t="e">
        <f>AND(Bills!L993,"AAAAAH+//h4=")</f>
        <v>#VALUE!</v>
      </c>
      <c r="AF230" t="e">
        <f>AND(Bills!#REF!,"AAAAAH+//h8=")</f>
        <v>#REF!</v>
      </c>
      <c r="AG230" t="e">
        <f>AND(Bills!M993,"AAAAAH+//iA=")</f>
        <v>#VALUE!</v>
      </c>
      <c r="AH230" t="e">
        <f>AND(Bills!N993,"AAAAAH+//iE=")</f>
        <v>#VALUE!</v>
      </c>
      <c r="AI230" t="e">
        <f>AND(Bills!O993,"AAAAAH+//iI=")</f>
        <v>#VALUE!</v>
      </c>
      <c r="AJ230" t="e">
        <f>AND(Bills!P993,"AAAAAH+//iM=")</f>
        <v>#VALUE!</v>
      </c>
      <c r="AK230" t="e">
        <f>AND(Bills!Q993,"AAAAAH+//iQ=")</f>
        <v>#VALUE!</v>
      </c>
      <c r="AL230" t="e">
        <f>AND(Bills!R993,"AAAAAH+//iU=")</f>
        <v>#VALUE!</v>
      </c>
      <c r="AM230" t="e">
        <f>AND(Bills!S993,"AAAAAH+//iY=")</f>
        <v>#VALUE!</v>
      </c>
      <c r="AN230" t="e">
        <f>AND(Bills!T993,"AAAAAH+//ic=")</f>
        <v>#VALUE!</v>
      </c>
      <c r="AO230" t="e">
        <f>AND(Bills!#REF!,"AAAAAH+//ig=")</f>
        <v>#REF!</v>
      </c>
      <c r="AP230" t="e">
        <f>AND(Bills!U993,"AAAAAH+//ik=")</f>
        <v>#VALUE!</v>
      </c>
      <c r="AQ230" t="e">
        <f>AND(Bills!V993,"AAAAAH+//io=")</f>
        <v>#VALUE!</v>
      </c>
      <c r="AR230" t="e">
        <f>AND(Bills!W993,"AAAAAH+//is=")</f>
        <v>#VALUE!</v>
      </c>
      <c r="AS230" t="e">
        <f>AND(Bills!#REF!,"AAAAAH+//iw=")</f>
        <v>#REF!</v>
      </c>
      <c r="AT230" t="e">
        <f>AND(Bills!#REF!,"AAAAAH+//i0=")</f>
        <v>#REF!</v>
      </c>
      <c r="AU230" t="e">
        <f>AND(Bills!Y993,"AAAAAH+//i4=")</f>
        <v>#VALUE!</v>
      </c>
      <c r="AV230" t="e">
        <f>AND(Bills!Z993,"AAAAAH+//i8=")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AND(Bills!AA993,"AAAAAH+//jk=")</f>
        <v>#VALUE!</v>
      </c>
      <c r="BG230" t="e">
        <f>AND(Bills!AB993,"AAAAAH+//jo=")</f>
        <v>#VALUE!</v>
      </c>
      <c r="BH230" t="e">
        <f>AND(Bills!#REF!,"AAAAAH+//js=")</f>
        <v>#REF!</v>
      </c>
      <c r="BI230" t="e">
        <f>AND(Bills!#REF!,"AAAAAH+//jw=")</f>
        <v>#REF!</v>
      </c>
      <c r="BJ230" t="e">
        <f>AND(Bills!#REF!,"AAAAAH+//j0=")</f>
        <v>#REF!</v>
      </c>
      <c r="BK230" t="e">
        <f>AND(Bills!AC993,"AAAAAH+//j4=")</f>
        <v>#VALUE!</v>
      </c>
      <c r="BL230" t="e">
        <f>AND(Bills!AD993,"AAAAAH+//j8=")</f>
        <v>#VALUE!</v>
      </c>
      <c r="BM230" t="e">
        <f>AND(Bills!#REF!,"AAAAAH+//kA=")</f>
        <v>#REF!</v>
      </c>
      <c r="BN230">
        <f>IF(Bills!994:994,"AAAAAH+//kE=",0)</f>
        <v>0</v>
      </c>
      <c r="BO230" t="e">
        <f>AND(Bills!B994,"AAAAAH+//kI=")</f>
        <v>#VALUE!</v>
      </c>
      <c r="BP230" t="e">
        <f>AND(Bills!#REF!,"AAAAAH+//kM=")</f>
        <v>#REF!</v>
      </c>
      <c r="BQ230" t="e">
        <f>AND(Bills!C994,"AAAAAH+//kQ=")</f>
        <v>#VALUE!</v>
      </c>
      <c r="BR230" t="e">
        <f>AND(Bills!D994,"AAAAAH+//kU=")</f>
        <v>#VALUE!</v>
      </c>
      <c r="BS230" t="e">
        <f>AND(Bills!E994,"AAAAAH+//kY=")</f>
        <v>#VALUE!</v>
      </c>
      <c r="BT230" t="e">
        <f>AND(Bills!#REF!,"AAAAAH+//kc=")</f>
        <v>#REF!</v>
      </c>
      <c r="BU230" t="e">
        <f>AND(Bills!#REF!,"AAAAAH+//kg=")</f>
        <v>#REF!</v>
      </c>
      <c r="BV230" t="e">
        <f>AND(Bills!#REF!,"AAAAAH+//kk=")</f>
        <v>#REF!</v>
      </c>
      <c r="BW230" t="e">
        <f>AND(Bills!F994,"AAAAAH+//ko=")</f>
        <v>#VALUE!</v>
      </c>
      <c r="BX230" t="e">
        <f>AND(Bills!#REF!,"AAAAAH+//ks=")</f>
        <v>#REF!</v>
      </c>
      <c r="BY230" t="e">
        <f>AND(Bills!G994,"AAAAAH+//kw=")</f>
        <v>#VALUE!</v>
      </c>
      <c r="BZ230" t="e">
        <f>AND(Bills!H994,"AAAAAH+//k0=")</f>
        <v>#VALUE!</v>
      </c>
      <c r="CA230" t="e">
        <f>AND(Bills!I994,"AAAAAH+//k4=")</f>
        <v>#VALUE!</v>
      </c>
      <c r="CB230" t="e">
        <f>AND(Bills!J994,"AAAAAH+//k8=")</f>
        <v>#VALUE!</v>
      </c>
      <c r="CC230" t="e">
        <f>AND(Bills!K994,"AAAAAH+//lA=")</f>
        <v>#VALUE!</v>
      </c>
      <c r="CD230" t="e">
        <f>AND(Bills!L994,"AAAAAH+//lE=")</f>
        <v>#VALUE!</v>
      </c>
      <c r="CE230" t="e">
        <f>AND(Bills!#REF!,"AAAAAH+//lI=")</f>
        <v>#REF!</v>
      </c>
      <c r="CF230" t="e">
        <f>AND(Bills!M994,"AAAAAH+//lM=")</f>
        <v>#VALUE!</v>
      </c>
      <c r="CG230" t="e">
        <f>AND(Bills!N994,"AAAAAH+//lQ=")</f>
        <v>#VALUE!</v>
      </c>
      <c r="CH230" t="e">
        <f>AND(Bills!O994,"AAAAAH+//lU=")</f>
        <v>#VALUE!</v>
      </c>
      <c r="CI230" t="e">
        <f>AND(Bills!P994,"AAAAAH+//lY=")</f>
        <v>#VALUE!</v>
      </c>
      <c r="CJ230" t="e">
        <f>AND(Bills!Q994,"AAAAAH+//lc=")</f>
        <v>#VALUE!</v>
      </c>
      <c r="CK230" t="e">
        <f>AND(Bills!R994,"AAAAAH+//lg=")</f>
        <v>#VALUE!</v>
      </c>
      <c r="CL230" t="e">
        <f>AND(Bills!S994,"AAAAAH+//lk=")</f>
        <v>#VALUE!</v>
      </c>
      <c r="CM230" t="e">
        <f>AND(Bills!T994,"AAAAAH+//lo=")</f>
        <v>#VALUE!</v>
      </c>
      <c r="CN230" t="e">
        <f>AND(Bills!#REF!,"AAAAAH+//ls=")</f>
        <v>#REF!</v>
      </c>
      <c r="CO230" t="e">
        <f>AND(Bills!U994,"AAAAAH+//lw=")</f>
        <v>#VALUE!</v>
      </c>
      <c r="CP230" t="e">
        <f>AND(Bills!V994,"AAAAAH+//l0=")</f>
        <v>#VALUE!</v>
      </c>
      <c r="CQ230" t="e">
        <f>AND(Bills!W994,"AAAAAH+//l4=")</f>
        <v>#VALUE!</v>
      </c>
      <c r="CR230" t="e">
        <f>AND(Bills!#REF!,"AAAAAH+//l8=")</f>
        <v>#REF!</v>
      </c>
      <c r="CS230" t="e">
        <f>AND(Bills!#REF!,"AAAAAH+//mA=")</f>
        <v>#REF!</v>
      </c>
      <c r="CT230" t="e">
        <f>AND(Bills!Y994,"AAAAAH+//mE=")</f>
        <v>#VALUE!</v>
      </c>
      <c r="CU230" t="e">
        <f>AND(Bills!Z994,"AAAAAH+//mI=")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AND(Bills!AA994,"AAAAAH+//mw=")</f>
        <v>#VALUE!</v>
      </c>
      <c r="DF230" t="e">
        <f>AND(Bills!AB994,"AAAAAH+//m0=")</f>
        <v>#VALUE!</v>
      </c>
      <c r="DG230" t="e">
        <f>AND(Bills!#REF!,"AAAAAH+//m4=")</f>
        <v>#REF!</v>
      </c>
      <c r="DH230" t="e">
        <f>AND(Bills!#REF!,"AAAAAH+//m8=")</f>
        <v>#REF!</v>
      </c>
      <c r="DI230" t="e">
        <f>AND(Bills!#REF!,"AAAAAH+//nA=")</f>
        <v>#REF!</v>
      </c>
      <c r="DJ230" t="e">
        <f>AND(Bills!AC994,"AAAAAH+//nE=")</f>
        <v>#VALUE!</v>
      </c>
      <c r="DK230" t="e">
        <f>AND(Bills!AD994,"AAAAAH+//nI=")</f>
        <v>#VALUE!</v>
      </c>
      <c r="DL230" t="e">
        <f>AND(Bills!#REF!,"AAAAAH+//nM=")</f>
        <v>#REF!</v>
      </c>
      <c r="DM230">
        <f>IF(Bills!995:995,"AAAAAH+//nQ=",0)</f>
        <v>0</v>
      </c>
      <c r="DN230" t="e">
        <f>AND(Bills!B995,"AAAAAH+//nU=")</f>
        <v>#VALUE!</v>
      </c>
      <c r="DO230" t="e">
        <f>AND(Bills!#REF!,"AAAAAH+//nY=")</f>
        <v>#REF!</v>
      </c>
      <c r="DP230" t="e">
        <f>AND(Bills!C995,"AAAAAH+//nc=")</f>
        <v>#VALUE!</v>
      </c>
      <c r="DQ230" t="e">
        <f>AND(Bills!D995,"AAAAAH+//ng=")</f>
        <v>#VALUE!</v>
      </c>
      <c r="DR230" t="e">
        <f>AND(Bills!E995,"AAAAAH+//nk=")</f>
        <v>#VALUE!</v>
      </c>
      <c r="DS230" t="e">
        <f>AND(Bills!#REF!,"AAAAAH+//no=")</f>
        <v>#REF!</v>
      </c>
      <c r="DT230" t="e">
        <f>AND(Bills!#REF!,"AAAAAH+//ns=")</f>
        <v>#REF!</v>
      </c>
      <c r="DU230" t="e">
        <f>AND(Bills!#REF!,"AAAAAH+//nw=")</f>
        <v>#REF!</v>
      </c>
      <c r="DV230" t="e">
        <f>AND(Bills!F995,"AAAAAH+//n0=")</f>
        <v>#VALUE!</v>
      </c>
      <c r="DW230" t="e">
        <f>AND(Bills!#REF!,"AAAAAH+//n4=")</f>
        <v>#REF!</v>
      </c>
      <c r="DX230" t="e">
        <f>AND(Bills!G995,"AAAAAH+//n8=")</f>
        <v>#VALUE!</v>
      </c>
      <c r="DY230" t="e">
        <f>AND(Bills!H995,"AAAAAH+//oA=")</f>
        <v>#VALUE!</v>
      </c>
      <c r="DZ230" t="e">
        <f>AND(Bills!I995,"AAAAAH+//oE=")</f>
        <v>#VALUE!</v>
      </c>
      <c r="EA230" t="e">
        <f>AND(Bills!J995,"AAAAAH+//oI=")</f>
        <v>#VALUE!</v>
      </c>
      <c r="EB230" t="e">
        <f>AND(Bills!K995,"AAAAAH+//oM=")</f>
        <v>#VALUE!</v>
      </c>
      <c r="EC230" t="e">
        <f>AND(Bills!L995,"AAAAAH+//oQ=")</f>
        <v>#VALUE!</v>
      </c>
      <c r="ED230" t="e">
        <f>AND(Bills!#REF!,"AAAAAH+//oU=")</f>
        <v>#REF!</v>
      </c>
      <c r="EE230" t="e">
        <f>AND(Bills!M995,"AAAAAH+//oY=")</f>
        <v>#VALUE!</v>
      </c>
      <c r="EF230" t="e">
        <f>AND(Bills!N995,"AAAAAH+//oc=")</f>
        <v>#VALUE!</v>
      </c>
      <c r="EG230" t="e">
        <f>AND(Bills!O995,"AAAAAH+//og=")</f>
        <v>#VALUE!</v>
      </c>
      <c r="EH230" t="e">
        <f>AND(Bills!P995,"AAAAAH+//ok=")</f>
        <v>#VALUE!</v>
      </c>
      <c r="EI230" t="e">
        <f>AND(Bills!Q995,"AAAAAH+//oo=")</f>
        <v>#VALUE!</v>
      </c>
      <c r="EJ230" t="e">
        <f>AND(Bills!R995,"AAAAAH+//os=")</f>
        <v>#VALUE!</v>
      </c>
      <c r="EK230" t="e">
        <f>AND(Bills!S995,"AAAAAH+//ow=")</f>
        <v>#VALUE!</v>
      </c>
      <c r="EL230" t="e">
        <f>AND(Bills!T995,"AAAAAH+//o0=")</f>
        <v>#VALUE!</v>
      </c>
      <c r="EM230" t="e">
        <f>AND(Bills!#REF!,"AAAAAH+//o4=")</f>
        <v>#REF!</v>
      </c>
      <c r="EN230" t="e">
        <f>AND(Bills!U995,"AAAAAH+//o8=")</f>
        <v>#VALUE!</v>
      </c>
      <c r="EO230" t="e">
        <f>AND(Bills!V995,"AAAAAH+//pA=")</f>
        <v>#VALUE!</v>
      </c>
      <c r="EP230" t="e">
        <f>AND(Bills!W995,"AAAAAH+//pE=")</f>
        <v>#VALUE!</v>
      </c>
      <c r="EQ230" t="e">
        <f>AND(Bills!#REF!,"AAAAAH+//pI=")</f>
        <v>#REF!</v>
      </c>
      <c r="ER230" t="e">
        <f>AND(Bills!#REF!,"AAAAAH+//pM=")</f>
        <v>#REF!</v>
      </c>
      <c r="ES230" t="e">
        <f>AND(Bills!Y995,"AAAAAH+//pQ=")</f>
        <v>#VALUE!</v>
      </c>
      <c r="ET230" t="e">
        <f>AND(Bills!Z995,"AAAAAH+//pU=")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AND(Bills!AA995,"AAAAAH+//p8=")</f>
        <v>#VALUE!</v>
      </c>
      <c r="FE230" t="e">
        <f>AND(Bills!AB995,"AAAAAH+//qA=")</f>
        <v>#VALUE!</v>
      </c>
      <c r="FF230" t="e">
        <f>AND(Bills!#REF!,"AAAAAH+//qE=")</f>
        <v>#REF!</v>
      </c>
      <c r="FG230" t="e">
        <f>AND(Bills!#REF!,"AAAAAH+//qI=")</f>
        <v>#REF!</v>
      </c>
      <c r="FH230" t="e">
        <f>AND(Bills!#REF!,"AAAAAH+//qM=")</f>
        <v>#REF!</v>
      </c>
      <c r="FI230" t="e">
        <f>AND(Bills!AC995,"AAAAAH+//qQ=")</f>
        <v>#VALUE!</v>
      </c>
      <c r="FJ230" t="e">
        <f>AND(Bills!AD995,"AAAAAH+//qU=")</f>
        <v>#VALUE!</v>
      </c>
      <c r="FK230" t="e">
        <f>AND(Bills!#REF!,"AAAAAH+//qY=")</f>
        <v>#REF!</v>
      </c>
      <c r="FL230">
        <f>IF(Bills!996:996,"AAAAAH+//qc=",0)</f>
        <v>0</v>
      </c>
      <c r="FM230" t="e">
        <f>AND(Bills!B996,"AAAAAH+//qg=")</f>
        <v>#VALUE!</v>
      </c>
      <c r="FN230" t="e">
        <f>AND(Bills!#REF!,"AAAAAH+//qk=")</f>
        <v>#REF!</v>
      </c>
      <c r="FO230" t="e">
        <f>AND(Bills!C996,"AAAAAH+//qo=")</f>
        <v>#VALUE!</v>
      </c>
      <c r="FP230" t="e">
        <f>AND(Bills!D996,"AAAAAH+//qs=")</f>
        <v>#VALUE!</v>
      </c>
      <c r="FQ230" t="e">
        <f>AND(Bills!E996,"AAAAAH+//qw=")</f>
        <v>#VALUE!</v>
      </c>
      <c r="FR230" t="e">
        <f>AND(Bills!#REF!,"AAAAAH+//q0=")</f>
        <v>#REF!</v>
      </c>
      <c r="FS230" t="e">
        <f>AND(Bills!#REF!,"AAAAAH+//q4=")</f>
        <v>#REF!</v>
      </c>
      <c r="FT230" t="e">
        <f>AND(Bills!#REF!,"AAAAAH+//q8=")</f>
        <v>#REF!</v>
      </c>
      <c r="FU230" t="e">
        <f>AND(Bills!F996,"AAAAAH+//rA=")</f>
        <v>#VALUE!</v>
      </c>
      <c r="FV230" t="e">
        <f>AND(Bills!#REF!,"AAAAAH+//rE=")</f>
        <v>#REF!</v>
      </c>
      <c r="FW230" t="e">
        <f>AND(Bills!G996,"AAAAAH+//rI=")</f>
        <v>#VALUE!</v>
      </c>
      <c r="FX230" t="e">
        <f>AND(Bills!H996,"AAAAAH+//rM=")</f>
        <v>#VALUE!</v>
      </c>
      <c r="FY230" t="e">
        <f>AND(Bills!I996,"AAAAAH+//rQ=")</f>
        <v>#VALUE!</v>
      </c>
      <c r="FZ230" t="e">
        <f>AND(Bills!J996,"AAAAAH+//rU=")</f>
        <v>#VALUE!</v>
      </c>
      <c r="GA230" t="e">
        <f>AND(Bills!K996,"AAAAAH+//rY=")</f>
        <v>#VALUE!</v>
      </c>
      <c r="GB230" t="e">
        <f>AND(Bills!L996,"AAAAAH+//rc=")</f>
        <v>#VALUE!</v>
      </c>
      <c r="GC230" t="e">
        <f>AND(Bills!#REF!,"AAAAAH+//rg=")</f>
        <v>#REF!</v>
      </c>
      <c r="GD230" t="e">
        <f>AND(Bills!M996,"AAAAAH+//rk=")</f>
        <v>#VALUE!</v>
      </c>
      <c r="GE230" t="e">
        <f>AND(Bills!N996,"AAAAAH+//ro=")</f>
        <v>#VALUE!</v>
      </c>
      <c r="GF230" t="e">
        <f>AND(Bills!O996,"AAAAAH+//rs=")</f>
        <v>#VALUE!</v>
      </c>
      <c r="GG230" t="e">
        <f>AND(Bills!P996,"AAAAAH+//rw=")</f>
        <v>#VALUE!</v>
      </c>
      <c r="GH230" t="e">
        <f>AND(Bills!Q996,"AAAAAH+//r0=")</f>
        <v>#VALUE!</v>
      </c>
      <c r="GI230" t="e">
        <f>AND(Bills!R996,"AAAAAH+//r4=")</f>
        <v>#VALUE!</v>
      </c>
      <c r="GJ230" t="e">
        <f>AND(Bills!S996,"AAAAAH+//r8=")</f>
        <v>#VALUE!</v>
      </c>
      <c r="GK230" t="e">
        <f>AND(Bills!T996,"AAAAAH+//sA=")</f>
        <v>#VALUE!</v>
      </c>
      <c r="GL230" t="e">
        <f>AND(Bills!#REF!,"AAAAAH+//sE=")</f>
        <v>#REF!</v>
      </c>
      <c r="GM230" t="e">
        <f>AND(Bills!U996,"AAAAAH+//sI=")</f>
        <v>#VALUE!</v>
      </c>
      <c r="GN230" t="e">
        <f>AND(Bills!V996,"AAAAAH+//sM=")</f>
        <v>#VALUE!</v>
      </c>
      <c r="GO230" t="e">
        <f>AND(Bills!W996,"AAAAAH+//sQ=")</f>
        <v>#VALUE!</v>
      </c>
      <c r="GP230" t="e">
        <f>AND(Bills!#REF!,"AAAAAH+//sU=")</f>
        <v>#REF!</v>
      </c>
      <c r="GQ230" t="e">
        <f>AND(Bills!#REF!,"AAAAAH+//sY=")</f>
        <v>#REF!</v>
      </c>
      <c r="GR230" t="e">
        <f>AND(Bills!Y996,"AAAAAH+//sc=")</f>
        <v>#VALUE!</v>
      </c>
      <c r="GS230" t="e">
        <f>AND(Bills!Z996,"AAAAAH+//sg=")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AND(Bills!AA996,"AAAAAH+//tI=")</f>
        <v>#VALUE!</v>
      </c>
      <c r="HD230" t="e">
        <f>AND(Bills!AB996,"AAAAAH+//tM=")</f>
        <v>#VALUE!</v>
      </c>
      <c r="HE230" t="e">
        <f>AND(Bills!#REF!,"AAAAAH+//tQ=")</f>
        <v>#REF!</v>
      </c>
      <c r="HF230" t="e">
        <f>AND(Bills!#REF!,"AAAAAH+//tU=")</f>
        <v>#REF!</v>
      </c>
      <c r="HG230" t="e">
        <f>AND(Bills!#REF!,"AAAAAH+//tY=")</f>
        <v>#REF!</v>
      </c>
      <c r="HH230" t="e">
        <f>AND(Bills!AC996,"AAAAAH+//tc=")</f>
        <v>#VALUE!</v>
      </c>
      <c r="HI230" t="e">
        <f>AND(Bills!AD996,"AAAAAH+//tg=")</f>
        <v>#VALUE!</v>
      </c>
      <c r="HJ230" t="e">
        <f>AND(Bills!#REF!,"AAAAAH+//tk=")</f>
        <v>#REF!</v>
      </c>
      <c r="HK230">
        <f>IF(Bills!997:997,"AAAAAH+//to=",0)</f>
        <v>0</v>
      </c>
      <c r="HL230" t="e">
        <f>AND(Bills!B997,"AAAAAH+//ts=")</f>
        <v>#VALUE!</v>
      </c>
      <c r="HM230" t="e">
        <f>AND(Bills!#REF!,"AAAAAH+//tw=")</f>
        <v>#REF!</v>
      </c>
      <c r="HN230" t="e">
        <f>AND(Bills!C997,"AAAAAH+//t0=")</f>
        <v>#VALUE!</v>
      </c>
      <c r="HO230" t="e">
        <f>AND(Bills!D997,"AAAAAH+//t4=")</f>
        <v>#VALUE!</v>
      </c>
      <c r="HP230" t="e">
        <f>AND(Bills!E997,"AAAAAH+//t8=")</f>
        <v>#VALUE!</v>
      </c>
      <c r="HQ230" t="e">
        <f>AND(Bills!#REF!,"AAAAAH+//uA=")</f>
        <v>#REF!</v>
      </c>
      <c r="HR230" t="e">
        <f>AND(Bills!#REF!,"AAAAAH+//uE=")</f>
        <v>#REF!</v>
      </c>
      <c r="HS230" t="e">
        <f>AND(Bills!#REF!,"AAAAAH+//uI=")</f>
        <v>#REF!</v>
      </c>
      <c r="HT230" t="e">
        <f>AND(Bills!F997,"AAAAAH+//uM=")</f>
        <v>#VALUE!</v>
      </c>
      <c r="HU230" t="e">
        <f>AND(Bills!#REF!,"AAAAAH+//uQ=")</f>
        <v>#REF!</v>
      </c>
      <c r="HV230" t="e">
        <f>AND(Bills!G997,"AAAAAH+//uU=")</f>
        <v>#VALUE!</v>
      </c>
      <c r="HW230" t="e">
        <f>AND(Bills!H997,"AAAAAH+//uY=")</f>
        <v>#VALUE!</v>
      </c>
      <c r="HX230" t="e">
        <f>AND(Bills!I997,"AAAAAH+//uc=")</f>
        <v>#VALUE!</v>
      </c>
      <c r="HY230" t="e">
        <f>AND(Bills!J997,"AAAAAH+//ug=")</f>
        <v>#VALUE!</v>
      </c>
      <c r="HZ230" t="e">
        <f>AND(Bills!K997,"AAAAAH+//uk=")</f>
        <v>#VALUE!</v>
      </c>
      <c r="IA230" t="e">
        <f>AND(Bills!L997,"AAAAAH+//uo=")</f>
        <v>#VALUE!</v>
      </c>
      <c r="IB230" t="e">
        <f>AND(Bills!#REF!,"AAAAAH+//us=")</f>
        <v>#REF!</v>
      </c>
      <c r="IC230" t="e">
        <f>AND(Bills!M997,"AAAAAH+//uw=")</f>
        <v>#VALUE!</v>
      </c>
      <c r="ID230" t="e">
        <f>AND(Bills!N997,"AAAAAH+//u0=")</f>
        <v>#VALUE!</v>
      </c>
      <c r="IE230" t="e">
        <f>AND(Bills!O997,"AAAAAH+//u4=")</f>
        <v>#VALUE!</v>
      </c>
      <c r="IF230" t="e">
        <f>AND(Bills!P997,"AAAAAH+//u8=")</f>
        <v>#VALUE!</v>
      </c>
      <c r="IG230" t="e">
        <f>AND(Bills!Q997,"AAAAAH+//vA=")</f>
        <v>#VALUE!</v>
      </c>
      <c r="IH230" t="e">
        <f>AND(Bills!R997,"AAAAAH+//vE=")</f>
        <v>#VALUE!</v>
      </c>
      <c r="II230" t="e">
        <f>AND(Bills!S997,"AAAAAH+//vI=")</f>
        <v>#VALUE!</v>
      </c>
      <c r="IJ230" t="e">
        <f>AND(Bills!T997,"AAAAAH+//vM=")</f>
        <v>#VALUE!</v>
      </c>
      <c r="IK230" t="e">
        <f>AND(Bills!#REF!,"AAAAAH+//vQ=")</f>
        <v>#REF!</v>
      </c>
      <c r="IL230" t="e">
        <f>AND(Bills!U997,"AAAAAH+//vU=")</f>
        <v>#VALUE!</v>
      </c>
      <c r="IM230" t="e">
        <f>AND(Bills!V997,"AAAAAH+//vY=")</f>
        <v>#VALUE!</v>
      </c>
      <c r="IN230" t="e">
        <f>AND(Bills!W997,"AAAAAH+//vc=")</f>
        <v>#VALUE!</v>
      </c>
      <c r="IO230" t="e">
        <f>AND(Bills!#REF!,"AAAAAH+//vg=")</f>
        <v>#REF!</v>
      </c>
      <c r="IP230" t="e">
        <f>AND(Bills!#REF!,"AAAAAH+//vk=")</f>
        <v>#REF!</v>
      </c>
      <c r="IQ230" t="e">
        <f>AND(Bills!Y997,"AAAAAH+//vo=")</f>
        <v>#VALUE!</v>
      </c>
      <c r="IR230" t="e">
        <f>AND(Bills!Z997,"AAAAAH+//vs=")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AND(Bills!AA997,"AAAAAHV/9wU=")</f>
        <v>#VALUE!</v>
      </c>
      <c r="G231" t="e">
        <f>AND(Bills!AB997,"AAAAAHV/9wY=")</f>
        <v>#VALUE!</v>
      </c>
      <c r="H231" t="e">
        <f>AND(Bills!#REF!,"AAAAAHV/9wc=")</f>
        <v>#REF!</v>
      </c>
      <c r="I231" t="e">
        <f>AND(Bills!#REF!,"AAAAAHV/9wg=")</f>
        <v>#REF!</v>
      </c>
      <c r="J231" t="e">
        <f>AND(Bills!#REF!,"AAAAAHV/9wk=")</f>
        <v>#REF!</v>
      </c>
      <c r="K231" t="e">
        <f>AND(Bills!AC997,"AAAAAHV/9wo=")</f>
        <v>#VALUE!</v>
      </c>
      <c r="L231" t="e">
        <f>AND(Bills!AD997,"AAAAAHV/9ws=")</f>
        <v>#VALUE!</v>
      </c>
      <c r="M231" t="e">
        <f>AND(Bills!#REF!,"AAAAAHV/9ww=")</f>
        <v>#REF!</v>
      </c>
      <c r="N231">
        <f>IF(Bills!998:998,"AAAAAHV/9w0=",0)</f>
        <v>0</v>
      </c>
      <c r="O231" t="e">
        <f>AND(Bills!B998,"AAAAAHV/9w4=")</f>
        <v>#VALUE!</v>
      </c>
      <c r="P231" t="e">
        <f>AND(Bills!#REF!,"AAAAAHV/9w8=")</f>
        <v>#REF!</v>
      </c>
      <c r="Q231" t="e">
        <f>AND(Bills!C998,"AAAAAHV/9xA=")</f>
        <v>#VALUE!</v>
      </c>
      <c r="R231" t="e">
        <f>AND(Bills!D998,"AAAAAHV/9xE=")</f>
        <v>#VALUE!</v>
      </c>
      <c r="S231" t="e">
        <f>AND(Bills!E998,"AAAAAHV/9xI=")</f>
        <v>#VALUE!</v>
      </c>
      <c r="T231" t="e">
        <f>AND(Bills!#REF!,"AAAAAHV/9xM=")</f>
        <v>#REF!</v>
      </c>
      <c r="U231" t="e">
        <f>AND(Bills!#REF!,"AAAAAHV/9xQ=")</f>
        <v>#REF!</v>
      </c>
      <c r="V231" t="e">
        <f>AND(Bills!#REF!,"AAAAAHV/9xU=")</f>
        <v>#REF!</v>
      </c>
      <c r="W231" t="e">
        <f>AND(Bills!F998,"AAAAAHV/9xY=")</f>
        <v>#VALUE!</v>
      </c>
      <c r="X231" t="e">
        <f>AND(Bills!#REF!,"AAAAAHV/9xc=")</f>
        <v>#REF!</v>
      </c>
      <c r="Y231" t="e">
        <f>AND(Bills!G998,"AAAAAHV/9xg=")</f>
        <v>#VALUE!</v>
      </c>
      <c r="Z231" t="e">
        <f>AND(Bills!H998,"AAAAAHV/9xk=")</f>
        <v>#VALUE!</v>
      </c>
      <c r="AA231" t="e">
        <f>AND(Bills!I998,"AAAAAHV/9xo=")</f>
        <v>#VALUE!</v>
      </c>
      <c r="AB231" t="e">
        <f>AND(Bills!J998,"AAAAAHV/9xs=")</f>
        <v>#VALUE!</v>
      </c>
      <c r="AC231" t="e">
        <f>AND(Bills!K998,"AAAAAHV/9xw=")</f>
        <v>#VALUE!</v>
      </c>
      <c r="AD231" t="e">
        <f>AND(Bills!L998,"AAAAAHV/9x0=")</f>
        <v>#VALUE!</v>
      </c>
      <c r="AE231" t="e">
        <f>AND(Bills!#REF!,"AAAAAHV/9x4=")</f>
        <v>#REF!</v>
      </c>
      <c r="AF231" t="e">
        <f>AND(Bills!M998,"AAAAAHV/9x8=")</f>
        <v>#VALUE!</v>
      </c>
      <c r="AG231" t="e">
        <f>AND(Bills!N998,"AAAAAHV/9yA=")</f>
        <v>#VALUE!</v>
      </c>
      <c r="AH231" t="e">
        <f>AND(Bills!O998,"AAAAAHV/9yE=")</f>
        <v>#VALUE!</v>
      </c>
      <c r="AI231" t="e">
        <f>AND(Bills!P998,"AAAAAHV/9yI=")</f>
        <v>#VALUE!</v>
      </c>
      <c r="AJ231" t="e">
        <f>AND(Bills!Q998,"AAAAAHV/9yM=")</f>
        <v>#VALUE!</v>
      </c>
      <c r="AK231" t="e">
        <f>AND(Bills!R998,"AAAAAHV/9yQ=")</f>
        <v>#VALUE!</v>
      </c>
      <c r="AL231" t="e">
        <f>AND(Bills!S998,"AAAAAHV/9yU=")</f>
        <v>#VALUE!</v>
      </c>
      <c r="AM231" t="e">
        <f>AND(Bills!T998,"AAAAAHV/9yY=")</f>
        <v>#VALUE!</v>
      </c>
      <c r="AN231" t="e">
        <f>AND(Bills!#REF!,"AAAAAHV/9yc=")</f>
        <v>#REF!</v>
      </c>
      <c r="AO231" t="e">
        <f>AND(Bills!U998,"AAAAAHV/9yg=")</f>
        <v>#VALUE!</v>
      </c>
      <c r="AP231" t="e">
        <f>AND(Bills!V998,"AAAAAHV/9yk=")</f>
        <v>#VALUE!</v>
      </c>
      <c r="AQ231" t="e">
        <f>AND(Bills!W998,"AAAAAHV/9yo=")</f>
        <v>#VALUE!</v>
      </c>
      <c r="AR231" t="e">
        <f>AND(Bills!#REF!,"AAAAAHV/9ys=")</f>
        <v>#REF!</v>
      </c>
      <c r="AS231" t="e">
        <f>AND(Bills!#REF!,"AAAAAHV/9yw=")</f>
        <v>#REF!</v>
      </c>
      <c r="AT231" t="e">
        <f>AND(Bills!Y998,"AAAAAHV/9y0=")</f>
        <v>#VALUE!</v>
      </c>
      <c r="AU231" t="e">
        <f>AND(Bills!Z998,"AAAAAHV/9y4=")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AND(Bills!AA998,"AAAAAHV/9zg=")</f>
        <v>#VALUE!</v>
      </c>
      <c r="BF231" t="e">
        <f>AND(Bills!AB998,"AAAAAHV/9zk=")</f>
        <v>#VALUE!</v>
      </c>
      <c r="BG231" t="e">
        <f>AND(Bills!#REF!,"AAAAAHV/9zo=")</f>
        <v>#REF!</v>
      </c>
      <c r="BH231" t="e">
        <f>AND(Bills!#REF!,"AAAAAHV/9zs=")</f>
        <v>#REF!</v>
      </c>
      <c r="BI231" t="e">
        <f>AND(Bills!#REF!,"AAAAAHV/9zw=")</f>
        <v>#REF!</v>
      </c>
      <c r="BJ231" t="e">
        <f>AND(Bills!AC998,"AAAAAHV/9z0=")</f>
        <v>#VALUE!</v>
      </c>
      <c r="BK231" t="e">
        <f>AND(Bills!AD998,"AAAAAHV/9z4=")</f>
        <v>#VALUE!</v>
      </c>
      <c r="BL231" t="e">
        <f>AND(Bills!#REF!,"AAAAAHV/9z8=")</f>
        <v>#REF!</v>
      </c>
      <c r="BM231">
        <f>IF(Bills!999:999,"AAAAAHV/90A=",0)</f>
        <v>0</v>
      </c>
      <c r="BN231" t="e">
        <f>AND(Bills!B999,"AAAAAHV/90E=")</f>
        <v>#VALUE!</v>
      </c>
      <c r="BO231" t="e">
        <f>AND(Bills!#REF!,"AAAAAHV/90I=")</f>
        <v>#REF!</v>
      </c>
      <c r="BP231" t="e">
        <f>AND(Bills!C999,"AAAAAHV/90M=")</f>
        <v>#VALUE!</v>
      </c>
      <c r="BQ231" t="e">
        <f>AND(Bills!D999,"AAAAAHV/90Q=")</f>
        <v>#VALUE!</v>
      </c>
      <c r="BR231" t="e">
        <f>AND(Bills!E999,"AAAAAHV/90U=")</f>
        <v>#VALUE!</v>
      </c>
      <c r="BS231" t="e">
        <f>AND(Bills!#REF!,"AAAAAHV/90Y=")</f>
        <v>#REF!</v>
      </c>
      <c r="BT231" t="e">
        <f>AND(Bills!#REF!,"AAAAAHV/90c=")</f>
        <v>#REF!</v>
      </c>
      <c r="BU231" t="e">
        <f>AND(Bills!#REF!,"AAAAAHV/90g=")</f>
        <v>#REF!</v>
      </c>
      <c r="BV231" t="e">
        <f>AND(Bills!F999,"AAAAAHV/90k=")</f>
        <v>#VALUE!</v>
      </c>
      <c r="BW231" t="e">
        <f>AND(Bills!#REF!,"AAAAAHV/90o=")</f>
        <v>#REF!</v>
      </c>
      <c r="BX231" t="e">
        <f>AND(Bills!G999,"AAAAAHV/90s=")</f>
        <v>#VALUE!</v>
      </c>
      <c r="BY231" t="e">
        <f>AND(Bills!H999,"AAAAAHV/90w=")</f>
        <v>#VALUE!</v>
      </c>
      <c r="BZ231" t="e">
        <f>AND(Bills!I999,"AAAAAHV/900=")</f>
        <v>#VALUE!</v>
      </c>
      <c r="CA231" t="e">
        <f>AND(Bills!J999,"AAAAAHV/904=")</f>
        <v>#VALUE!</v>
      </c>
      <c r="CB231" t="e">
        <f>AND(Bills!K999,"AAAAAHV/908=")</f>
        <v>#VALUE!</v>
      </c>
      <c r="CC231" t="e">
        <f>AND(Bills!L999,"AAAAAHV/91A=")</f>
        <v>#VALUE!</v>
      </c>
      <c r="CD231" t="e">
        <f>AND(Bills!#REF!,"AAAAAHV/91E=")</f>
        <v>#REF!</v>
      </c>
      <c r="CE231" t="e">
        <f>AND(Bills!M999,"AAAAAHV/91I=")</f>
        <v>#VALUE!</v>
      </c>
      <c r="CF231" t="e">
        <f>AND(Bills!N999,"AAAAAHV/91M=")</f>
        <v>#VALUE!</v>
      </c>
      <c r="CG231" t="e">
        <f>AND(Bills!O999,"AAAAAHV/91Q=")</f>
        <v>#VALUE!</v>
      </c>
      <c r="CH231" t="e">
        <f>AND(Bills!P999,"AAAAAHV/91U=")</f>
        <v>#VALUE!</v>
      </c>
      <c r="CI231" t="e">
        <f>AND(Bills!Q999,"AAAAAHV/91Y=")</f>
        <v>#VALUE!</v>
      </c>
      <c r="CJ231" t="e">
        <f>AND(Bills!R999,"AAAAAHV/91c=")</f>
        <v>#VALUE!</v>
      </c>
      <c r="CK231" t="e">
        <f>AND(Bills!S999,"AAAAAHV/91g=")</f>
        <v>#VALUE!</v>
      </c>
      <c r="CL231" t="e">
        <f>AND(Bills!T999,"AAAAAHV/91k=")</f>
        <v>#VALUE!</v>
      </c>
      <c r="CM231" t="e">
        <f>AND(Bills!#REF!,"AAAAAHV/91o=")</f>
        <v>#REF!</v>
      </c>
      <c r="CN231" t="e">
        <f>AND(Bills!U999,"AAAAAHV/91s=")</f>
        <v>#VALUE!</v>
      </c>
      <c r="CO231" t="e">
        <f>AND(Bills!V999,"AAAAAHV/91w=")</f>
        <v>#VALUE!</v>
      </c>
      <c r="CP231" t="e">
        <f>AND(Bills!W999,"AAAAAHV/910=")</f>
        <v>#VALUE!</v>
      </c>
      <c r="CQ231" t="e">
        <f>AND(Bills!#REF!,"AAAAAHV/914=")</f>
        <v>#REF!</v>
      </c>
      <c r="CR231" t="e">
        <f>AND(Bills!#REF!,"AAAAAHV/918=")</f>
        <v>#REF!</v>
      </c>
      <c r="CS231" t="e">
        <f>AND(Bills!Y999,"AAAAAHV/92A=")</f>
        <v>#VALUE!</v>
      </c>
      <c r="CT231" t="e">
        <f>AND(Bills!Z999,"AAAAAHV/92E=")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AND(Bills!AA999,"AAAAAHV/92s=")</f>
        <v>#VALUE!</v>
      </c>
      <c r="DE231" t="e">
        <f>AND(Bills!AB999,"AAAAAHV/92w=")</f>
        <v>#VALUE!</v>
      </c>
      <c r="DF231" t="e">
        <f>AND(Bills!#REF!,"AAAAAHV/920=")</f>
        <v>#REF!</v>
      </c>
      <c r="DG231" t="e">
        <f>AND(Bills!#REF!,"AAAAAHV/924=")</f>
        <v>#REF!</v>
      </c>
      <c r="DH231" t="e">
        <f>AND(Bills!#REF!,"AAAAAHV/928=")</f>
        <v>#REF!</v>
      </c>
      <c r="DI231" t="e">
        <f>AND(Bills!AC999,"AAAAAHV/93A=")</f>
        <v>#VALUE!</v>
      </c>
      <c r="DJ231" t="e">
        <f>AND(Bills!AD999,"AAAAAHV/93E=")</f>
        <v>#VALUE!</v>
      </c>
      <c r="DK231" t="e">
        <f>AND(Bills!#REF!,"AAAAAHV/93I=")</f>
        <v>#REF!</v>
      </c>
      <c r="DL231">
        <f>IF(Bills!1000:1000,"AAAAAHV/93M=",0)</f>
        <v>0</v>
      </c>
      <c r="DM231" t="e">
        <f>AND(Bills!B1000,"AAAAAHV/93Q=")</f>
        <v>#VALUE!</v>
      </c>
      <c r="DN231" t="e">
        <f>AND(Bills!#REF!,"AAAAAHV/93U=")</f>
        <v>#REF!</v>
      </c>
      <c r="DO231" t="e">
        <f>AND(Bills!C1000,"AAAAAHV/93Y=")</f>
        <v>#VALUE!</v>
      </c>
      <c r="DP231" t="e">
        <f>AND(Bills!D1000,"AAAAAHV/93c=")</f>
        <v>#VALUE!</v>
      </c>
      <c r="DQ231" t="e">
        <f>AND(Bills!E1000,"AAAAAHV/93g=")</f>
        <v>#VALUE!</v>
      </c>
      <c r="DR231" t="e">
        <f>AND(Bills!#REF!,"AAAAAHV/93k=")</f>
        <v>#REF!</v>
      </c>
      <c r="DS231" t="e">
        <f>AND(Bills!#REF!,"AAAAAHV/93o=")</f>
        <v>#REF!</v>
      </c>
      <c r="DT231" t="e">
        <f>AND(Bills!#REF!,"AAAAAHV/93s=")</f>
        <v>#REF!</v>
      </c>
      <c r="DU231" t="e">
        <f>AND(Bills!F1000,"AAAAAHV/93w=")</f>
        <v>#VALUE!</v>
      </c>
      <c r="DV231" t="e">
        <f>AND(Bills!#REF!,"AAAAAHV/930=")</f>
        <v>#REF!</v>
      </c>
      <c r="DW231" t="e">
        <f>AND(Bills!G1000,"AAAAAHV/934=")</f>
        <v>#VALUE!</v>
      </c>
      <c r="DX231" t="e">
        <f>AND(Bills!H1000,"AAAAAHV/938=")</f>
        <v>#VALUE!</v>
      </c>
      <c r="DY231" t="e">
        <f>AND(Bills!I1000,"AAAAAHV/94A=")</f>
        <v>#VALUE!</v>
      </c>
      <c r="DZ231" t="e">
        <f>AND(Bills!J1000,"AAAAAHV/94E=")</f>
        <v>#VALUE!</v>
      </c>
      <c r="EA231" t="e">
        <f>AND(Bills!K1000,"AAAAAHV/94I=")</f>
        <v>#VALUE!</v>
      </c>
      <c r="EB231" t="e">
        <f>AND(Bills!L1000,"AAAAAHV/94M=")</f>
        <v>#VALUE!</v>
      </c>
      <c r="EC231" t="e">
        <f>AND(Bills!#REF!,"AAAAAHV/94Q=")</f>
        <v>#REF!</v>
      </c>
      <c r="ED231" t="e">
        <f>AND(Bills!M1000,"AAAAAHV/94U=")</f>
        <v>#VALUE!</v>
      </c>
      <c r="EE231" t="e">
        <f>AND(Bills!N1000,"AAAAAHV/94Y=")</f>
        <v>#VALUE!</v>
      </c>
      <c r="EF231" t="e">
        <f>AND(Bills!O1000,"AAAAAHV/94c=")</f>
        <v>#VALUE!</v>
      </c>
      <c r="EG231" t="e">
        <f>AND(Bills!P1000,"AAAAAHV/94g=")</f>
        <v>#VALUE!</v>
      </c>
      <c r="EH231" t="e">
        <f>AND(Bills!Q1000,"AAAAAHV/94k=")</f>
        <v>#VALUE!</v>
      </c>
      <c r="EI231" t="e">
        <f>AND(Bills!R1000,"AAAAAHV/94o=")</f>
        <v>#VALUE!</v>
      </c>
      <c r="EJ231" t="e">
        <f>AND(Bills!S1000,"AAAAAHV/94s=")</f>
        <v>#VALUE!</v>
      </c>
      <c r="EK231" t="e">
        <f>AND(Bills!T1000,"AAAAAHV/94w=")</f>
        <v>#VALUE!</v>
      </c>
      <c r="EL231" t="e">
        <f>AND(Bills!#REF!,"AAAAAHV/940=")</f>
        <v>#REF!</v>
      </c>
      <c r="EM231" t="e">
        <f>AND(Bills!U1000,"AAAAAHV/944=")</f>
        <v>#VALUE!</v>
      </c>
      <c r="EN231" t="e">
        <f>AND(Bills!V1000,"AAAAAHV/948=")</f>
        <v>#VALUE!</v>
      </c>
      <c r="EO231" t="e">
        <f>AND(Bills!W1000,"AAAAAHV/95A=")</f>
        <v>#VALUE!</v>
      </c>
      <c r="EP231" t="e">
        <f>AND(Bills!#REF!,"AAAAAHV/95E=")</f>
        <v>#REF!</v>
      </c>
      <c r="EQ231" t="e">
        <f>AND(Bills!#REF!,"AAAAAHV/95I=")</f>
        <v>#REF!</v>
      </c>
      <c r="ER231" t="e">
        <f>AND(Bills!Y1000,"AAAAAHV/95M=")</f>
        <v>#VALUE!</v>
      </c>
      <c r="ES231" t="e">
        <f>AND(Bills!Z1000,"AAAAAHV/95Q=")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AND(Bills!AA1000,"AAAAAHV/954=")</f>
        <v>#VALUE!</v>
      </c>
      <c r="FD231" t="e">
        <f>AND(Bills!AB1000,"AAAAAHV/958=")</f>
        <v>#VALUE!</v>
      </c>
      <c r="FE231" t="e">
        <f>AND(Bills!#REF!,"AAAAAHV/96A=")</f>
        <v>#REF!</v>
      </c>
      <c r="FF231" t="e">
        <f>AND(Bills!#REF!,"AAAAAHV/96E=")</f>
        <v>#REF!</v>
      </c>
      <c r="FG231" t="e">
        <f>AND(Bills!#REF!,"AAAAAHV/96I=")</f>
        <v>#REF!</v>
      </c>
      <c r="FH231" t="e">
        <f>AND(Bills!AC1000,"AAAAAHV/96M=")</f>
        <v>#VALUE!</v>
      </c>
      <c r="FI231" t="e">
        <f>AND(Bills!AD1000,"AAAAAHV/96Q=")</f>
        <v>#VALUE!</v>
      </c>
      <c r="FJ231" t="e">
        <f>AND(Bills!#REF!,"AAAAAHV/96U=")</f>
        <v>#REF!</v>
      </c>
      <c r="FK231">
        <f>IF(Bills!1001:1001,"AAAAAHV/96Y=",0)</f>
        <v>0</v>
      </c>
      <c r="FL231" t="e">
        <f>AND(Bills!B1001,"AAAAAHV/96c=")</f>
        <v>#VALUE!</v>
      </c>
      <c r="FM231" t="e">
        <f>AND(Bills!#REF!,"AAAAAHV/96g=")</f>
        <v>#REF!</v>
      </c>
      <c r="FN231" t="e">
        <f>AND(Bills!C1001,"AAAAAHV/96k=")</f>
        <v>#VALUE!</v>
      </c>
      <c r="FO231" t="e">
        <f>AND(Bills!D1001,"AAAAAHV/96o=")</f>
        <v>#VALUE!</v>
      </c>
      <c r="FP231" t="e">
        <f>AND(Bills!E1001,"AAAAAHV/96s=")</f>
        <v>#VALUE!</v>
      </c>
      <c r="FQ231" t="e">
        <f>AND(Bills!#REF!,"AAAAAHV/96w=")</f>
        <v>#REF!</v>
      </c>
      <c r="FR231" t="e">
        <f>AND(Bills!#REF!,"AAAAAHV/960=")</f>
        <v>#REF!</v>
      </c>
      <c r="FS231" t="e">
        <f>AND(Bills!#REF!,"AAAAAHV/964=")</f>
        <v>#REF!</v>
      </c>
      <c r="FT231" t="e">
        <f>AND(Bills!F1001,"AAAAAHV/968=")</f>
        <v>#VALUE!</v>
      </c>
      <c r="FU231" t="e">
        <f>AND(Bills!#REF!,"AAAAAHV/97A=")</f>
        <v>#REF!</v>
      </c>
      <c r="FV231" t="e">
        <f>AND(Bills!G1001,"AAAAAHV/97E=")</f>
        <v>#VALUE!</v>
      </c>
      <c r="FW231" t="e">
        <f>AND(Bills!H1001,"AAAAAHV/97I=")</f>
        <v>#VALUE!</v>
      </c>
      <c r="FX231" t="e">
        <f>AND(Bills!I1001,"AAAAAHV/97M=")</f>
        <v>#VALUE!</v>
      </c>
      <c r="FY231" t="e">
        <f>AND(Bills!J1001,"AAAAAHV/97Q=")</f>
        <v>#VALUE!</v>
      </c>
      <c r="FZ231" t="e">
        <f>AND(Bills!K1001,"AAAAAHV/97U=")</f>
        <v>#VALUE!</v>
      </c>
      <c r="GA231" t="e">
        <f>AND(Bills!L1001,"AAAAAHV/97Y=")</f>
        <v>#VALUE!</v>
      </c>
      <c r="GB231" t="e">
        <f>AND(Bills!#REF!,"AAAAAHV/97c=")</f>
        <v>#REF!</v>
      </c>
      <c r="GC231" t="e">
        <f>AND(Bills!M1001,"AAAAAHV/97g=")</f>
        <v>#VALUE!</v>
      </c>
      <c r="GD231" t="e">
        <f>AND(Bills!N1001,"AAAAAHV/97k=")</f>
        <v>#VALUE!</v>
      </c>
      <c r="GE231" t="e">
        <f>AND(Bills!O1001,"AAAAAHV/97o=")</f>
        <v>#VALUE!</v>
      </c>
      <c r="GF231" t="e">
        <f>AND(Bills!P1001,"AAAAAHV/97s=")</f>
        <v>#VALUE!</v>
      </c>
      <c r="GG231" t="e">
        <f>AND(Bills!Q1001,"AAAAAHV/97w=")</f>
        <v>#VALUE!</v>
      </c>
      <c r="GH231" t="e">
        <f>AND(Bills!R1001,"AAAAAHV/970=")</f>
        <v>#VALUE!</v>
      </c>
      <c r="GI231" t="e">
        <f>AND(Bills!S1001,"AAAAAHV/974=")</f>
        <v>#VALUE!</v>
      </c>
      <c r="GJ231" t="e">
        <f>AND(Bills!T1001,"AAAAAHV/978=")</f>
        <v>#VALUE!</v>
      </c>
      <c r="GK231" t="e">
        <f>AND(Bills!#REF!,"AAAAAHV/98A=")</f>
        <v>#REF!</v>
      </c>
      <c r="GL231" t="e">
        <f>AND(Bills!U1001,"AAAAAHV/98E=")</f>
        <v>#VALUE!</v>
      </c>
      <c r="GM231" t="e">
        <f>AND(Bills!V1001,"AAAAAHV/98I=")</f>
        <v>#VALUE!</v>
      </c>
      <c r="GN231" t="e">
        <f>AND(Bills!W1001,"AAAAAHV/98M=")</f>
        <v>#VALUE!</v>
      </c>
      <c r="GO231" t="e">
        <f>AND(Bills!#REF!,"AAAAAHV/98Q=")</f>
        <v>#REF!</v>
      </c>
      <c r="GP231" t="e">
        <f>AND(Bills!#REF!,"AAAAAHV/98U=")</f>
        <v>#REF!</v>
      </c>
      <c r="GQ231" t="e">
        <f>AND(Bills!Y1001,"AAAAAHV/98Y=")</f>
        <v>#VALUE!</v>
      </c>
      <c r="GR231" t="e">
        <f>AND(Bills!Z1001,"AAAAAHV/98c=")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AND(Bills!AA1001,"AAAAAHV/99E=")</f>
        <v>#VALUE!</v>
      </c>
      <c r="HC231" t="e">
        <f>AND(Bills!AB1001,"AAAAAHV/99I=")</f>
        <v>#VALUE!</v>
      </c>
      <c r="HD231" t="e">
        <f>AND(Bills!#REF!,"AAAAAHV/99M=")</f>
        <v>#REF!</v>
      </c>
      <c r="HE231" t="e">
        <f>AND(Bills!#REF!,"AAAAAHV/99Q=")</f>
        <v>#REF!</v>
      </c>
      <c r="HF231" t="e">
        <f>AND(Bills!#REF!,"AAAAAHV/99U=")</f>
        <v>#REF!</v>
      </c>
      <c r="HG231" t="e">
        <f>AND(Bills!AC1001,"AAAAAHV/99Y=")</f>
        <v>#VALUE!</v>
      </c>
      <c r="HH231" t="e">
        <f>AND(Bills!AD1001,"AAAAAHV/99c=")</f>
        <v>#VALUE!</v>
      </c>
      <c r="HI231" t="e">
        <f>AND(Bills!#REF!,"AAAAAHV/99g=")</f>
        <v>#REF!</v>
      </c>
      <c r="HJ231">
        <f>IF(Bills!1002:1002,"AAAAAHV/99k=",0)</f>
        <v>0</v>
      </c>
      <c r="HK231" t="e">
        <f>AND(Bills!B1002,"AAAAAHV/99o=")</f>
        <v>#VALUE!</v>
      </c>
      <c r="HL231" t="e">
        <f>AND(Bills!#REF!,"AAAAAHV/99s=")</f>
        <v>#REF!</v>
      </c>
      <c r="HM231" t="e">
        <f>AND(Bills!C1002,"AAAAAHV/99w=")</f>
        <v>#VALUE!</v>
      </c>
      <c r="HN231" t="e">
        <f>AND(Bills!D1002,"AAAAAHV/990=")</f>
        <v>#VALUE!</v>
      </c>
      <c r="HO231" t="e">
        <f>AND(Bills!E1002,"AAAAAHV/994=")</f>
        <v>#VALUE!</v>
      </c>
      <c r="HP231" t="e">
        <f>AND(Bills!#REF!,"AAAAAHV/998=")</f>
        <v>#REF!</v>
      </c>
      <c r="HQ231" t="e">
        <f>AND(Bills!#REF!,"AAAAAHV/9+A=")</f>
        <v>#REF!</v>
      </c>
      <c r="HR231" t="e">
        <f>AND(Bills!#REF!,"AAAAAHV/9+E=")</f>
        <v>#REF!</v>
      </c>
      <c r="HS231" t="e">
        <f>AND(Bills!F1002,"AAAAAHV/9+I=")</f>
        <v>#VALUE!</v>
      </c>
      <c r="HT231" t="e">
        <f>AND(Bills!#REF!,"AAAAAHV/9+M=")</f>
        <v>#REF!</v>
      </c>
      <c r="HU231" t="e">
        <f>AND(Bills!G1002,"AAAAAHV/9+Q=")</f>
        <v>#VALUE!</v>
      </c>
      <c r="HV231" t="e">
        <f>AND(Bills!H1002,"AAAAAHV/9+U=")</f>
        <v>#VALUE!</v>
      </c>
      <c r="HW231" t="e">
        <f>AND(Bills!I1002,"AAAAAHV/9+Y=")</f>
        <v>#VALUE!</v>
      </c>
      <c r="HX231" t="e">
        <f>AND(Bills!J1002,"AAAAAHV/9+c=")</f>
        <v>#VALUE!</v>
      </c>
      <c r="HY231" t="e">
        <f>AND(Bills!K1002,"AAAAAHV/9+g=")</f>
        <v>#VALUE!</v>
      </c>
      <c r="HZ231" t="e">
        <f>AND(Bills!L1002,"AAAAAHV/9+k=")</f>
        <v>#VALUE!</v>
      </c>
      <c r="IA231" t="e">
        <f>AND(Bills!#REF!,"AAAAAHV/9+o=")</f>
        <v>#REF!</v>
      </c>
      <c r="IB231" t="e">
        <f>AND(Bills!M1002,"AAAAAHV/9+s=")</f>
        <v>#VALUE!</v>
      </c>
      <c r="IC231" t="e">
        <f>AND(Bills!N1002,"AAAAAHV/9+w=")</f>
        <v>#VALUE!</v>
      </c>
      <c r="ID231" t="e">
        <f>AND(Bills!O1002,"AAAAAHV/9+0=")</f>
        <v>#VALUE!</v>
      </c>
      <c r="IE231" t="e">
        <f>AND(Bills!P1002,"AAAAAHV/9+4=")</f>
        <v>#VALUE!</v>
      </c>
      <c r="IF231" t="e">
        <f>AND(Bills!Q1002,"AAAAAHV/9+8=")</f>
        <v>#VALUE!</v>
      </c>
      <c r="IG231" t="e">
        <f>AND(Bills!R1002,"AAAAAHV/9/A=")</f>
        <v>#VALUE!</v>
      </c>
      <c r="IH231" t="e">
        <f>AND(Bills!S1002,"AAAAAHV/9/E=")</f>
        <v>#VALUE!</v>
      </c>
      <c r="II231" t="e">
        <f>AND(Bills!T1002,"AAAAAHV/9/I=")</f>
        <v>#VALUE!</v>
      </c>
      <c r="IJ231" t="e">
        <f>AND(Bills!#REF!,"AAAAAHV/9/M=")</f>
        <v>#REF!</v>
      </c>
      <c r="IK231" t="e">
        <f>AND(Bills!U1002,"AAAAAHV/9/Q=")</f>
        <v>#VALUE!</v>
      </c>
      <c r="IL231" t="e">
        <f>AND(Bills!V1002,"AAAAAHV/9/U=")</f>
        <v>#VALUE!</v>
      </c>
      <c r="IM231" t="e">
        <f>AND(Bills!W1002,"AAAAAHV/9/Y=")</f>
        <v>#VALUE!</v>
      </c>
      <c r="IN231" t="e">
        <f>AND(Bills!#REF!,"AAAAAHV/9/c=")</f>
        <v>#REF!</v>
      </c>
      <c r="IO231" t="e">
        <f>AND(Bills!#REF!,"AAAAAHV/9/g=")</f>
        <v>#REF!</v>
      </c>
      <c r="IP231" t="e">
        <f>AND(Bills!Y1002,"AAAAAHV/9/k=")</f>
        <v>#VALUE!</v>
      </c>
      <c r="IQ231" t="e">
        <f>AND(Bills!Z1002,"AAAAAHV/9/o=")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AND(Bills!AA1002,"AAAAAH0X/AQ=")</f>
        <v>#VALUE!</v>
      </c>
      <c r="F232" t="e">
        <f>AND(Bills!AB1002,"AAAAAH0X/AU=")</f>
        <v>#VALUE!</v>
      </c>
      <c r="G232" t="e">
        <f>AND(Bills!#REF!,"AAAAAH0X/AY=")</f>
        <v>#REF!</v>
      </c>
      <c r="H232" t="e">
        <f>AND(Bills!#REF!,"AAAAAH0X/Ac=")</f>
        <v>#REF!</v>
      </c>
      <c r="I232" t="e">
        <f>AND(Bills!#REF!,"AAAAAH0X/Ag=")</f>
        <v>#REF!</v>
      </c>
      <c r="J232" t="e">
        <f>AND(Bills!AC1002,"AAAAAH0X/Ak=")</f>
        <v>#VALUE!</v>
      </c>
      <c r="K232" t="e">
        <f>AND(Bills!AD1002,"AAAAAH0X/Ao=")</f>
        <v>#VALUE!</v>
      </c>
      <c r="L232" t="e">
        <f>AND(Bills!#REF!,"AAAAAH0X/As=")</f>
        <v>#REF!</v>
      </c>
      <c r="M232">
        <f>IF(Bills!1003:1003,"AAAAAH0X/Aw=",0)</f>
        <v>0</v>
      </c>
      <c r="N232" t="e">
        <f>AND(Bills!B1003,"AAAAAH0X/A0=")</f>
        <v>#VALUE!</v>
      </c>
      <c r="O232" t="e">
        <f>AND(Bills!#REF!,"AAAAAH0X/A4=")</f>
        <v>#REF!</v>
      </c>
      <c r="P232" t="e">
        <f>AND(Bills!C1003,"AAAAAH0X/A8=")</f>
        <v>#VALUE!</v>
      </c>
      <c r="Q232" t="e">
        <f>AND(Bills!D1003,"AAAAAH0X/BA=")</f>
        <v>#VALUE!</v>
      </c>
      <c r="R232" t="e">
        <f>AND(Bills!E1003,"AAAAAH0X/BE=")</f>
        <v>#VALUE!</v>
      </c>
      <c r="S232" t="e">
        <f>AND(Bills!#REF!,"AAAAAH0X/BI=")</f>
        <v>#REF!</v>
      </c>
      <c r="T232" t="e">
        <f>AND(Bills!#REF!,"AAAAAH0X/BM=")</f>
        <v>#REF!</v>
      </c>
      <c r="U232" t="e">
        <f>AND(Bills!#REF!,"AAAAAH0X/BQ=")</f>
        <v>#REF!</v>
      </c>
      <c r="V232" t="e">
        <f>AND(Bills!F1003,"AAAAAH0X/BU=")</f>
        <v>#VALUE!</v>
      </c>
      <c r="W232" t="e">
        <f>AND(Bills!#REF!,"AAAAAH0X/BY=")</f>
        <v>#REF!</v>
      </c>
      <c r="X232" t="e">
        <f>AND(Bills!G1003,"AAAAAH0X/Bc=")</f>
        <v>#VALUE!</v>
      </c>
      <c r="Y232" t="e">
        <f>AND(Bills!H1003,"AAAAAH0X/Bg=")</f>
        <v>#VALUE!</v>
      </c>
      <c r="Z232" t="e">
        <f>AND(Bills!I1003,"AAAAAH0X/Bk=")</f>
        <v>#VALUE!</v>
      </c>
      <c r="AA232" t="e">
        <f>AND(Bills!J1003,"AAAAAH0X/Bo=")</f>
        <v>#VALUE!</v>
      </c>
      <c r="AB232" t="e">
        <f>AND(Bills!K1003,"AAAAAH0X/Bs=")</f>
        <v>#VALUE!</v>
      </c>
      <c r="AC232" t="e">
        <f>AND(Bills!L1003,"AAAAAH0X/Bw=")</f>
        <v>#VALUE!</v>
      </c>
      <c r="AD232" t="e">
        <f>AND(Bills!#REF!,"AAAAAH0X/B0=")</f>
        <v>#REF!</v>
      </c>
      <c r="AE232" t="e">
        <f>AND(Bills!M1003,"AAAAAH0X/B4=")</f>
        <v>#VALUE!</v>
      </c>
      <c r="AF232" t="e">
        <f>AND(Bills!N1003,"AAAAAH0X/B8=")</f>
        <v>#VALUE!</v>
      </c>
      <c r="AG232" t="e">
        <f>AND(Bills!O1003,"AAAAAH0X/CA=")</f>
        <v>#VALUE!</v>
      </c>
      <c r="AH232" t="e">
        <f>AND(Bills!P1003,"AAAAAH0X/CE=")</f>
        <v>#VALUE!</v>
      </c>
      <c r="AI232" t="e">
        <f>AND(Bills!Q1003,"AAAAAH0X/CI=")</f>
        <v>#VALUE!</v>
      </c>
      <c r="AJ232" t="e">
        <f>AND(Bills!R1003,"AAAAAH0X/CM=")</f>
        <v>#VALUE!</v>
      </c>
      <c r="AK232" t="e">
        <f>AND(Bills!S1003,"AAAAAH0X/CQ=")</f>
        <v>#VALUE!</v>
      </c>
      <c r="AL232" t="e">
        <f>AND(Bills!T1003,"AAAAAH0X/CU=")</f>
        <v>#VALUE!</v>
      </c>
      <c r="AM232" t="e">
        <f>AND(Bills!#REF!,"AAAAAH0X/CY=")</f>
        <v>#REF!</v>
      </c>
      <c r="AN232" t="e">
        <f>AND(Bills!U1003,"AAAAAH0X/Cc=")</f>
        <v>#VALUE!</v>
      </c>
      <c r="AO232" t="e">
        <f>AND(Bills!V1003,"AAAAAH0X/Cg=")</f>
        <v>#VALUE!</v>
      </c>
      <c r="AP232" t="e">
        <f>AND(Bills!W1003,"AAAAAH0X/Ck=")</f>
        <v>#VALUE!</v>
      </c>
      <c r="AQ232" t="e">
        <f>AND(Bills!#REF!,"AAAAAH0X/Co=")</f>
        <v>#REF!</v>
      </c>
      <c r="AR232" t="e">
        <f>AND(Bills!#REF!,"AAAAAH0X/Cs=")</f>
        <v>#REF!</v>
      </c>
      <c r="AS232" t="e">
        <f>AND(Bills!Y1003,"AAAAAH0X/Cw=")</f>
        <v>#VALUE!</v>
      </c>
      <c r="AT232" t="e">
        <f>AND(Bills!Z1003,"AAAAAH0X/C0=")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AND(Bills!AA1003,"AAAAAH0X/Dc=")</f>
        <v>#VALUE!</v>
      </c>
      <c r="BE232" t="e">
        <f>AND(Bills!AB1003,"AAAAAH0X/Dg=")</f>
        <v>#VALUE!</v>
      </c>
      <c r="BF232" t="e">
        <f>AND(Bills!#REF!,"AAAAAH0X/Dk=")</f>
        <v>#REF!</v>
      </c>
      <c r="BG232" t="e">
        <f>AND(Bills!#REF!,"AAAAAH0X/Do=")</f>
        <v>#REF!</v>
      </c>
      <c r="BH232" t="e">
        <f>AND(Bills!#REF!,"AAAAAH0X/Ds=")</f>
        <v>#REF!</v>
      </c>
      <c r="BI232" t="e">
        <f>AND(Bills!AC1003,"AAAAAH0X/Dw=")</f>
        <v>#VALUE!</v>
      </c>
      <c r="BJ232" t="e">
        <f>AND(Bills!AD1003,"AAAAAH0X/D0=")</f>
        <v>#VALUE!</v>
      </c>
      <c r="BK232" t="e">
        <f>AND(Bills!#REF!,"AAAAAH0X/D4=")</f>
        <v>#REF!</v>
      </c>
      <c r="BL232">
        <f>IF(Bills!1004:1004,"AAAAAH0X/D8=",0)</f>
        <v>0</v>
      </c>
      <c r="BM232" t="e">
        <f>AND(Bills!B1004,"AAAAAH0X/EA=")</f>
        <v>#VALUE!</v>
      </c>
      <c r="BN232" t="e">
        <f>AND(Bills!#REF!,"AAAAAH0X/EE=")</f>
        <v>#REF!</v>
      </c>
      <c r="BO232" t="e">
        <f>AND(Bills!C1004,"AAAAAH0X/EI=")</f>
        <v>#VALUE!</v>
      </c>
      <c r="BP232" t="e">
        <f>AND(Bills!D1004,"AAAAAH0X/EM=")</f>
        <v>#VALUE!</v>
      </c>
      <c r="BQ232" t="e">
        <f>AND(Bills!E1004,"AAAAAH0X/EQ=")</f>
        <v>#VALUE!</v>
      </c>
      <c r="BR232" t="e">
        <f>AND(Bills!#REF!,"AAAAAH0X/EU=")</f>
        <v>#REF!</v>
      </c>
      <c r="BS232" t="e">
        <f>AND(Bills!#REF!,"AAAAAH0X/EY=")</f>
        <v>#REF!</v>
      </c>
      <c r="BT232" t="e">
        <f>AND(Bills!#REF!,"AAAAAH0X/Ec=")</f>
        <v>#REF!</v>
      </c>
      <c r="BU232" t="e">
        <f>AND(Bills!F1004,"AAAAAH0X/Eg=")</f>
        <v>#VALUE!</v>
      </c>
      <c r="BV232" t="e">
        <f>AND(Bills!#REF!,"AAAAAH0X/Ek=")</f>
        <v>#REF!</v>
      </c>
      <c r="BW232" t="e">
        <f>AND(Bills!G1004,"AAAAAH0X/Eo=")</f>
        <v>#VALUE!</v>
      </c>
      <c r="BX232" t="e">
        <f>AND(Bills!H1004,"AAAAAH0X/Es=")</f>
        <v>#VALUE!</v>
      </c>
      <c r="BY232" t="e">
        <f>AND(Bills!I1004,"AAAAAH0X/Ew=")</f>
        <v>#VALUE!</v>
      </c>
      <c r="BZ232" t="e">
        <f>AND(Bills!J1004,"AAAAAH0X/E0=")</f>
        <v>#VALUE!</v>
      </c>
      <c r="CA232" t="e">
        <f>AND(Bills!K1004,"AAAAAH0X/E4=")</f>
        <v>#VALUE!</v>
      </c>
      <c r="CB232" t="e">
        <f>AND(Bills!L1004,"AAAAAH0X/E8=")</f>
        <v>#VALUE!</v>
      </c>
      <c r="CC232" t="e">
        <f>AND(Bills!#REF!,"AAAAAH0X/FA=")</f>
        <v>#REF!</v>
      </c>
      <c r="CD232" t="e">
        <f>AND(Bills!M1004,"AAAAAH0X/FE=")</f>
        <v>#VALUE!</v>
      </c>
      <c r="CE232" t="e">
        <f>AND(Bills!N1004,"AAAAAH0X/FI=")</f>
        <v>#VALUE!</v>
      </c>
      <c r="CF232" t="e">
        <f>AND(Bills!O1004,"AAAAAH0X/FM=")</f>
        <v>#VALUE!</v>
      </c>
      <c r="CG232" t="e">
        <f>AND(Bills!P1004,"AAAAAH0X/FQ=")</f>
        <v>#VALUE!</v>
      </c>
      <c r="CH232" t="e">
        <f>AND(Bills!Q1004,"AAAAAH0X/FU=")</f>
        <v>#VALUE!</v>
      </c>
      <c r="CI232" t="e">
        <f>AND(Bills!R1004,"AAAAAH0X/FY=")</f>
        <v>#VALUE!</v>
      </c>
      <c r="CJ232" t="e">
        <f>AND(Bills!S1004,"AAAAAH0X/Fc=")</f>
        <v>#VALUE!</v>
      </c>
      <c r="CK232" t="e">
        <f>AND(Bills!T1004,"AAAAAH0X/Fg=")</f>
        <v>#VALUE!</v>
      </c>
      <c r="CL232" t="e">
        <f>AND(Bills!#REF!,"AAAAAH0X/Fk=")</f>
        <v>#REF!</v>
      </c>
      <c r="CM232" t="e">
        <f>AND(Bills!U1004,"AAAAAH0X/Fo=")</f>
        <v>#VALUE!</v>
      </c>
      <c r="CN232" t="e">
        <f>AND(Bills!V1004,"AAAAAH0X/Fs=")</f>
        <v>#VALUE!</v>
      </c>
      <c r="CO232" t="e">
        <f>AND(Bills!W1004,"AAAAAH0X/Fw=")</f>
        <v>#VALUE!</v>
      </c>
      <c r="CP232" t="e">
        <f>AND(Bills!#REF!,"AAAAAH0X/F0=")</f>
        <v>#REF!</v>
      </c>
      <c r="CQ232" t="e">
        <f>AND(Bills!#REF!,"AAAAAH0X/F4=")</f>
        <v>#REF!</v>
      </c>
      <c r="CR232" t="e">
        <f>AND(Bills!Y1004,"AAAAAH0X/F8=")</f>
        <v>#VALUE!</v>
      </c>
      <c r="CS232" t="e">
        <f>AND(Bills!Z1004,"AAAAAH0X/GA=")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AND(Bills!AA1004,"AAAAAH0X/Go=")</f>
        <v>#VALUE!</v>
      </c>
      <c r="DD232" t="e">
        <f>AND(Bills!AB1004,"AAAAAH0X/Gs=")</f>
        <v>#VALUE!</v>
      </c>
      <c r="DE232" t="e">
        <f>AND(Bills!#REF!,"AAAAAH0X/Gw=")</f>
        <v>#REF!</v>
      </c>
      <c r="DF232" t="e">
        <f>AND(Bills!#REF!,"AAAAAH0X/G0=")</f>
        <v>#REF!</v>
      </c>
      <c r="DG232" t="e">
        <f>AND(Bills!#REF!,"AAAAAH0X/G4=")</f>
        <v>#REF!</v>
      </c>
      <c r="DH232" t="e">
        <f>AND(Bills!AC1004,"AAAAAH0X/G8=")</f>
        <v>#VALUE!</v>
      </c>
      <c r="DI232" t="e">
        <f>AND(Bills!AD1004,"AAAAAH0X/HA=")</f>
        <v>#VALUE!</v>
      </c>
      <c r="DJ232" t="e">
        <f>AND(Bills!#REF!,"AAAAAH0X/HE=")</f>
        <v>#REF!</v>
      </c>
      <c r="DK232">
        <f>IF(Bills!1005:1005,"AAAAAH0X/HI=",0)</f>
        <v>0</v>
      </c>
      <c r="DL232" t="e">
        <f>AND(Bills!B1005,"AAAAAH0X/HM=")</f>
        <v>#VALUE!</v>
      </c>
      <c r="DM232" t="e">
        <f>AND(Bills!#REF!,"AAAAAH0X/HQ=")</f>
        <v>#REF!</v>
      </c>
      <c r="DN232" t="e">
        <f>AND(Bills!C1005,"AAAAAH0X/HU=")</f>
        <v>#VALUE!</v>
      </c>
      <c r="DO232" t="e">
        <f>AND(Bills!D1005,"AAAAAH0X/HY=")</f>
        <v>#VALUE!</v>
      </c>
      <c r="DP232" t="e">
        <f>AND(Bills!E1005,"AAAAAH0X/Hc=")</f>
        <v>#VALUE!</v>
      </c>
      <c r="DQ232" t="e">
        <f>AND(Bills!#REF!,"AAAAAH0X/Hg=")</f>
        <v>#REF!</v>
      </c>
      <c r="DR232" t="e">
        <f>AND(Bills!#REF!,"AAAAAH0X/Hk=")</f>
        <v>#REF!</v>
      </c>
      <c r="DS232" t="e">
        <f>AND(Bills!#REF!,"AAAAAH0X/Ho=")</f>
        <v>#REF!</v>
      </c>
      <c r="DT232" t="e">
        <f>AND(Bills!F1005,"AAAAAH0X/Hs=")</f>
        <v>#VALUE!</v>
      </c>
      <c r="DU232" t="e">
        <f>AND(Bills!#REF!,"AAAAAH0X/Hw=")</f>
        <v>#REF!</v>
      </c>
      <c r="DV232" t="e">
        <f>AND(Bills!G1005,"AAAAAH0X/H0=")</f>
        <v>#VALUE!</v>
      </c>
      <c r="DW232" t="e">
        <f>AND(Bills!H1005,"AAAAAH0X/H4=")</f>
        <v>#VALUE!</v>
      </c>
      <c r="DX232" t="e">
        <f>AND(Bills!I1005,"AAAAAH0X/H8=")</f>
        <v>#VALUE!</v>
      </c>
      <c r="DY232" t="e">
        <f>AND(Bills!J1005,"AAAAAH0X/IA=")</f>
        <v>#VALUE!</v>
      </c>
      <c r="DZ232" t="e">
        <f>AND(Bills!K1005,"AAAAAH0X/IE=")</f>
        <v>#VALUE!</v>
      </c>
      <c r="EA232" t="e">
        <f>AND(Bills!L1005,"AAAAAH0X/II=")</f>
        <v>#VALUE!</v>
      </c>
      <c r="EB232" t="e">
        <f>AND(Bills!#REF!,"AAAAAH0X/IM=")</f>
        <v>#REF!</v>
      </c>
      <c r="EC232" t="e">
        <f>AND(Bills!M1005,"AAAAAH0X/IQ=")</f>
        <v>#VALUE!</v>
      </c>
      <c r="ED232" t="e">
        <f>AND(Bills!N1005,"AAAAAH0X/IU=")</f>
        <v>#VALUE!</v>
      </c>
      <c r="EE232" t="e">
        <f>AND(Bills!O1005,"AAAAAH0X/IY=")</f>
        <v>#VALUE!</v>
      </c>
      <c r="EF232" t="e">
        <f>AND(Bills!P1005,"AAAAAH0X/Ic=")</f>
        <v>#VALUE!</v>
      </c>
      <c r="EG232" t="e">
        <f>AND(Bills!Q1005,"AAAAAH0X/Ig=")</f>
        <v>#VALUE!</v>
      </c>
      <c r="EH232" t="e">
        <f>AND(Bills!R1005,"AAAAAH0X/Ik=")</f>
        <v>#VALUE!</v>
      </c>
      <c r="EI232" t="e">
        <f>AND(Bills!S1005,"AAAAAH0X/Io=")</f>
        <v>#VALUE!</v>
      </c>
      <c r="EJ232" t="e">
        <f>AND(Bills!T1005,"AAAAAH0X/Is=")</f>
        <v>#VALUE!</v>
      </c>
      <c r="EK232" t="e">
        <f>AND(Bills!#REF!,"AAAAAH0X/Iw=")</f>
        <v>#REF!</v>
      </c>
      <c r="EL232" t="e">
        <f>AND(Bills!U1005,"AAAAAH0X/I0=")</f>
        <v>#VALUE!</v>
      </c>
      <c r="EM232" t="e">
        <f>AND(Bills!V1005,"AAAAAH0X/I4=")</f>
        <v>#VALUE!</v>
      </c>
      <c r="EN232" t="e">
        <f>AND(Bills!W1005,"AAAAAH0X/I8=")</f>
        <v>#VALUE!</v>
      </c>
      <c r="EO232" t="e">
        <f>AND(Bills!#REF!,"AAAAAH0X/JA=")</f>
        <v>#REF!</v>
      </c>
      <c r="EP232" t="e">
        <f>AND(Bills!#REF!,"AAAAAH0X/JE=")</f>
        <v>#REF!</v>
      </c>
      <c r="EQ232" t="e">
        <f>AND(Bills!Y1005,"AAAAAH0X/JI=")</f>
        <v>#VALUE!</v>
      </c>
      <c r="ER232" t="e">
        <f>AND(Bills!Z1005,"AAAAAH0X/JM=")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AND(Bills!AA1005,"AAAAAH0X/J0=")</f>
        <v>#VALUE!</v>
      </c>
      <c r="FC232" t="e">
        <f>AND(Bills!AB1005,"AAAAAH0X/J4=")</f>
        <v>#VALUE!</v>
      </c>
      <c r="FD232" t="e">
        <f>AND(Bills!#REF!,"AAAAAH0X/J8=")</f>
        <v>#REF!</v>
      </c>
      <c r="FE232" t="e">
        <f>AND(Bills!#REF!,"AAAAAH0X/KA=")</f>
        <v>#REF!</v>
      </c>
      <c r="FF232" t="e">
        <f>AND(Bills!#REF!,"AAAAAH0X/KE=")</f>
        <v>#REF!</v>
      </c>
      <c r="FG232" t="e">
        <f>AND(Bills!AC1005,"AAAAAH0X/KI=")</f>
        <v>#VALUE!</v>
      </c>
      <c r="FH232" t="e">
        <f>AND(Bills!AD1005,"AAAAAH0X/KM=")</f>
        <v>#VALUE!</v>
      </c>
      <c r="FI232" t="e">
        <f>AND(Bills!#REF!,"AAAAAH0X/KQ=")</f>
        <v>#REF!</v>
      </c>
      <c r="FJ232">
        <f>IF(Bills!1006:1006,"AAAAAH0X/KU=",0)</f>
        <v>0</v>
      </c>
      <c r="FK232" t="e">
        <f>AND(Bills!B1006,"AAAAAH0X/KY=")</f>
        <v>#VALUE!</v>
      </c>
      <c r="FL232" t="e">
        <f>AND(Bills!#REF!,"AAAAAH0X/Kc=")</f>
        <v>#REF!</v>
      </c>
      <c r="FM232" t="e">
        <f>AND(Bills!C1006,"AAAAAH0X/Kg=")</f>
        <v>#VALUE!</v>
      </c>
      <c r="FN232" t="e">
        <f>AND(Bills!D1006,"AAAAAH0X/Kk=")</f>
        <v>#VALUE!</v>
      </c>
      <c r="FO232" t="e">
        <f>AND(Bills!E1006,"AAAAAH0X/Ko=")</f>
        <v>#VALUE!</v>
      </c>
      <c r="FP232" t="e">
        <f>AND(Bills!#REF!,"AAAAAH0X/Ks=")</f>
        <v>#REF!</v>
      </c>
      <c r="FQ232" t="e">
        <f>AND(Bills!#REF!,"AAAAAH0X/Kw=")</f>
        <v>#REF!</v>
      </c>
      <c r="FR232" t="e">
        <f>AND(Bills!#REF!,"AAAAAH0X/K0=")</f>
        <v>#REF!</v>
      </c>
      <c r="FS232" t="e">
        <f>AND(Bills!F1006,"AAAAAH0X/K4=")</f>
        <v>#VALUE!</v>
      </c>
      <c r="FT232" t="e">
        <f>AND(Bills!#REF!,"AAAAAH0X/K8=")</f>
        <v>#REF!</v>
      </c>
      <c r="FU232" t="e">
        <f>AND(Bills!G1006,"AAAAAH0X/LA=")</f>
        <v>#VALUE!</v>
      </c>
      <c r="FV232" t="e">
        <f>AND(Bills!H1006,"AAAAAH0X/LE=")</f>
        <v>#VALUE!</v>
      </c>
      <c r="FW232" t="e">
        <f>AND(Bills!I1006,"AAAAAH0X/LI=")</f>
        <v>#VALUE!</v>
      </c>
      <c r="FX232" t="e">
        <f>AND(Bills!J1006,"AAAAAH0X/LM=")</f>
        <v>#VALUE!</v>
      </c>
      <c r="FY232" t="e">
        <f>AND(Bills!K1006,"AAAAAH0X/LQ=")</f>
        <v>#VALUE!</v>
      </c>
      <c r="FZ232" t="e">
        <f>AND(Bills!L1006,"AAAAAH0X/LU=")</f>
        <v>#VALUE!</v>
      </c>
      <c r="GA232" t="e">
        <f>AND(Bills!#REF!,"AAAAAH0X/LY=")</f>
        <v>#REF!</v>
      </c>
      <c r="GB232" t="e">
        <f>AND(Bills!M1006,"AAAAAH0X/Lc=")</f>
        <v>#VALUE!</v>
      </c>
      <c r="GC232" t="e">
        <f>AND(Bills!N1006,"AAAAAH0X/Lg=")</f>
        <v>#VALUE!</v>
      </c>
      <c r="GD232" t="e">
        <f>AND(Bills!O1006,"AAAAAH0X/Lk=")</f>
        <v>#VALUE!</v>
      </c>
      <c r="GE232" t="e">
        <f>AND(Bills!P1006,"AAAAAH0X/Lo=")</f>
        <v>#VALUE!</v>
      </c>
      <c r="GF232" t="e">
        <f>AND(Bills!Q1006,"AAAAAH0X/Ls=")</f>
        <v>#VALUE!</v>
      </c>
      <c r="GG232" t="e">
        <f>AND(Bills!R1006,"AAAAAH0X/Lw=")</f>
        <v>#VALUE!</v>
      </c>
      <c r="GH232" t="e">
        <f>AND(Bills!S1006,"AAAAAH0X/L0=")</f>
        <v>#VALUE!</v>
      </c>
      <c r="GI232" t="e">
        <f>AND(Bills!T1006,"AAAAAH0X/L4=")</f>
        <v>#VALUE!</v>
      </c>
      <c r="GJ232" t="e">
        <f>AND(Bills!#REF!,"AAAAAH0X/L8=")</f>
        <v>#REF!</v>
      </c>
      <c r="GK232" t="e">
        <f>AND(Bills!U1006,"AAAAAH0X/MA=")</f>
        <v>#VALUE!</v>
      </c>
      <c r="GL232" t="e">
        <f>AND(Bills!V1006,"AAAAAH0X/ME=")</f>
        <v>#VALUE!</v>
      </c>
      <c r="GM232" t="e">
        <f>AND(Bills!W1006,"AAAAAH0X/MI=")</f>
        <v>#VALUE!</v>
      </c>
      <c r="GN232" t="e">
        <f>AND(Bills!#REF!,"AAAAAH0X/MM=")</f>
        <v>#REF!</v>
      </c>
      <c r="GO232" t="e">
        <f>AND(Bills!#REF!,"AAAAAH0X/MQ=")</f>
        <v>#REF!</v>
      </c>
      <c r="GP232" t="e">
        <f>AND(Bills!Y1006,"AAAAAH0X/MU=")</f>
        <v>#VALUE!</v>
      </c>
      <c r="GQ232" t="e">
        <f>AND(Bills!Z1006,"AAAAAH0X/MY=")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AND(Bills!AA1006,"AAAAAH0X/NA=")</f>
        <v>#VALUE!</v>
      </c>
      <c r="HB232" t="e">
        <f>AND(Bills!AB1006,"AAAAAH0X/NE=")</f>
        <v>#VALUE!</v>
      </c>
      <c r="HC232" t="e">
        <f>AND(Bills!#REF!,"AAAAAH0X/NI=")</f>
        <v>#REF!</v>
      </c>
      <c r="HD232" t="e">
        <f>AND(Bills!#REF!,"AAAAAH0X/NM=")</f>
        <v>#REF!</v>
      </c>
      <c r="HE232" t="e">
        <f>AND(Bills!#REF!,"AAAAAH0X/NQ=")</f>
        <v>#REF!</v>
      </c>
      <c r="HF232" t="e">
        <f>AND(Bills!AC1006,"AAAAAH0X/NU=")</f>
        <v>#VALUE!</v>
      </c>
      <c r="HG232" t="e">
        <f>AND(Bills!AD1006,"AAAAAH0X/NY=")</f>
        <v>#VALUE!</v>
      </c>
      <c r="HH232" t="e">
        <f>AND(Bills!#REF!,"AAAAAH0X/Nc=")</f>
        <v>#REF!</v>
      </c>
      <c r="HI232">
        <f>IF(Bills!1007:1007,"AAAAAH0X/Ng=",0)</f>
        <v>0</v>
      </c>
      <c r="HJ232" t="e">
        <f>AND(Bills!B1007,"AAAAAH0X/Nk=")</f>
        <v>#VALUE!</v>
      </c>
      <c r="HK232" t="e">
        <f>AND(Bills!#REF!,"AAAAAH0X/No=")</f>
        <v>#REF!</v>
      </c>
      <c r="HL232" t="e">
        <f>AND(Bills!C1007,"AAAAAH0X/Ns=")</f>
        <v>#VALUE!</v>
      </c>
      <c r="HM232" t="e">
        <f>AND(Bills!D1007,"AAAAAH0X/Nw=")</f>
        <v>#VALUE!</v>
      </c>
      <c r="HN232" t="e">
        <f>AND(Bills!E1007,"AAAAAH0X/N0=")</f>
        <v>#VALUE!</v>
      </c>
      <c r="HO232" t="e">
        <f>AND(Bills!#REF!,"AAAAAH0X/N4=")</f>
        <v>#REF!</v>
      </c>
      <c r="HP232" t="e">
        <f>AND(Bills!#REF!,"AAAAAH0X/N8=")</f>
        <v>#REF!</v>
      </c>
      <c r="HQ232" t="e">
        <f>AND(Bills!#REF!,"AAAAAH0X/OA=")</f>
        <v>#REF!</v>
      </c>
      <c r="HR232" t="e">
        <f>AND(Bills!F1007,"AAAAAH0X/OE=")</f>
        <v>#VALUE!</v>
      </c>
      <c r="HS232" t="e">
        <f>AND(Bills!#REF!,"AAAAAH0X/OI=")</f>
        <v>#REF!</v>
      </c>
      <c r="HT232" t="e">
        <f>AND(Bills!G1007,"AAAAAH0X/OM=")</f>
        <v>#VALUE!</v>
      </c>
      <c r="HU232" t="e">
        <f>AND(Bills!H1007,"AAAAAH0X/OQ=")</f>
        <v>#VALUE!</v>
      </c>
      <c r="HV232" t="e">
        <f>AND(Bills!I1007,"AAAAAH0X/OU=")</f>
        <v>#VALUE!</v>
      </c>
      <c r="HW232" t="e">
        <f>AND(Bills!J1007,"AAAAAH0X/OY=")</f>
        <v>#VALUE!</v>
      </c>
      <c r="HX232" t="e">
        <f>AND(Bills!K1007,"AAAAAH0X/Oc=")</f>
        <v>#VALUE!</v>
      </c>
      <c r="HY232" t="e">
        <f>AND(Bills!L1007,"AAAAAH0X/Og=")</f>
        <v>#VALUE!</v>
      </c>
      <c r="HZ232" t="e">
        <f>AND(Bills!#REF!,"AAAAAH0X/Ok=")</f>
        <v>#REF!</v>
      </c>
      <c r="IA232" t="e">
        <f>AND(Bills!M1007,"AAAAAH0X/Oo=")</f>
        <v>#VALUE!</v>
      </c>
      <c r="IB232" t="e">
        <f>AND(Bills!N1007,"AAAAAH0X/Os=")</f>
        <v>#VALUE!</v>
      </c>
      <c r="IC232" t="e">
        <f>AND(Bills!O1007,"AAAAAH0X/Ow=")</f>
        <v>#VALUE!</v>
      </c>
      <c r="ID232" t="e">
        <f>AND(Bills!P1007,"AAAAAH0X/O0=")</f>
        <v>#VALUE!</v>
      </c>
      <c r="IE232" t="e">
        <f>AND(Bills!Q1007,"AAAAAH0X/O4=")</f>
        <v>#VALUE!</v>
      </c>
      <c r="IF232" t="e">
        <f>AND(Bills!R1007,"AAAAAH0X/O8=")</f>
        <v>#VALUE!</v>
      </c>
      <c r="IG232" t="e">
        <f>AND(Bills!S1007,"AAAAAH0X/PA=")</f>
        <v>#VALUE!</v>
      </c>
      <c r="IH232" t="e">
        <f>AND(Bills!T1007,"AAAAAH0X/PE=")</f>
        <v>#VALUE!</v>
      </c>
      <c r="II232" t="e">
        <f>AND(Bills!#REF!,"AAAAAH0X/PI=")</f>
        <v>#REF!</v>
      </c>
      <c r="IJ232" t="e">
        <f>AND(Bills!U1007,"AAAAAH0X/PM=")</f>
        <v>#VALUE!</v>
      </c>
      <c r="IK232" t="e">
        <f>AND(Bills!V1007,"AAAAAH0X/PQ=")</f>
        <v>#VALUE!</v>
      </c>
      <c r="IL232" t="e">
        <f>AND(Bills!W1007,"AAAAAH0X/PU=")</f>
        <v>#VALUE!</v>
      </c>
      <c r="IM232" t="e">
        <f>AND(Bills!#REF!,"AAAAAH0X/PY=")</f>
        <v>#REF!</v>
      </c>
      <c r="IN232" t="e">
        <f>AND(Bills!#REF!,"AAAAAH0X/Pc=")</f>
        <v>#REF!</v>
      </c>
      <c r="IO232" t="e">
        <f>AND(Bills!Y1007,"AAAAAH0X/Pg=")</f>
        <v>#VALUE!</v>
      </c>
      <c r="IP232" t="e">
        <f>AND(Bills!Z1007,"AAAAAH0X/Pk=")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AND(Bills!AA1007,"AAAAAGf+fwM=")</f>
        <v>#VALUE!</v>
      </c>
      <c r="E233" t="e">
        <f>AND(Bills!AB1007,"AAAAAGf+fwQ=")</f>
        <v>#VALUE!</v>
      </c>
      <c r="F233" t="e">
        <f>AND(Bills!#REF!,"AAAAAGf+fwU=")</f>
        <v>#REF!</v>
      </c>
      <c r="G233" t="e">
        <f>AND(Bills!#REF!,"AAAAAGf+fwY=")</f>
        <v>#REF!</v>
      </c>
      <c r="H233" t="e">
        <f>AND(Bills!#REF!,"AAAAAGf+fwc=")</f>
        <v>#REF!</v>
      </c>
      <c r="I233" t="e">
        <f>AND(Bills!AC1007,"AAAAAGf+fwg=")</f>
        <v>#VALUE!</v>
      </c>
      <c r="J233" t="e">
        <f>AND(Bills!AD1007,"AAAAAGf+fwk=")</f>
        <v>#VALUE!</v>
      </c>
      <c r="K233" t="e">
        <f>AND(Bills!#REF!,"AAAAAGf+fwo=")</f>
        <v>#REF!</v>
      </c>
      <c r="L233">
        <f>IF(Bills!1008:1008,"AAAAAGf+fws=",0)</f>
        <v>0</v>
      </c>
      <c r="M233" t="e">
        <f>AND(Bills!B1008,"AAAAAGf+fww=")</f>
        <v>#VALUE!</v>
      </c>
      <c r="N233" t="e">
        <f>AND(Bills!#REF!,"AAAAAGf+fw0=")</f>
        <v>#REF!</v>
      </c>
      <c r="O233" t="e">
        <f>AND(Bills!C1008,"AAAAAGf+fw4=")</f>
        <v>#VALUE!</v>
      </c>
      <c r="P233" t="e">
        <f>AND(Bills!D1008,"AAAAAGf+fw8=")</f>
        <v>#VALUE!</v>
      </c>
      <c r="Q233" t="e">
        <f>AND(Bills!E1008,"AAAAAGf+fxA=")</f>
        <v>#VALUE!</v>
      </c>
      <c r="R233" t="e">
        <f>AND(Bills!#REF!,"AAAAAGf+fxE=")</f>
        <v>#REF!</v>
      </c>
      <c r="S233" t="e">
        <f>AND(Bills!#REF!,"AAAAAGf+fxI=")</f>
        <v>#REF!</v>
      </c>
      <c r="T233" t="e">
        <f>AND(Bills!#REF!,"AAAAAGf+fxM=")</f>
        <v>#REF!</v>
      </c>
      <c r="U233" t="e">
        <f>AND(Bills!F1008,"AAAAAGf+fxQ=")</f>
        <v>#VALUE!</v>
      </c>
      <c r="V233" t="e">
        <f>AND(Bills!#REF!,"AAAAAGf+fxU=")</f>
        <v>#REF!</v>
      </c>
      <c r="W233" t="e">
        <f>AND(Bills!G1008,"AAAAAGf+fxY=")</f>
        <v>#VALUE!</v>
      </c>
      <c r="X233" t="e">
        <f>AND(Bills!H1008,"AAAAAGf+fxc=")</f>
        <v>#VALUE!</v>
      </c>
      <c r="Y233" t="e">
        <f>AND(Bills!I1008,"AAAAAGf+fxg=")</f>
        <v>#VALUE!</v>
      </c>
      <c r="Z233" t="e">
        <f>AND(Bills!J1008,"AAAAAGf+fxk=")</f>
        <v>#VALUE!</v>
      </c>
      <c r="AA233" t="e">
        <f>AND(Bills!K1008,"AAAAAGf+fxo=")</f>
        <v>#VALUE!</v>
      </c>
      <c r="AB233" t="e">
        <f>AND(Bills!L1008,"AAAAAGf+fxs=")</f>
        <v>#VALUE!</v>
      </c>
      <c r="AC233" t="e">
        <f>AND(Bills!#REF!,"AAAAAGf+fxw=")</f>
        <v>#REF!</v>
      </c>
      <c r="AD233" t="e">
        <f>AND(Bills!M1008,"AAAAAGf+fx0=")</f>
        <v>#VALUE!</v>
      </c>
      <c r="AE233" t="e">
        <f>AND(Bills!N1008,"AAAAAGf+fx4=")</f>
        <v>#VALUE!</v>
      </c>
      <c r="AF233" t="e">
        <f>AND(Bills!O1008,"AAAAAGf+fx8=")</f>
        <v>#VALUE!</v>
      </c>
      <c r="AG233" t="e">
        <f>AND(Bills!P1008,"AAAAAGf+fyA=")</f>
        <v>#VALUE!</v>
      </c>
      <c r="AH233" t="e">
        <f>AND(Bills!Q1008,"AAAAAGf+fyE=")</f>
        <v>#VALUE!</v>
      </c>
      <c r="AI233" t="e">
        <f>AND(Bills!R1008,"AAAAAGf+fyI=")</f>
        <v>#VALUE!</v>
      </c>
      <c r="AJ233" t="e">
        <f>AND(Bills!S1008,"AAAAAGf+fyM=")</f>
        <v>#VALUE!</v>
      </c>
      <c r="AK233" t="e">
        <f>AND(Bills!T1008,"AAAAAGf+fyQ=")</f>
        <v>#VALUE!</v>
      </c>
      <c r="AL233" t="e">
        <f>AND(Bills!#REF!,"AAAAAGf+fyU=")</f>
        <v>#REF!</v>
      </c>
      <c r="AM233" t="e">
        <f>AND(Bills!U1008,"AAAAAGf+fyY=")</f>
        <v>#VALUE!</v>
      </c>
      <c r="AN233" t="e">
        <f>AND(Bills!V1008,"AAAAAGf+fyc=")</f>
        <v>#VALUE!</v>
      </c>
      <c r="AO233" t="e">
        <f>AND(Bills!W1008,"AAAAAGf+fyg=")</f>
        <v>#VALUE!</v>
      </c>
      <c r="AP233" t="e">
        <f>AND(Bills!#REF!,"AAAAAGf+fyk=")</f>
        <v>#REF!</v>
      </c>
      <c r="AQ233" t="e">
        <f>AND(Bills!#REF!,"AAAAAGf+fyo=")</f>
        <v>#REF!</v>
      </c>
      <c r="AR233" t="e">
        <f>AND(Bills!Y1008,"AAAAAGf+fys=")</f>
        <v>#VALUE!</v>
      </c>
      <c r="AS233" t="e">
        <f>AND(Bills!Z1008,"AAAAAGf+fyw=")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AND(Bills!AA1008,"AAAAAGf+fzY=")</f>
        <v>#VALUE!</v>
      </c>
      <c r="BD233" t="e">
        <f>AND(Bills!AB1008,"AAAAAGf+fzc=")</f>
        <v>#VALUE!</v>
      </c>
      <c r="BE233" t="e">
        <f>AND(Bills!#REF!,"AAAAAGf+fzg=")</f>
        <v>#REF!</v>
      </c>
      <c r="BF233" t="e">
        <f>AND(Bills!#REF!,"AAAAAGf+fzk=")</f>
        <v>#REF!</v>
      </c>
      <c r="BG233" t="e">
        <f>AND(Bills!#REF!,"AAAAAGf+fzo=")</f>
        <v>#REF!</v>
      </c>
      <c r="BH233" t="e">
        <f>AND(Bills!AC1008,"AAAAAGf+fzs=")</f>
        <v>#VALUE!</v>
      </c>
      <c r="BI233" t="e">
        <f>AND(Bills!AD1008,"AAAAAGf+fzw=")</f>
        <v>#VALUE!</v>
      </c>
      <c r="BJ233" t="e">
        <f>AND(Bills!#REF!,"AAAAAGf+fz0=")</f>
        <v>#REF!</v>
      </c>
      <c r="BK233">
        <f>IF(Bills!1009:1009,"AAAAAGf+fz4=",0)</f>
        <v>0</v>
      </c>
      <c r="BL233" t="e">
        <f>AND(Bills!B1009,"AAAAAGf+fz8=")</f>
        <v>#VALUE!</v>
      </c>
      <c r="BM233" t="e">
        <f>AND(Bills!#REF!,"AAAAAGf+f0A=")</f>
        <v>#REF!</v>
      </c>
      <c r="BN233" t="e">
        <f>AND(Bills!C1009,"AAAAAGf+f0E=")</f>
        <v>#VALUE!</v>
      </c>
      <c r="BO233" t="e">
        <f>AND(Bills!D1009,"AAAAAGf+f0I=")</f>
        <v>#VALUE!</v>
      </c>
      <c r="BP233" t="e">
        <f>AND(Bills!E1009,"AAAAAGf+f0M=")</f>
        <v>#VALUE!</v>
      </c>
      <c r="BQ233" t="e">
        <f>AND(Bills!#REF!,"AAAAAGf+f0Q=")</f>
        <v>#REF!</v>
      </c>
      <c r="BR233" t="e">
        <f>AND(Bills!#REF!,"AAAAAGf+f0U=")</f>
        <v>#REF!</v>
      </c>
      <c r="BS233" t="e">
        <f>AND(Bills!#REF!,"AAAAAGf+f0Y=")</f>
        <v>#REF!</v>
      </c>
      <c r="BT233" t="e">
        <f>AND(Bills!F1009,"AAAAAGf+f0c=")</f>
        <v>#VALUE!</v>
      </c>
      <c r="BU233" t="e">
        <f>AND(Bills!#REF!,"AAAAAGf+f0g=")</f>
        <v>#REF!</v>
      </c>
      <c r="BV233" t="e">
        <f>AND(Bills!G1009,"AAAAAGf+f0k=")</f>
        <v>#VALUE!</v>
      </c>
      <c r="BW233" t="e">
        <f>AND(Bills!H1009,"AAAAAGf+f0o=")</f>
        <v>#VALUE!</v>
      </c>
      <c r="BX233" t="e">
        <f>AND(Bills!I1009,"AAAAAGf+f0s=")</f>
        <v>#VALUE!</v>
      </c>
      <c r="BY233" t="e">
        <f>AND(Bills!J1009,"AAAAAGf+f0w=")</f>
        <v>#VALUE!</v>
      </c>
      <c r="BZ233" t="e">
        <f>AND(Bills!K1009,"AAAAAGf+f00=")</f>
        <v>#VALUE!</v>
      </c>
      <c r="CA233" t="e">
        <f>AND(Bills!L1009,"AAAAAGf+f04=")</f>
        <v>#VALUE!</v>
      </c>
      <c r="CB233" t="e">
        <f>AND(Bills!#REF!,"AAAAAGf+f08=")</f>
        <v>#REF!</v>
      </c>
      <c r="CC233" t="e">
        <f>AND(Bills!M1009,"AAAAAGf+f1A=")</f>
        <v>#VALUE!</v>
      </c>
      <c r="CD233" t="e">
        <f>AND(Bills!N1009,"AAAAAGf+f1E=")</f>
        <v>#VALUE!</v>
      </c>
      <c r="CE233" t="e">
        <f>AND(Bills!O1009,"AAAAAGf+f1I=")</f>
        <v>#VALUE!</v>
      </c>
      <c r="CF233" t="e">
        <f>AND(Bills!P1009,"AAAAAGf+f1M=")</f>
        <v>#VALUE!</v>
      </c>
      <c r="CG233" t="e">
        <f>AND(Bills!Q1009,"AAAAAGf+f1Q=")</f>
        <v>#VALUE!</v>
      </c>
      <c r="CH233" t="e">
        <f>AND(Bills!R1009,"AAAAAGf+f1U=")</f>
        <v>#VALUE!</v>
      </c>
      <c r="CI233" t="e">
        <f>AND(Bills!S1009,"AAAAAGf+f1Y=")</f>
        <v>#VALUE!</v>
      </c>
      <c r="CJ233" t="e">
        <f>AND(Bills!T1009,"AAAAAGf+f1c=")</f>
        <v>#VALUE!</v>
      </c>
      <c r="CK233" t="e">
        <f>AND(Bills!#REF!,"AAAAAGf+f1g=")</f>
        <v>#REF!</v>
      </c>
      <c r="CL233" t="e">
        <f>AND(Bills!U1009,"AAAAAGf+f1k=")</f>
        <v>#VALUE!</v>
      </c>
      <c r="CM233" t="e">
        <f>AND(Bills!V1009,"AAAAAGf+f1o=")</f>
        <v>#VALUE!</v>
      </c>
      <c r="CN233" t="e">
        <f>AND(Bills!W1009,"AAAAAGf+f1s=")</f>
        <v>#VALUE!</v>
      </c>
      <c r="CO233" t="e">
        <f>AND(Bills!#REF!,"AAAAAGf+f1w=")</f>
        <v>#REF!</v>
      </c>
      <c r="CP233" t="e">
        <f>AND(Bills!#REF!,"AAAAAGf+f10=")</f>
        <v>#REF!</v>
      </c>
      <c r="CQ233" t="e">
        <f>AND(Bills!Y1009,"AAAAAGf+f14=")</f>
        <v>#VALUE!</v>
      </c>
      <c r="CR233" t="e">
        <f>AND(Bills!Z1009,"AAAAAGf+f18=")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AND(Bills!AA1009,"AAAAAGf+f2k=")</f>
        <v>#VALUE!</v>
      </c>
      <c r="DC233" t="e">
        <f>AND(Bills!AB1009,"AAAAAGf+f2o=")</f>
        <v>#VALUE!</v>
      </c>
      <c r="DD233" t="e">
        <f>AND(Bills!#REF!,"AAAAAGf+f2s=")</f>
        <v>#REF!</v>
      </c>
      <c r="DE233" t="e">
        <f>AND(Bills!#REF!,"AAAAAGf+f2w=")</f>
        <v>#REF!</v>
      </c>
      <c r="DF233" t="e">
        <f>AND(Bills!#REF!,"AAAAAGf+f20=")</f>
        <v>#REF!</v>
      </c>
      <c r="DG233" t="e">
        <f>AND(Bills!AC1009,"AAAAAGf+f24=")</f>
        <v>#VALUE!</v>
      </c>
      <c r="DH233" t="e">
        <f>AND(Bills!AD1009,"AAAAAGf+f28=")</f>
        <v>#VALUE!</v>
      </c>
      <c r="DI233" t="e">
        <f>AND(Bills!#REF!,"AAAAAGf+f3A=")</f>
        <v>#REF!</v>
      </c>
      <c r="DJ233">
        <f>IF(Bills!1010:1010,"AAAAAGf+f3E=",0)</f>
        <v>0</v>
      </c>
      <c r="DK233" t="e">
        <f>AND(Bills!B1010,"AAAAAGf+f3I=")</f>
        <v>#VALUE!</v>
      </c>
      <c r="DL233" t="e">
        <f>AND(Bills!#REF!,"AAAAAGf+f3M=")</f>
        <v>#REF!</v>
      </c>
      <c r="DM233" t="e">
        <f>AND(Bills!C1010,"AAAAAGf+f3Q=")</f>
        <v>#VALUE!</v>
      </c>
      <c r="DN233" t="e">
        <f>AND(Bills!D1010,"AAAAAGf+f3U=")</f>
        <v>#VALUE!</v>
      </c>
      <c r="DO233" t="e">
        <f>AND(Bills!E1010,"AAAAAGf+f3Y=")</f>
        <v>#VALUE!</v>
      </c>
      <c r="DP233" t="e">
        <f>AND(Bills!#REF!,"AAAAAGf+f3c=")</f>
        <v>#REF!</v>
      </c>
      <c r="DQ233" t="e">
        <f>AND(Bills!#REF!,"AAAAAGf+f3g=")</f>
        <v>#REF!</v>
      </c>
      <c r="DR233" t="e">
        <f>AND(Bills!#REF!,"AAAAAGf+f3k=")</f>
        <v>#REF!</v>
      </c>
      <c r="DS233" t="e">
        <f>AND(Bills!F1010,"AAAAAGf+f3o=")</f>
        <v>#VALUE!</v>
      </c>
      <c r="DT233" t="e">
        <f>AND(Bills!#REF!,"AAAAAGf+f3s=")</f>
        <v>#REF!</v>
      </c>
      <c r="DU233" t="e">
        <f>AND(Bills!G1010,"AAAAAGf+f3w=")</f>
        <v>#VALUE!</v>
      </c>
      <c r="DV233" t="e">
        <f>AND(Bills!H1010,"AAAAAGf+f30=")</f>
        <v>#VALUE!</v>
      </c>
      <c r="DW233" t="e">
        <f>AND(Bills!I1010,"AAAAAGf+f34=")</f>
        <v>#VALUE!</v>
      </c>
      <c r="DX233" t="e">
        <f>AND(Bills!J1010,"AAAAAGf+f38=")</f>
        <v>#VALUE!</v>
      </c>
      <c r="DY233" t="e">
        <f>AND(Bills!K1010,"AAAAAGf+f4A=")</f>
        <v>#VALUE!</v>
      </c>
      <c r="DZ233" t="e">
        <f>AND(Bills!L1010,"AAAAAGf+f4E=")</f>
        <v>#VALUE!</v>
      </c>
      <c r="EA233" t="e">
        <f>AND(Bills!#REF!,"AAAAAGf+f4I=")</f>
        <v>#REF!</v>
      </c>
      <c r="EB233" t="e">
        <f>AND(Bills!M1010,"AAAAAGf+f4M=")</f>
        <v>#VALUE!</v>
      </c>
      <c r="EC233" t="e">
        <f>AND(Bills!N1010,"AAAAAGf+f4Q=")</f>
        <v>#VALUE!</v>
      </c>
      <c r="ED233" t="e">
        <f>AND(Bills!O1010,"AAAAAGf+f4U=")</f>
        <v>#VALUE!</v>
      </c>
      <c r="EE233" t="e">
        <f>AND(Bills!P1010,"AAAAAGf+f4Y=")</f>
        <v>#VALUE!</v>
      </c>
      <c r="EF233" t="e">
        <f>AND(Bills!Q1010,"AAAAAGf+f4c=")</f>
        <v>#VALUE!</v>
      </c>
      <c r="EG233" t="e">
        <f>AND(Bills!R1010,"AAAAAGf+f4g=")</f>
        <v>#VALUE!</v>
      </c>
      <c r="EH233" t="e">
        <f>AND(Bills!S1010,"AAAAAGf+f4k=")</f>
        <v>#VALUE!</v>
      </c>
      <c r="EI233" t="e">
        <f>AND(Bills!T1010,"AAAAAGf+f4o=")</f>
        <v>#VALUE!</v>
      </c>
      <c r="EJ233" t="e">
        <f>AND(Bills!#REF!,"AAAAAGf+f4s=")</f>
        <v>#REF!</v>
      </c>
      <c r="EK233" t="e">
        <f>AND(Bills!U1010,"AAAAAGf+f4w=")</f>
        <v>#VALUE!</v>
      </c>
      <c r="EL233" t="e">
        <f>AND(Bills!V1010,"AAAAAGf+f40=")</f>
        <v>#VALUE!</v>
      </c>
      <c r="EM233" t="e">
        <f>AND(Bills!W1010,"AAAAAGf+f44=")</f>
        <v>#VALUE!</v>
      </c>
      <c r="EN233" t="e">
        <f>AND(Bills!#REF!,"AAAAAGf+f48=")</f>
        <v>#REF!</v>
      </c>
      <c r="EO233" t="e">
        <f>AND(Bills!#REF!,"AAAAAGf+f5A=")</f>
        <v>#REF!</v>
      </c>
      <c r="EP233" t="e">
        <f>AND(Bills!Y1010,"AAAAAGf+f5E=")</f>
        <v>#VALUE!</v>
      </c>
      <c r="EQ233" t="e">
        <f>AND(Bills!Z1010,"AAAAAGf+f5I=")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AND(Bills!AA1010,"AAAAAGf+f5w=")</f>
        <v>#VALUE!</v>
      </c>
      <c r="FB233" t="e">
        <f>AND(Bills!AB1010,"AAAAAGf+f50=")</f>
        <v>#VALUE!</v>
      </c>
      <c r="FC233" t="e">
        <f>AND(Bills!#REF!,"AAAAAGf+f54=")</f>
        <v>#REF!</v>
      </c>
      <c r="FD233" t="e">
        <f>AND(Bills!#REF!,"AAAAAGf+f58=")</f>
        <v>#REF!</v>
      </c>
      <c r="FE233" t="e">
        <f>AND(Bills!#REF!,"AAAAAGf+f6A=")</f>
        <v>#REF!</v>
      </c>
      <c r="FF233" t="e">
        <f>AND(Bills!AC1010,"AAAAAGf+f6E=")</f>
        <v>#VALUE!</v>
      </c>
      <c r="FG233" t="e">
        <f>AND(Bills!AD1010,"AAAAAGf+f6I=")</f>
        <v>#VALUE!</v>
      </c>
      <c r="FH233" t="e">
        <f>AND(Bills!#REF!,"AAAAAGf+f6M=")</f>
        <v>#REF!</v>
      </c>
      <c r="FI233">
        <f>IF(Bills!1011:1011,"AAAAAGf+f6Q=",0)</f>
        <v>0</v>
      </c>
      <c r="FJ233" t="e">
        <f>AND(Bills!B1011,"AAAAAGf+f6U=")</f>
        <v>#VALUE!</v>
      </c>
      <c r="FK233" t="e">
        <f>AND(Bills!#REF!,"AAAAAGf+f6Y=")</f>
        <v>#REF!</v>
      </c>
      <c r="FL233" t="e">
        <f>AND(Bills!C1011,"AAAAAGf+f6c=")</f>
        <v>#VALUE!</v>
      </c>
      <c r="FM233" t="e">
        <f>AND(Bills!D1011,"AAAAAGf+f6g=")</f>
        <v>#VALUE!</v>
      </c>
      <c r="FN233" t="e">
        <f>AND(Bills!E1011,"AAAAAGf+f6k=")</f>
        <v>#VALUE!</v>
      </c>
      <c r="FO233" t="e">
        <f>AND(Bills!#REF!,"AAAAAGf+f6o=")</f>
        <v>#REF!</v>
      </c>
      <c r="FP233" t="e">
        <f>AND(Bills!#REF!,"AAAAAGf+f6s=")</f>
        <v>#REF!</v>
      </c>
      <c r="FQ233" t="e">
        <f>AND(Bills!#REF!,"AAAAAGf+f6w=")</f>
        <v>#REF!</v>
      </c>
      <c r="FR233" t="e">
        <f>AND(Bills!F1011,"AAAAAGf+f60=")</f>
        <v>#VALUE!</v>
      </c>
      <c r="FS233" t="e">
        <f>AND(Bills!#REF!,"AAAAAGf+f64=")</f>
        <v>#REF!</v>
      </c>
      <c r="FT233" t="e">
        <f>AND(Bills!G1011,"AAAAAGf+f68=")</f>
        <v>#VALUE!</v>
      </c>
      <c r="FU233" t="e">
        <f>AND(Bills!H1011,"AAAAAGf+f7A=")</f>
        <v>#VALUE!</v>
      </c>
      <c r="FV233" t="e">
        <f>AND(Bills!I1011,"AAAAAGf+f7E=")</f>
        <v>#VALUE!</v>
      </c>
      <c r="FW233" t="e">
        <f>AND(Bills!J1011,"AAAAAGf+f7I=")</f>
        <v>#VALUE!</v>
      </c>
      <c r="FX233" t="e">
        <f>AND(Bills!K1011,"AAAAAGf+f7M=")</f>
        <v>#VALUE!</v>
      </c>
      <c r="FY233" t="e">
        <f>AND(Bills!L1011,"AAAAAGf+f7Q=")</f>
        <v>#VALUE!</v>
      </c>
      <c r="FZ233" t="e">
        <f>AND(Bills!#REF!,"AAAAAGf+f7U=")</f>
        <v>#REF!</v>
      </c>
      <c r="GA233" t="e">
        <f>AND(Bills!M1011,"AAAAAGf+f7Y=")</f>
        <v>#VALUE!</v>
      </c>
      <c r="GB233" t="e">
        <f>AND(Bills!N1011,"AAAAAGf+f7c=")</f>
        <v>#VALUE!</v>
      </c>
      <c r="GC233" t="e">
        <f>AND(Bills!O1011,"AAAAAGf+f7g=")</f>
        <v>#VALUE!</v>
      </c>
      <c r="GD233" t="e">
        <f>AND(Bills!P1011,"AAAAAGf+f7k=")</f>
        <v>#VALUE!</v>
      </c>
      <c r="GE233" t="e">
        <f>AND(Bills!Q1011,"AAAAAGf+f7o=")</f>
        <v>#VALUE!</v>
      </c>
      <c r="GF233" t="e">
        <f>AND(Bills!R1011,"AAAAAGf+f7s=")</f>
        <v>#VALUE!</v>
      </c>
      <c r="GG233" t="e">
        <f>AND(Bills!S1011,"AAAAAGf+f7w=")</f>
        <v>#VALUE!</v>
      </c>
      <c r="GH233" t="e">
        <f>AND(Bills!T1011,"AAAAAGf+f70=")</f>
        <v>#VALUE!</v>
      </c>
      <c r="GI233" t="e">
        <f>AND(Bills!#REF!,"AAAAAGf+f74=")</f>
        <v>#REF!</v>
      </c>
      <c r="GJ233" t="e">
        <f>AND(Bills!U1011,"AAAAAGf+f78=")</f>
        <v>#VALUE!</v>
      </c>
      <c r="GK233" t="e">
        <f>AND(Bills!V1011,"AAAAAGf+f8A=")</f>
        <v>#VALUE!</v>
      </c>
      <c r="GL233" t="e">
        <f>AND(Bills!W1011,"AAAAAGf+f8E=")</f>
        <v>#VALUE!</v>
      </c>
      <c r="GM233" t="e">
        <f>AND(Bills!#REF!,"AAAAAGf+f8I=")</f>
        <v>#REF!</v>
      </c>
      <c r="GN233" t="e">
        <f>AND(Bills!#REF!,"AAAAAGf+f8M=")</f>
        <v>#REF!</v>
      </c>
      <c r="GO233" t="e">
        <f>AND(Bills!Y1011,"AAAAAGf+f8Q=")</f>
        <v>#VALUE!</v>
      </c>
      <c r="GP233" t="e">
        <f>AND(Bills!Z1011,"AAAAAGf+f8U=")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AND(Bills!AA1011,"AAAAAGf+f88=")</f>
        <v>#VALUE!</v>
      </c>
      <c r="HA233" t="e">
        <f>AND(Bills!AB1011,"AAAAAGf+f9A=")</f>
        <v>#VALUE!</v>
      </c>
      <c r="HB233" t="e">
        <f>AND(Bills!#REF!,"AAAAAGf+f9E=")</f>
        <v>#REF!</v>
      </c>
      <c r="HC233" t="e">
        <f>AND(Bills!#REF!,"AAAAAGf+f9I=")</f>
        <v>#REF!</v>
      </c>
      <c r="HD233" t="e">
        <f>AND(Bills!#REF!,"AAAAAGf+f9M=")</f>
        <v>#REF!</v>
      </c>
      <c r="HE233" t="e">
        <f>AND(Bills!AC1011,"AAAAAGf+f9Q=")</f>
        <v>#VALUE!</v>
      </c>
      <c r="HF233" t="e">
        <f>AND(Bills!AD1011,"AAAAAGf+f9U=")</f>
        <v>#VALUE!</v>
      </c>
      <c r="HG233" t="e">
        <f>AND(Bills!#REF!,"AAAAAGf+f9Y=")</f>
        <v>#REF!</v>
      </c>
      <c r="HH233">
        <f>IF(Bills!1012:1012,"AAAAAGf+f9c=",0)</f>
        <v>0</v>
      </c>
      <c r="HI233" t="e">
        <f>AND(Bills!B1012,"AAAAAGf+f9g=")</f>
        <v>#VALUE!</v>
      </c>
      <c r="HJ233" t="e">
        <f>AND(Bills!#REF!,"AAAAAGf+f9k=")</f>
        <v>#REF!</v>
      </c>
      <c r="HK233" t="e">
        <f>AND(Bills!C1012,"AAAAAGf+f9o=")</f>
        <v>#VALUE!</v>
      </c>
      <c r="HL233" t="e">
        <f>AND(Bills!D1012,"AAAAAGf+f9s=")</f>
        <v>#VALUE!</v>
      </c>
      <c r="HM233" t="e">
        <f>AND(Bills!E1012,"AAAAAGf+f9w=")</f>
        <v>#VALUE!</v>
      </c>
      <c r="HN233" t="e">
        <f>AND(Bills!#REF!,"AAAAAGf+f90=")</f>
        <v>#REF!</v>
      </c>
      <c r="HO233" t="e">
        <f>AND(Bills!#REF!,"AAAAAGf+f94=")</f>
        <v>#REF!</v>
      </c>
      <c r="HP233" t="e">
        <f>AND(Bills!#REF!,"AAAAAGf+f98=")</f>
        <v>#REF!</v>
      </c>
      <c r="HQ233" t="e">
        <f>AND(Bills!F1012,"AAAAAGf+f+A=")</f>
        <v>#VALUE!</v>
      </c>
      <c r="HR233" t="e">
        <f>AND(Bills!#REF!,"AAAAAGf+f+E=")</f>
        <v>#REF!</v>
      </c>
      <c r="HS233" t="e">
        <f>AND(Bills!G1012,"AAAAAGf+f+I=")</f>
        <v>#VALUE!</v>
      </c>
      <c r="HT233" t="e">
        <f>AND(Bills!H1012,"AAAAAGf+f+M=")</f>
        <v>#VALUE!</v>
      </c>
      <c r="HU233" t="e">
        <f>AND(Bills!I1012,"AAAAAGf+f+Q=")</f>
        <v>#VALUE!</v>
      </c>
      <c r="HV233" t="e">
        <f>AND(Bills!J1012,"AAAAAGf+f+U=")</f>
        <v>#VALUE!</v>
      </c>
      <c r="HW233" t="e">
        <f>AND(Bills!K1012,"AAAAAGf+f+Y=")</f>
        <v>#VALUE!</v>
      </c>
      <c r="HX233" t="e">
        <f>AND(Bills!L1012,"AAAAAGf+f+c=")</f>
        <v>#VALUE!</v>
      </c>
      <c r="HY233" t="e">
        <f>AND(Bills!#REF!,"AAAAAGf+f+g=")</f>
        <v>#REF!</v>
      </c>
      <c r="HZ233" t="e">
        <f>AND(Bills!M1012,"AAAAAGf+f+k=")</f>
        <v>#VALUE!</v>
      </c>
      <c r="IA233" t="e">
        <f>AND(Bills!N1012,"AAAAAGf+f+o=")</f>
        <v>#VALUE!</v>
      </c>
      <c r="IB233" t="e">
        <f>AND(Bills!O1012,"AAAAAGf+f+s=")</f>
        <v>#VALUE!</v>
      </c>
      <c r="IC233" t="e">
        <f>AND(Bills!P1012,"AAAAAGf+f+w=")</f>
        <v>#VALUE!</v>
      </c>
      <c r="ID233" t="e">
        <f>AND(Bills!Q1012,"AAAAAGf+f+0=")</f>
        <v>#VALUE!</v>
      </c>
      <c r="IE233" t="e">
        <f>AND(Bills!R1012,"AAAAAGf+f+4=")</f>
        <v>#VALUE!</v>
      </c>
      <c r="IF233" t="e">
        <f>AND(Bills!S1012,"AAAAAGf+f+8=")</f>
        <v>#VALUE!</v>
      </c>
      <c r="IG233" t="e">
        <f>AND(Bills!T1012,"AAAAAGf+f/A=")</f>
        <v>#VALUE!</v>
      </c>
      <c r="IH233" t="e">
        <f>AND(Bills!#REF!,"AAAAAGf+f/E=")</f>
        <v>#REF!</v>
      </c>
      <c r="II233" t="e">
        <f>AND(Bills!U1012,"AAAAAGf+f/I=")</f>
        <v>#VALUE!</v>
      </c>
      <c r="IJ233" t="e">
        <f>AND(Bills!V1012,"AAAAAGf+f/M=")</f>
        <v>#VALUE!</v>
      </c>
      <c r="IK233" t="e">
        <f>AND(Bills!W1012,"AAAAAGf+f/Q=")</f>
        <v>#VALUE!</v>
      </c>
      <c r="IL233" t="e">
        <f>AND(Bills!#REF!,"AAAAAGf+f/U=")</f>
        <v>#REF!</v>
      </c>
      <c r="IM233" t="e">
        <f>AND(Bills!#REF!,"AAAAAGf+f/Y=")</f>
        <v>#REF!</v>
      </c>
      <c r="IN233" t="e">
        <f>AND(Bills!Y1012,"AAAAAGf+f/c=")</f>
        <v>#VALUE!</v>
      </c>
      <c r="IO233" t="e">
        <f>AND(Bills!Z1012,"AAAAAGf+f/g=")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AND(Bills!AA1012,"AAAAAG/51wI=")</f>
        <v>#VALUE!</v>
      </c>
      <c r="D234" t="e">
        <f>AND(Bills!AB1012,"AAAAAG/51wM=")</f>
        <v>#VALUE!</v>
      </c>
      <c r="E234" t="e">
        <f>AND(Bills!#REF!,"AAAAAG/51wQ=")</f>
        <v>#REF!</v>
      </c>
      <c r="F234" t="e">
        <f>AND(Bills!#REF!,"AAAAAG/51wU=")</f>
        <v>#REF!</v>
      </c>
      <c r="G234" t="e">
        <f>AND(Bills!#REF!,"AAAAAG/51wY=")</f>
        <v>#REF!</v>
      </c>
      <c r="H234" t="e">
        <f>AND(Bills!AC1012,"AAAAAG/51wc=")</f>
        <v>#VALUE!</v>
      </c>
      <c r="I234" t="e">
        <f>AND(Bills!AD1012,"AAAAAG/51wg=")</f>
        <v>#VALUE!</v>
      </c>
      <c r="J234" t="e">
        <f>AND(Bills!#REF!,"AAAAAG/51wk=")</f>
        <v>#REF!</v>
      </c>
      <c r="K234">
        <f>IF(Bills!1013:1013,"AAAAAG/51wo=",0)</f>
        <v>0</v>
      </c>
      <c r="L234" t="e">
        <f>AND(Bills!B1013,"AAAAAG/51ws=")</f>
        <v>#VALUE!</v>
      </c>
      <c r="M234" t="e">
        <f>AND(Bills!#REF!,"AAAAAG/51ww=")</f>
        <v>#REF!</v>
      </c>
      <c r="N234" t="e">
        <f>AND(Bills!C1013,"AAAAAG/51w0=")</f>
        <v>#VALUE!</v>
      </c>
      <c r="O234" t="e">
        <f>AND(Bills!D1013,"AAAAAG/51w4=")</f>
        <v>#VALUE!</v>
      </c>
      <c r="P234" t="e">
        <f>AND(Bills!E1013,"AAAAAG/51w8=")</f>
        <v>#VALUE!</v>
      </c>
      <c r="Q234" t="e">
        <f>AND(Bills!#REF!,"AAAAAG/51xA=")</f>
        <v>#REF!</v>
      </c>
      <c r="R234" t="e">
        <f>AND(Bills!#REF!,"AAAAAG/51xE=")</f>
        <v>#REF!</v>
      </c>
      <c r="S234" t="e">
        <f>AND(Bills!#REF!,"AAAAAG/51xI=")</f>
        <v>#REF!</v>
      </c>
      <c r="T234" t="e">
        <f>AND(Bills!F1013,"AAAAAG/51xM=")</f>
        <v>#VALUE!</v>
      </c>
      <c r="U234" t="e">
        <f>AND(Bills!#REF!,"AAAAAG/51xQ=")</f>
        <v>#REF!</v>
      </c>
      <c r="V234" t="e">
        <f>AND(Bills!G1013,"AAAAAG/51xU=")</f>
        <v>#VALUE!</v>
      </c>
      <c r="W234" t="e">
        <f>AND(Bills!H1013,"AAAAAG/51xY=")</f>
        <v>#VALUE!</v>
      </c>
      <c r="X234" t="e">
        <f>AND(Bills!I1013,"AAAAAG/51xc=")</f>
        <v>#VALUE!</v>
      </c>
      <c r="Y234" t="e">
        <f>AND(Bills!J1013,"AAAAAG/51xg=")</f>
        <v>#VALUE!</v>
      </c>
      <c r="Z234" t="e">
        <f>AND(Bills!K1013,"AAAAAG/51xk=")</f>
        <v>#VALUE!</v>
      </c>
      <c r="AA234" t="e">
        <f>AND(Bills!L1013,"AAAAAG/51xo=")</f>
        <v>#VALUE!</v>
      </c>
      <c r="AB234" t="e">
        <f>AND(Bills!#REF!,"AAAAAG/51xs=")</f>
        <v>#REF!</v>
      </c>
      <c r="AC234" t="e">
        <f>AND(Bills!M1013,"AAAAAG/51xw=")</f>
        <v>#VALUE!</v>
      </c>
      <c r="AD234" t="e">
        <f>AND(Bills!N1013,"AAAAAG/51x0=")</f>
        <v>#VALUE!</v>
      </c>
      <c r="AE234" t="e">
        <f>AND(Bills!O1013,"AAAAAG/51x4=")</f>
        <v>#VALUE!</v>
      </c>
      <c r="AF234" t="e">
        <f>AND(Bills!P1013,"AAAAAG/51x8=")</f>
        <v>#VALUE!</v>
      </c>
      <c r="AG234" t="e">
        <f>AND(Bills!Q1013,"AAAAAG/51yA=")</f>
        <v>#VALUE!</v>
      </c>
      <c r="AH234" t="e">
        <f>AND(Bills!R1013,"AAAAAG/51yE=")</f>
        <v>#VALUE!</v>
      </c>
      <c r="AI234" t="e">
        <f>AND(Bills!S1013,"AAAAAG/51yI=")</f>
        <v>#VALUE!</v>
      </c>
      <c r="AJ234" t="e">
        <f>AND(Bills!T1013,"AAAAAG/51yM=")</f>
        <v>#VALUE!</v>
      </c>
      <c r="AK234" t="e">
        <f>AND(Bills!#REF!,"AAAAAG/51yQ=")</f>
        <v>#REF!</v>
      </c>
      <c r="AL234" t="e">
        <f>AND(Bills!U1013,"AAAAAG/51yU=")</f>
        <v>#VALUE!</v>
      </c>
      <c r="AM234" t="e">
        <f>AND(Bills!V1013,"AAAAAG/51yY=")</f>
        <v>#VALUE!</v>
      </c>
      <c r="AN234" t="e">
        <f>AND(Bills!W1013,"AAAAAG/51yc=")</f>
        <v>#VALUE!</v>
      </c>
      <c r="AO234" t="e">
        <f>AND(Bills!#REF!,"AAAAAG/51yg=")</f>
        <v>#REF!</v>
      </c>
      <c r="AP234" t="e">
        <f>AND(Bills!#REF!,"AAAAAG/51yk=")</f>
        <v>#REF!</v>
      </c>
      <c r="AQ234" t="e">
        <f>AND(Bills!Y1013,"AAAAAG/51yo=")</f>
        <v>#VALUE!</v>
      </c>
      <c r="AR234" t="e">
        <f>AND(Bills!Z1013,"AAAAAG/51ys=")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AND(Bills!AA1013,"AAAAAG/51zU=")</f>
        <v>#VALUE!</v>
      </c>
      <c r="BC234" t="e">
        <f>AND(Bills!AB1013,"AAAAAG/51zY=")</f>
        <v>#VALUE!</v>
      </c>
      <c r="BD234" t="e">
        <f>AND(Bills!#REF!,"AAAAAG/51zc=")</f>
        <v>#REF!</v>
      </c>
      <c r="BE234" t="e">
        <f>AND(Bills!#REF!,"AAAAAG/51zg=")</f>
        <v>#REF!</v>
      </c>
      <c r="BF234" t="e">
        <f>AND(Bills!#REF!,"AAAAAG/51zk=")</f>
        <v>#REF!</v>
      </c>
      <c r="BG234" t="e">
        <f>AND(Bills!AC1013,"AAAAAG/51zo=")</f>
        <v>#VALUE!</v>
      </c>
      <c r="BH234" t="e">
        <f>AND(Bills!AD1013,"AAAAAG/51zs=")</f>
        <v>#VALUE!</v>
      </c>
      <c r="BI234" t="e">
        <f>AND(Bills!#REF!,"AAAAAG/51zw=")</f>
        <v>#REF!</v>
      </c>
      <c r="BJ234">
        <f>IF(Bills!1014:1014,"AAAAAG/51z0=",0)</f>
        <v>0</v>
      </c>
      <c r="BK234" t="e">
        <f>AND(Bills!B1014,"AAAAAG/51z4=")</f>
        <v>#VALUE!</v>
      </c>
      <c r="BL234" t="e">
        <f>AND(Bills!#REF!,"AAAAAG/51z8=")</f>
        <v>#REF!</v>
      </c>
      <c r="BM234" t="e">
        <f>AND(Bills!C1014,"AAAAAG/510A=")</f>
        <v>#VALUE!</v>
      </c>
      <c r="BN234" t="e">
        <f>AND(Bills!D1014,"AAAAAG/510E=")</f>
        <v>#VALUE!</v>
      </c>
      <c r="BO234" t="e">
        <f>AND(Bills!E1014,"AAAAAG/510I=")</f>
        <v>#VALUE!</v>
      </c>
      <c r="BP234" t="e">
        <f>AND(Bills!#REF!,"AAAAAG/510M=")</f>
        <v>#REF!</v>
      </c>
      <c r="BQ234" t="e">
        <f>AND(Bills!#REF!,"AAAAAG/510Q=")</f>
        <v>#REF!</v>
      </c>
      <c r="BR234" t="e">
        <f>AND(Bills!#REF!,"AAAAAG/510U=")</f>
        <v>#REF!</v>
      </c>
      <c r="BS234" t="e">
        <f>AND(Bills!F1014,"AAAAAG/510Y=")</f>
        <v>#VALUE!</v>
      </c>
      <c r="BT234" t="e">
        <f>AND(Bills!#REF!,"AAAAAG/510c=")</f>
        <v>#REF!</v>
      </c>
      <c r="BU234" t="e">
        <f>AND(Bills!G1014,"AAAAAG/510g=")</f>
        <v>#VALUE!</v>
      </c>
      <c r="BV234" t="e">
        <f>AND(Bills!H1014,"AAAAAG/510k=")</f>
        <v>#VALUE!</v>
      </c>
      <c r="BW234" t="e">
        <f>AND(Bills!I1014,"AAAAAG/510o=")</f>
        <v>#VALUE!</v>
      </c>
      <c r="BX234" t="e">
        <f>AND(Bills!J1014,"AAAAAG/510s=")</f>
        <v>#VALUE!</v>
      </c>
      <c r="BY234" t="e">
        <f>AND(Bills!K1014,"AAAAAG/510w=")</f>
        <v>#VALUE!</v>
      </c>
      <c r="BZ234" t="e">
        <f>AND(Bills!L1014,"AAAAAG/5100=")</f>
        <v>#VALUE!</v>
      </c>
      <c r="CA234" t="e">
        <f>AND(Bills!#REF!,"AAAAAG/5104=")</f>
        <v>#REF!</v>
      </c>
      <c r="CB234" t="e">
        <f>AND(Bills!M1014,"AAAAAG/5108=")</f>
        <v>#VALUE!</v>
      </c>
      <c r="CC234" t="e">
        <f>AND(Bills!N1014,"AAAAAG/511A=")</f>
        <v>#VALUE!</v>
      </c>
      <c r="CD234" t="e">
        <f>AND(Bills!O1014,"AAAAAG/511E=")</f>
        <v>#VALUE!</v>
      </c>
      <c r="CE234" t="e">
        <f>AND(Bills!P1014,"AAAAAG/511I=")</f>
        <v>#VALUE!</v>
      </c>
      <c r="CF234" t="e">
        <f>AND(Bills!Q1014,"AAAAAG/511M=")</f>
        <v>#VALUE!</v>
      </c>
      <c r="CG234" t="e">
        <f>AND(Bills!R1014,"AAAAAG/511Q=")</f>
        <v>#VALUE!</v>
      </c>
      <c r="CH234" t="e">
        <f>AND(Bills!S1014,"AAAAAG/511U=")</f>
        <v>#VALUE!</v>
      </c>
      <c r="CI234" t="e">
        <f>AND(Bills!T1014,"AAAAAG/511Y=")</f>
        <v>#VALUE!</v>
      </c>
      <c r="CJ234" t="e">
        <f>AND(Bills!#REF!,"AAAAAG/511c=")</f>
        <v>#REF!</v>
      </c>
      <c r="CK234" t="e">
        <f>AND(Bills!U1014,"AAAAAG/511g=")</f>
        <v>#VALUE!</v>
      </c>
      <c r="CL234" t="e">
        <f>AND(Bills!V1014,"AAAAAG/511k=")</f>
        <v>#VALUE!</v>
      </c>
      <c r="CM234" t="e">
        <f>AND(Bills!W1014,"AAAAAG/511o=")</f>
        <v>#VALUE!</v>
      </c>
      <c r="CN234" t="e">
        <f>AND(Bills!#REF!,"AAAAAG/511s=")</f>
        <v>#REF!</v>
      </c>
      <c r="CO234" t="e">
        <f>AND(Bills!#REF!,"AAAAAG/511w=")</f>
        <v>#REF!</v>
      </c>
      <c r="CP234" t="e">
        <f>AND(Bills!Y1014,"AAAAAG/5110=")</f>
        <v>#VALUE!</v>
      </c>
      <c r="CQ234" t="e">
        <f>AND(Bills!Z1014,"AAAAAG/5114=")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AND(Bills!AA1014,"AAAAAG/512g=")</f>
        <v>#VALUE!</v>
      </c>
      <c r="DB234" t="e">
        <f>AND(Bills!AB1014,"AAAAAG/512k=")</f>
        <v>#VALUE!</v>
      </c>
      <c r="DC234" t="e">
        <f>AND(Bills!#REF!,"AAAAAG/512o=")</f>
        <v>#REF!</v>
      </c>
      <c r="DD234" t="e">
        <f>AND(Bills!#REF!,"AAAAAG/512s=")</f>
        <v>#REF!</v>
      </c>
      <c r="DE234" t="e">
        <f>AND(Bills!#REF!,"AAAAAG/512w=")</f>
        <v>#REF!</v>
      </c>
      <c r="DF234" t="e">
        <f>AND(Bills!AC1014,"AAAAAG/5120=")</f>
        <v>#VALUE!</v>
      </c>
      <c r="DG234" t="e">
        <f>AND(Bills!AD1014,"AAAAAG/5124=")</f>
        <v>#VALUE!</v>
      </c>
      <c r="DH234" t="e">
        <f>AND(Bills!#REF!,"AAAAAG/5128=")</f>
        <v>#REF!</v>
      </c>
      <c r="DI234">
        <f>IF(Bills!1015:1015,"AAAAAG/513A=",0)</f>
        <v>0</v>
      </c>
      <c r="DJ234" t="e">
        <f>AND(Bills!B1015,"AAAAAG/513E=")</f>
        <v>#VALUE!</v>
      </c>
      <c r="DK234" t="e">
        <f>AND(Bills!#REF!,"AAAAAG/513I=")</f>
        <v>#REF!</v>
      </c>
      <c r="DL234" t="e">
        <f>AND(Bills!C1015,"AAAAAG/513M=")</f>
        <v>#VALUE!</v>
      </c>
      <c r="DM234" t="e">
        <f>AND(Bills!D1015,"AAAAAG/513Q=")</f>
        <v>#VALUE!</v>
      </c>
      <c r="DN234" t="e">
        <f>AND(Bills!E1015,"AAAAAG/513U=")</f>
        <v>#VALUE!</v>
      </c>
      <c r="DO234" t="e">
        <f>AND(Bills!#REF!,"AAAAAG/513Y=")</f>
        <v>#REF!</v>
      </c>
      <c r="DP234" t="e">
        <f>AND(Bills!#REF!,"AAAAAG/513c=")</f>
        <v>#REF!</v>
      </c>
      <c r="DQ234" t="e">
        <f>AND(Bills!#REF!,"AAAAAG/513g=")</f>
        <v>#REF!</v>
      </c>
      <c r="DR234" t="e">
        <f>AND(Bills!F1015,"AAAAAG/513k=")</f>
        <v>#VALUE!</v>
      </c>
      <c r="DS234" t="e">
        <f>AND(Bills!#REF!,"AAAAAG/513o=")</f>
        <v>#REF!</v>
      </c>
      <c r="DT234" t="e">
        <f>AND(Bills!G1015,"AAAAAG/513s=")</f>
        <v>#VALUE!</v>
      </c>
      <c r="DU234" t="e">
        <f>AND(Bills!H1015,"AAAAAG/513w=")</f>
        <v>#VALUE!</v>
      </c>
      <c r="DV234" t="e">
        <f>AND(Bills!I1015,"AAAAAG/5130=")</f>
        <v>#VALUE!</v>
      </c>
      <c r="DW234" t="e">
        <f>AND(Bills!J1015,"AAAAAG/5134=")</f>
        <v>#VALUE!</v>
      </c>
      <c r="DX234" t="e">
        <f>AND(Bills!K1015,"AAAAAG/5138=")</f>
        <v>#VALUE!</v>
      </c>
      <c r="DY234" t="e">
        <f>AND(Bills!L1015,"AAAAAG/514A=")</f>
        <v>#VALUE!</v>
      </c>
      <c r="DZ234" t="e">
        <f>AND(Bills!#REF!,"AAAAAG/514E=")</f>
        <v>#REF!</v>
      </c>
      <c r="EA234" t="e">
        <f>AND(Bills!M1015,"AAAAAG/514I=")</f>
        <v>#VALUE!</v>
      </c>
      <c r="EB234" t="e">
        <f>AND(Bills!N1015,"AAAAAG/514M=")</f>
        <v>#VALUE!</v>
      </c>
      <c r="EC234" t="e">
        <f>AND(Bills!O1015,"AAAAAG/514Q=")</f>
        <v>#VALUE!</v>
      </c>
      <c r="ED234" t="e">
        <f>AND(Bills!P1015,"AAAAAG/514U=")</f>
        <v>#VALUE!</v>
      </c>
      <c r="EE234" t="e">
        <f>AND(Bills!Q1015,"AAAAAG/514Y=")</f>
        <v>#VALUE!</v>
      </c>
      <c r="EF234" t="e">
        <f>AND(Bills!R1015,"AAAAAG/514c=")</f>
        <v>#VALUE!</v>
      </c>
      <c r="EG234" t="e">
        <f>AND(Bills!S1015,"AAAAAG/514g=")</f>
        <v>#VALUE!</v>
      </c>
      <c r="EH234" t="e">
        <f>AND(Bills!T1015,"AAAAAG/514k=")</f>
        <v>#VALUE!</v>
      </c>
      <c r="EI234" t="e">
        <f>AND(Bills!#REF!,"AAAAAG/514o=")</f>
        <v>#REF!</v>
      </c>
      <c r="EJ234" t="e">
        <f>AND(Bills!U1015,"AAAAAG/514s=")</f>
        <v>#VALUE!</v>
      </c>
      <c r="EK234" t="e">
        <f>AND(Bills!V1015,"AAAAAG/514w=")</f>
        <v>#VALUE!</v>
      </c>
      <c r="EL234" t="e">
        <f>AND(Bills!W1015,"AAAAAG/5140=")</f>
        <v>#VALUE!</v>
      </c>
      <c r="EM234" t="e">
        <f>AND(Bills!#REF!,"AAAAAG/5144=")</f>
        <v>#REF!</v>
      </c>
      <c r="EN234" t="e">
        <f>AND(Bills!#REF!,"AAAAAG/5148=")</f>
        <v>#REF!</v>
      </c>
      <c r="EO234" t="e">
        <f>AND(Bills!Y1015,"AAAAAG/515A=")</f>
        <v>#VALUE!</v>
      </c>
      <c r="EP234" t="e">
        <f>AND(Bills!Z1015,"AAAAAG/515E=")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AND(Bills!AA1015,"AAAAAG/515s=")</f>
        <v>#VALUE!</v>
      </c>
      <c r="FA234" t="e">
        <f>AND(Bills!AB1015,"AAAAAG/515w=")</f>
        <v>#VALUE!</v>
      </c>
      <c r="FB234" t="e">
        <f>AND(Bills!#REF!,"AAAAAG/5150=")</f>
        <v>#REF!</v>
      </c>
      <c r="FC234" t="e">
        <f>AND(Bills!#REF!,"AAAAAG/5154=")</f>
        <v>#REF!</v>
      </c>
      <c r="FD234" t="e">
        <f>AND(Bills!#REF!,"AAAAAG/5158=")</f>
        <v>#REF!</v>
      </c>
      <c r="FE234" t="e">
        <f>AND(Bills!AC1015,"AAAAAG/516A=")</f>
        <v>#VALUE!</v>
      </c>
      <c r="FF234" t="e">
        <f>AND(Bills!AD1015,"AAAAAG/516E=")</f>
        <v>#VALUE!</v>
      </c>
      <c r="FG234" t="e">
        <f>AND(Bills!#REF!,"AAAAAG/516I=")</f>
        <v>#REF!</v>
      </c>
      <c r="FH234">
        <f>IF(Bills!1016:1016,"AAAAAG/516M=",0)</f>
        <v>0</v>
      </c>
      <c r="FI234" t="e">
        <f>AND(Bills!B1016,"AAAAAG/516Q=")</f>
        <v>#VALUE!</v>
      </c>
      <c r="FJ234" t="e">
        <f>AND(Bills!#REF!,"AAAAAG/516U=")</f>
        <v>#REF!</v>
      </c>
      <c r="FK234" t="e">
        <f>AND(Bills!C1016,"AAAAAG/516Y=")</f>
        <v>#VALUE!</v>
      </c>
      <c r="FL234" t="e">
        <f>AND(Bills!D1016,"AAAAAG/516c=")</f>
        <v>#VALUE!</v>
      </c>
      <c r="FM234" t="e">
        <f>AND(Bills!E1016,"AAAAAG/516g=")</f>
        <v>#VALUE!</v>
      </c>
      <c r="FN234" t="e">
        <f>AND(Bills!#REF!,"AAAAAG/516k=")</f>
        <v>#REF!</v>
      </c>
      <c r="FO234" t="e">
        <f>AND(Bills!#REF!,"AAAAAG/516o=")</f>
        <v>#REF!</v>
      </c>
      <c r="FP234" t="e">
        <f>AND(Bills!#REF!,"AAAAAG/516s=")</f>
        <v>#REF!</v>
      </c>
      <c r="FQ234" t="e">
        <f>AND(Bills!F1016,"AAAAAG/516w=")</f>
        <v>#VALUE!</v>
      </c>
      <c r="FR234" t="e">
        <f>AND(Bills!#REF!,"AAAAAG/5160=")</f>
        <v>#REF!</v>
      </c>
      <c r="FS234" t="e">
        <f>AND(Bills!G1016,"AAAAAG/5164=")</f>
        <v>#VALUE!</v>
      </c>
      <c r="FT234" t="e">
        <f>AND(Bills!H1016,"AAAAAG/5168=")</f>
        <v>#VALUE!</v>
      </c>
      <c r="FU234" t="e">
        <f>AND(Bills!I1016,"AAAAAG/517A=")</f>
        <v>#VALUE!</v>
      </c>
      <c r="FV234" t="e">
        <f>AND(Bills!J1016,"AAAAAG/517E=")</f>
        <v>#VALUE!</v>
      </c>
      <c r="FW234" t="e">
        <f>AND(Bills!K1016,"AAAAAG/517I=")</f>
        <v>#VALUE!</v>
      </c>
      <c r="FX234" t="e">
        <f>AND(Bills!L1016,"AAAAAG/517M=")</f>
        <v>#VALUE!</v>
      </c>
      <c r="FY234" t="e">
        <f>AND(Bills!#REF!,"AAAAAG/517Q=")</f>
        <v>#REF!</v>
      </c>
      <c r="FZ234" t="e">
        <f>AND(Bills!M1016,"AAAAAG/517U=")</f>
        <v>#VALUE!</v>
      </c>
      <c r="GA234" t="e">
        <f>AND(Bills!N1016,"AAAAAG/517Y=")</f>
        <v>#VALUE!</v>
      </c>
      <c r="GB234" t="e">
        <f>AND(Bills!O1016,"AAAAAG/517c=")</f>
        <v>#VALUE!</v>
      </c>
      <c r="GC234" t="e">
        <f>AND(Bills!P1016,"AAAAAG/517g=")</f>
        <v>#VALUE!</v>
      </c>
      <c r="GD234" t="e">
        <f>AND(Bills!Q1016,"AAAAAG/517k=")</f>
        <v>#VALUE!</v>
      </c>
      <c r="GE234" t="e">
        <f>AND(Bills!R1016,"AAAAAG/517o=")</f>
        <v>#VALUE!</v>
      </c>
      <c r="GF234" t="e">
        <f>AND(Bills!S1016,"AAAAAG/517s=")</f>
        <v>#VALUE!</v>
      </c>
      <c r="GG234" t="e">
        <f>AND(Bills!T1016,"AAAAAG/517w=")</f>
        <v>#VALUE!</v>
      </c>
      <c r="GH234" t="e">
        <f>AND(Bills!#REF!,"AAAAAG/5170=")</f>
        <v>#REF!</v>
      </c>
      <c r="GI234" t="e">
        <f>AND(Bills!U1016,"AAAAAG/5174=")</f>
        <v>#VALUE!</v>
      </c>
      <c r="GJ234" t="e">
        <f>AND(Bills!V1016,"AAAAAG/5178=")</f>
        <v>#VALUE!</v>
      </c>
      <c r="GK234" t="e">
        <f>AND(Bills!W1016,"AAAAAG/518A=")</f>
        <v>#VALUE!</v>
      </c>
      <c r="GL234" t="e">
        <f>AND(Bills!#REF!,"AAAAAG/518E=")</f>
        <v>#REF!</v>
      </c>
      <c r="GM234" t="e">
        <f>AND(Bills!#REF!,"AAAAAG/518I=")</f>
        <v>#REF!</v>
      </c>
      <c r="GN234" t="e">
        <f>AND(Bills!Y1016,"AAAAAG/518M=")</f>
        <v>#VALUE!</v>
      </c>
      <c r="GO234" t="e">
        <f>AND(Bills!Z1016,"AAAAAG/518Q=")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AND(Bills!AA1016,"AAAAAG/5184=")</f>
        <v>#VALUE!</v>
      </c>
      <c r="GZ234" t="e">
        <f>AND(Bills!AB1016,"AAAAAG/5188=")</f>
        <v>#VALUE!</v>
      </c>
      <c r="HA234" t="e">
        <f>AND(Bills!#REF!,"AAAAAG/519A=")</f>
        <v>#REF!</v>
      </c>
      <c r="HB234" t="e">
        <f>AND(Bills!#REF!,"AAAAAG/519E=")</f>
        <v>#REF!</v>
      </c>
      <c r="HC234" t="e">
        <f>AND(Bills!#REF!,"AAAAAG/519I=")</f>
        <v>#REF!</v>
      </c>
      <c r="HD234" t="e">
        <f>AND(Bills!AC1016,"AAAAAG/519M=")</f>
        <v>#VALUE!</v>
      </c>
      <c r="HE234" t="e">
        <f>AND(Bills!AD1016,"AAAAAG/519Q=")</f>
        <v>#VALUE!</v>
      </c>
      <c r="HF234" t="e">
        <f>AND(Bills!#REF!,"AAAAAG/519U=")</f>
        <v>#REF!</v>
      </c>
      <c r="HG234">
        <f>IF(Bills!1017:1017,"AAAAAG/519Y=",0)</f>
        <v>0</v>
      </c>
      <c r="HH234" t="e">
        <f>AND(Bills!B1017,"AAAAAG/519c=")</f>
        <v>#VALUE!</v>
      </c>
      <c r="HI234" t="e">
        <f>AND(Bills!#REF!,"AAAAAG/519g=")</f>
        <v>#REF!</v>
      </c>
      <c r="HJ234" t="e">
        <f>AND(Bills!C1017,"AAAAAG/519k=")</f>
        <v>#VALUE!</v>
      </c>
      <c r="HK234" t="e">
        <f>AND(Bills!D1017,"AAAAAG/519o=")</f>
        <v>#VALUE!</v>
      </c>
      <c r="HL234" t="e">
        <f>AND(Bills!E1017,"AAAAAG/519s=")</f>
        <v>#VALUE!</v>
      </c>
      <c r="HM234" t="e">
        <f>AND(Bills!#REF!,"AAAAAG/519w=")</f>
        <v>#REF!</v>
      </c>
      <c r="HN234" t="e">
        <f>AND(Bills!#REF!,"AAAAAG/5190=")</f>
        <v>#REF!</v>
      </c>
      <c r="HO234" t="e">
        <f>AND(Bills!#REF!,"AAAAAG/5194=")</f>
        <v>#REF!</v>
      </c>
      <c r="HP234" t="e">
        <f>AND(Bills!F1017,"AAAAAG/5198=")</f>
        <v>#VALUE!</v>
      </c>
      <c r="HQ234" t="e">
        <f>AND(Bills!#REF!,"AAAAAG/51+A=")</f>
        <v>#REF!</v>
      </c>
      <c r="HR234" t="e">
        <f>AND(Bills!G1017,"AAAAAG/51+E=")</f>
        <v>#VALUE!</v>
      </c>
      <c r="HS234" t="e">
        <f>AND(Bills!H1017,"AAAAAG/51+I=")</f>
        <v>#VALUE!</v>
      </c>
      <c r="HT234" t="e">
        <f>AND(Bills!I1017,"AAAAAG/51+M=")</f>
        <v>#VALUE!</v>
      </c>
      <c r="HU234" t="e">
        <f>AND(Bills!J1017,"AAAAAG/51+Q=")</f>
        <v>#VALUE!</v>
      </c>
      <c r="HV234" t="e">
        <f>AND(Bills!K1017,"AAAAAG/51+U=")</f>
        <v>#VALUE!</v>
      </c>
      <c r="HW234" t="e">
        <f>AND(Bills!L1017,"AAAAAG/51+Y=")</f>
        <v>#VALUE!</v>
      </c>
      <c r="HX234" t="e">
        <f>AND(Bills!#REF!,"AAAAAG/51+c=")</f>
        <v>#REF!</v>
      </c>
      <c r="HY234" t="e">
        <f>AND(Bills!M1017,"AAAAAG/51+g=")</f>
        <v>#VALUE!</v>
      </c>
      <c r="HZ234" t="e">
        <f>AND(Bills!N1017,"AAAAAG/51+k=")</f>
        <v>#VALUE!</v>
      </c>
      <c r="IA234" t="e">
        <f>AND(Bills!O1017,"AAAAAG/51+o=")</f>
        <v>#VALUE!</v>
      </c>
      <c r="IB234" t="e">
        <f>AND(Bills!P1017,"AAAAAG/51+s=")</f>
        <v>#VALUE!</v>
      </c>
      <c r="IC234" t="e">
        <f>AND(Bills!Q1017,"AAAAAG/51+w=")</f>
        <v>#VALUE!</v>
      </c>
      <c r="ID234" t="e">
        <f>AND(Bills!R1017,"AAAAAG/51+0=")</f>
        <v>#VALUE!</v>
      </c>
      <c r="IE234" t="e">
        <f>AND(Bills!S1017,"AAAAAG/51+4=")</f>
        <v>#VALUE!</v>
      </c>
      <c r="IF234" t="e">
        <f>AND(Bills!T1017,"AAAAAG/51+8=")</f>
        <v>#VALUE!</v>
      </c>
      <c r="IG234" t="e">
        <f>AND(Bills!#REF!,"AAAAAG/51/A=")</f>
        <v>#REF!</v>
      </c>
      <c r="IH234" t="e">
        <f>AND(Bills!U1017,"AAAAAG/51/E=")</f>
        <v>#VALUE!</v>
      </c>
      <c r="II234" t="e">
        <f>AND(Bills!V1017,"AAAAAG/51/I=")</f>
        <v>#VALUE!</v>
      </c>
      <c r="IJ234" t="e">
        <f>AND(Bills!W1017,"AAAAAG/51/M=")</f>
        <v>#VALUE!</v>
      </c>
      <c r="IK234" t="e">
        <f>AND(Bills!#REF!,"AAAAAG/51/Q=")</f>
        <v>#REF!</v>
      </c>
      <c r="IL234" t="e">
        <f>AND(Bills!#REF!,"AAAAAG/51/U=")</f>
        <v>#REF!</v>
      </c>
      <c r="IM234" t="e">
        <f>AND(Bills!Y1017,"AAAAAG/51/Y=")</f>
        <v>#VALUE!</v>
      </c>
      <c r="IN234" t="e">
        <f>AND(Bills!Z1017,"AAAAAG/51/c=")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AND(Bills!AA1017,"AAAAAH1cDgE=")</f>
        <v>#VALUE!</v>
      </c>
      <c r="C235" t="e">
        <f>AND(Bills!AB1017,"AAAAAH1cDgI=")</f>
        <v>#VALUE!</v>
      </c>
      <c r="D235" t="e">
        <f>AND(Bills!#REF!,"AAAAAH1cDgM=")</f>
        <v>#REF!</v>
      </c>
      <c r="E235" t="e">
        <f>AND(Bills!#REF!,"AAAAAH1cDgQ=")</f>
        <v>#REF!</v>
      </c>
      <c r="F235" t="e">
        <f>AND(Bills!#REF!,"AAAAAH1cDgU=")</f>
        <v>#REF!</v>
      </c>
      <c r="G235" t="e">
        <f>AND(Bills!AC1017,"AAAAAH1cDgY=")</f>
        <v>#VALUE!</v>
      </c>
      <c r="H235" t="e">
        <f>AND(Bills!AD1017,"AAAAAH1cDgc=")</f>
        <v>#VALUE!</v>
      </c>
      <c r="I235" t="e">
        <f>AND(Bills!#REF!,"AAAAAH1cDgg=")</f>
        <v>#REF!</v>
      </c>
      <c r="J235">
        <f>IF(Bills!1018:1018,"AAAAAH1cDgk=",0)</f>
        <v>0</v>
      </c>
      <c r="K235" t="e">
        <f>AND(Bills!B1018,"AAAAAH1cDgo=")</f>
        <v>#VALUE!</v>
      </c>
      <c r="L235" t="e">
        <f>AND(Bills!#REF!,"AAAAAH1cDgs=")</f>
        <v>#REF!</v>
      </c>
      <c r="M235" t="e">
        <f>AND(Bills!C1018,"AAAAAH1cDgw=")</f>
        <v>#VALUE!</v>
      </c>
      <c r="N235" t="e">
        <f>AND(Bills!D1018,"AAAAAH1cDg0=")</f>
        <v>#VALUE!</v>
      </c>
      <c r="O235" t="e">
        <f>AND(Bills!E1018,"AAAAAH1cDg4=")</f>
        <v>#VALUE!</v>
      </c>
      <c r="P235" t="e">
        <f>AND(Bills!#REF!,"AAAAAH1cDg8=")</f>
        <v>#REF!</v>
      </c>
      <c r="Q235" t="e">
        <f>AND(Bills!#REF!,"AAAAAH1cDhA=")</f>
        <v>#REF!</v>
      </c>
      <c r="R235" t="e">
        <f>AND(Bills!#REF!,"AAAAAH1cDhE=")</f>
        <v>#REF!</v>
      </c>
      <c r="S235" t="e">
        <f>AND(Bills!F1018,"AAAAAH1cDhI=")</f>
        <v>#VALUE!</v>
      </c>
      <c r="T235" t="e">
        <f>AND(Bills!#REF!,"AAAAAH1cDhM=")</f>
        <v>#REF!</v>
      </c>
      <c r="U235" t="e">
        <f>AND(Bills!G1018,"AAAAAH1cDhQ=")</f>
        <v>#VALUE!</v>
      </c>
      <c r="V235" t="e">
        <f>AND(Bills!H1018,"AAAAAH1cDhU=")</f>
        <v>#VALUE!</v>
      </c>
      <c r="W235" t="e">
        <f>AND(Bills!I1018,"AAAAAH1cDhY=")</f>
        <v>#VALUE!</v>
      </c>
      <c r="X235" t="e">
        <f>AND(Bills!J1018,"AAAAAH1cDhc=")</f>
        <v>#VALUE!</v>
      </c>
      <c r="Y235" t="e">
        <f>AND(Bills!K1018,"AAAAAH1cDhg=")</f>
        <v>#VALUE!</v>
      </c>
      <c r="Z235" t="e">
        <f>AND(Bills!L1018,"AAAAAH1cDhk=")</f>
        <v>#VALUE!</v>
      </c>
      <c r="AA235" t="e">
        <f>AND(Bills!#REF!,"AAAAAH1cDho=")</f>
        <v>#REF!</v>
      </c>
      <c r="AB235" t="e">
        <f>AND(Bills!M1018,"AAAAAH1cDhs=")</f>
        <v>#VALUE!</v>
      </c>
      <c r="AC235" t="e">
        <f>AND(Bills!N1018,"AAAAAH1cDhw=")</f>
        <v>#VALUE!</v>
      </c>
      <c r="AD235" t="e">
        <f>AND(Bills!O1018,"AAAAAH1cDh0=")</f>
        <v>#VALUE!</v>
      </c>
      <c r="AE235" t="e">
        <f>AND(Bills!P1018,"AAAAAH1cDh4=")</f>
        <v>#VALUE!</v>
      </c>
      <c r="AF235" t="e">
        <f>AND(Bills!Q1018,"AAAAAH1cDh8=")</f>
        <v>#VALUE!</v>
      </c>
      <c r="AG235" t="e">
        <f>AND(Bills!R1018,"AAAAAH1cDiA=")</f>
        <v>#VALUE!</v>
      </c>
      <c r="AH235" t="e">
        <f>AND(Bills!S1018,"AAAAAH1cDiE=")</f>
        <v>#VALUE!</v>
      </c>
      <c r="AI235" t="e">
        <f>AND(Bills!T1018,"AAAAAH1cDiI=")</f>
        <v>#VALUE!</v>
      </c>
      <c r="AJ235" t="e">
        <f>AND(Bills!#REF!,"AAAAAH1cDiM=")</f>
        <v>#REF!</v>
      </c>
      <c r="AK235" t="e">
        <f>AND(Bills!U1018,"AAAAAH1cDiQ=")</f>
        <v>#VALUE!</v>
      </c>
      <c r="AL235" t="e">
        <f>AND(Bills!V1018,"AAAAAH1cDiU=")</f>
        <v>#VALUE!</v>
      </c>
      <c r="AM235" t="e">
        <f>AND(Bills!W1018,"AAAAAH1cDiY=")</f>
        <v>#VALUE!</v>
      </c>
      <c r="AN235" t="e">
        <f>AND(Bills!#REF!,"AAAAAH1cDic=")</f>
        <v>#REF!</v>
      </c>
      <c r="AO235" t="e">
        <f>AND(Bills!#REF!,"AAAAAH1cDig=")</f>
        <v>#REF!</v>
      </c>
      <c r="AP235" t="e">
        <f>AND(Bills!Y1018,"AAAAAH1cDik=")</f>
        <v>#VALUE!</v>
      </c>
      <c r="AQ235" t="e">
        <f>AND(Bills!Z1018,"AAAAAH1cDio=")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AND(Bills!AA1018,"AAAAAH1cDjQ=")</f>
        <v>#VALUE!</v>
      </c>
      <c r="BB235" t="e">
        <f>AND(Bills!AB1018,"AAAAAH1cDjU=")</f>
        <v>#VALUE!</v>
      </c>
      <c r="BC235" t="e">
        <f>AND(Bills!#REF!,"AAAAAH1cDjY=")</f>
        <v>#REF!</v>
      </c>
      <c r="BD235" t="e">
        <f>AND(Bills!#REF!,"AAAAAH1cDjc=")</f>
        <v>#REF!</v>
      </c>
      <c r="BE235" t="e">
        <f>AND(Bills!#REF!,"AAAAAH1cDjg=")</f>
        <v>#REF!</v>
      </c>
      <c r="BF235" t="e">
        <f>AND(Bills!AC1018,"AAAAAH1cDjk=")</f>
        <v>#VALUE!</v>
      </c>
      <c r="BG235" t="e">
        <f>AND(Bills!AD1018,"AAAAAH1cDjo=")</f>
        <v>#VALUE!</v>
      </c>
      <c r="BH235" t="e">
        <f>AND(Bills!#REF!,"AAAAAH1cDjs=")</f>
        <v>#REF!</v>
      </c>
      <c r="BI235">
        <f>IF(Bills!1019:1019,"AAAAAH1cDjw=",0)</f>
        <v>0</v>
      </c>
      <c r="BJ235" t="e">
        <f>AND(Bills!B1019,"AAAAAH1cDj0=")</f>
        <v>#VALUE!</v>
      </c>
      <c r="BK235" t="e">
        <f>AND(Bills!#REF!,"AAAAAH1cDj4=")</f>
        <v>#REF!</v>
      </c>
      <c r="BL235" t="e">
        <f>AND(Bills!C1019,"AAAAAH1cDj8=")</f>
        <v>#VALUE!</v>
      </c>
      <c r="BM235" t="e">
        <f>AND(Bills!D1019,"AAAAAH1cDkA=")</f>
        <v>#VALUE!</v>
      </c>
      <c r="BN235" t="e">
        <f>AND(Bills!E1019,"AAAAAH1cDkE=")</f>
        <v>#VALUE!</v>
      </c>
      <c r="BO235" t="e">
        <f>AND(Bills!#REF!,"AAAAAH1cDkI=")</f>
        <v>#REF!</v>
      </c>
      <c r="BP235" t="e">
        <f>AND(Bills!#REF!,"AAAAAH1cDkM=")</f>
        <v>#REF!</v>
      </c>
      <c r="BQ235" t="e">
        <f>AND(Bills!#REF!,"AAAAAH1cDkQ=")</f>
        <v>#REF!</v>
      </c>
      <c r="BR235" t="e">
        <f>AND(Bills!F1019,"AAAAAH1cDkU=")</f>
        <v>#VALUE!</v>
      </c>
      <c r="BS235" t="e">
        <f>AND(Bills!#REF!,"AAAAAH1cDkY=")</f>
        <v>#REF!</v>
      </c>
      <c r="BT235" t="e">
        <f>AND(Bills!G1019,"AAAAAH1cDkc=")</f>
        <v>#VALUE!</v>
      </c>
      <c r="BU235" t="e">
        <f>AND(Bills!H1019,"AAAAAH1cDkg=")</f>
        <v>#VALUE!</v>
      </c>
      <c r="BV235" t="e">
        <f>AND(Bills!I1019,"AAAAAH1cDkk=")</f>
        <v>#VALUE!</v>
      </c>
      <c r="BW235" t="e">
        <f>AND(Bills!J1019,"AAAAAH1cDko=")</f>
        <v>#VALUE!</v>
      </c>
      <c r="BX235" t="e">
        <f>AND(Bills!K1019,"AAAAAH1cDks=")</f>
        <v>#VALUE!</v>
      </c>
      <c r="BY235" t="e">
        <f>AND(Bills!L1019,"AAAAAH1cDkw=")</f>
        <v>#VALUE!</v>
      </c>
      <c r="BZ235" t="e">
        <f>AND(Bills!#REF!,"AAAAAH1cDk0=")</f>
        <v>#REF!</v>
      </c>
      <c r="CA235" t="e">
        <f>AND(Bills!M1019,"AAAAAH1cDk4=")</f>
        <v>#VALUE!</v>
      </c>
      <c r="CB235" t="e">
        <f>AND(Bills!N1019,"AAAAAH1cDk8=")</f>
        <v>#VALUE!</v>
      </c>
      <c r="CC235" t="e">
        <f>AND(Bills!O1019,"AAAAAH1cDlA=")</f>
        <v>#VALUE!</v>
      </c>
      <c r="CD235" t="e">
        <f>AND(Bills!P1019,"AAAAAH1cDlE=")</f>
        <v>#VALUE!</v>
      </c>
      <c r="CE235" t="e">
        <f>AND(Bills!Q1019,"AAAAAH1cDlI=")</f>
        <v>#VALUE!</v>
      </c>
      <c r="CF235" t="e">
        <f>AND(Bills!R1019,"AAAAAH1cDlM=")</f>
        <v>#VALUE!</v>
      </c>
      <c r="CG235" t="e">
        <f>AND(Bills!S1019,"AAAAAH1cDlQ=")</f>
        <v>#VALUE!</v>
      </c>
      <c r="CH235" t="e">
        <f>AND(Bills!T1019,"AAAAAH1cDlU=")</f>
        <v>#VALUE!</v>
      </c>
      <c r="CI235" t="e">
        <f>AND(Bills!#REF!,"AAAAAH1cDlY=")</f>
        <v>#REF!</v>
      </c>
      <c r="CJ235" t="e">
        <f>AND(Bills!U1019,"AAAAAH1cDlc=")</f>
        <v>#VALUE!</v>
      </c>
      <c r="CK235" t="e">
        <f>AND(Bills!V1019,"AAAAAH1cDlg=")</f>
        <v>#VALUE!</v>
      </c>
      <c r="CL235" t="e">
        <f>AND(Bills!W1019,"AAAAAH1cDlk=")</f>
        <v>#VALUE!</v>
      </c>
      <c r="CM235" t="e">
        <f>AND(Bills!#REF!,"AAAAAH1cDlo=")</f>
        <v>#REF!</v>
      </c>
      <c r="CN235" t="e">
        <f>AND(Bills!#REF!,"AAAAAH1cDls=")</f>
        <v>#REF!</v>
      </c>
      <c r="CO235" t="e">
        <f>AND(Bills!Y1019,"AAAAAH1cDlw=")</f>
        <v>#VALUE!</v>
      </c>
      <c r="CP235" t="e">
        <f>AND(Bills!Z1019,"AAAAAH1cDl0=")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AND(Bills!AA1019,"AAAAAH1cDmc=")</f>
        <v>#VALUE!</v>
      </c>
      <c r="DA235" t="e">
        <f>AND(Bills!AB1019,"AAAAAH1cDmg=")</f>
        <v>#VALUE!</v>
      </c>
      <c r="DB235" t="e">
        <f>AND(Bills!#REF!,"AAAAAH1cDmk=")</f>
        <v>#REF!</v>
      </c>
      <c r="DC235" t="e">
        <f>AND(Bills!#REF!,"AAAAAH1cDmo=")</f>
        <v>#REF!</v>
      </c>
      <c r="DD235" t="e">
        <f>AND(Bills!#REF!,"AAAAAH1cDms=")</f>
        <v>#REF!</v>
      </c>
      <c r="DE235" t="e">
        <f>AND(Bills!AC1019,"AAAAAH1cDmw=")</f>
        <v>#VALUE!</v>
      </c>
      <c r="DF235" t="e">
        <f>AND(Bills!AD1019,"AAAAAH1cDm0=")</f>
        <v>#VALUE!</v>
      </c>
      <c r="DG235" t="e">
        <f>AND(Bills!#REF!,"AAAAAH1cDm4=")</f>
        <v>#REF!</v>
      </c>
      <c r="DH235">
        <f>IF(Bills!1020:1020,"AAAAAH1cDm8=",0)</f>
        <v>0</v>
      </c>
      <c r="DI235" t="e">
        <f>AND(Bills!B1020,"AAAAAH1cDnA=")</f>
        <v>#VALUE!</v>
      </c>
      <c r="DJ235" t="e">
        <f>AND(Bills!#REF!,"AAAAAH1cDnE=")</f>
        <v>#REF!</v>
      </c>
      <c r="DK235" t="e">
        <f>AND(Bills!C1020,"AAAAAH1cDnI=")</f>
        <v>#VALUE!</v>
      </c>
      <c r="DL235" t="e">
        <f>AND(Bills!D1020,"AAAAAH1cDnM=")</f>
        <v>#VALUE!</v>
      </c>
      <c r="DM235" t="e">
        <f>AND(Bills!E1020,"AAAAAH1cDnQ=")</f>
        <v>#VALUE!</v>
      </c>
      <c r="DN235" t="e">
        <f>AND(Bills!#REF!,"AAAAAH1cDnU=")</f>
        <v>#REF!</v>
      </c>
      <c r="DO235" t="e">
        <f>AND(Bills!#REF!,"AAAAAH1cDnY=")</f>
        <v>#REF!</v>
      </c>
      <c r="DP235" t="e">
        <f>AND(Bills!#REF!,"AAAAAH1cDnc=")</f>
        <v>#REF!</v>
      </c>
      <c r="DQ235" t="e">
        <f>AND(Bills!F1020,"AAAAAH1cDng=")</f>
        <v>#VALUE!</v>
      </c>
      <c r="DR235" t="e">
        <f>AND(Bills!#REF!,"AAAAAH1cDnk=")</f>
        <v>#REF!</v>
      </c>
      <c r="DS235" t="e">
        <f>AND(Bills!G1020,"AAAAAH1cDno=")</f>
        <v>#VALUE!</v>
      </c>
      <c r="DT235" t="e">
        <f>AND(Bills!H1020,"AAAAAH1cDns=")</f>
        <v>#VALUE!</v>
      </c>
      <c r="DU235" t="e">
        <f>AND(Bills!I1020,"AAAAAH1cDnw=")</f>
        <v>#VALUE!</v>
      </c>
      <c r="DV235" t="e">
        <f>AND(Bills!J1020,"AAAAAH1cDn0=")</f>
        <v>#VALUE!</v>
      </c>
      <c r="DW235" t="e">
        <f>AND(Bills!K1020,"AAAAAH1cDn4=")</f>
        <v>#VALUE!</v>
      </c>
      <c r="DX235" t="e">
        <f>AND(Bills!L1020,"AAAAAH1cDn8=")</f>
        <v>#VALUE!</v>
      </c>
      <c r="DY235" t="e">
        <f>AND(Bills!#REF!,"AAAAAH1cDoA=")</f>
        <v>#REF!</v>
      </c>
      <c r="DZ235" t="e">
        <f>AND(Bills!M1020,"AAAAAH1cDoE=")</f>
        <v>#VALUE!</v>
      </c>
      <c r="EA235" t="e">
        <f>AND(Bills!N1020,"AAAAAH1cDoI=")</f>
        <v>#VALUE!</v>
      </c>
      <c r="EB235" t="e">
        <f>AND(Bills!O1020,"AAAAAH1cDoM=")</f>
        <v>#VALUE!</v>
      </c>
      <c r="EC235" t="e">
        <f>AND(Bills!P1020,"AAAAAH1cDoQ=")</f>
        <v>#VALUE!</v>
      </c>
      <c r="ED235" t="e">
        <f>AND(Bills!Q1020,"AAAAAH1cDoU=")</f>
        <v>#VALUE!</v>
      </c>
      <c r="EE235" t="e">
        <f>AND(Bills!R1020,"AAAAAH1cDoY=")</f>
        <v>#VALUE!</v>
      </c>
      <c r="EF235" t="e">
        <f>AND(Bills!S1020,"AAAAAH1cDoc=")</f>
        <v>#VALUE!</v>
      </c>
      <c r="EG235" t="e">
        <f>AND(Bills!T1020,"AAAAAH1cDog=")</f>
        <v>#VALUE!</v>
      </c>
      <c r="EH235" t="e">
        <f>AND(Bills!#REF!,"AAAAAH1cDok=")</f>
        <v>#REF!</v>
      </c>
      <c r="EI235" t="e">
        <f>AND(Bills!U1020,"AAAAAH1cDoo=")</f>
        <v>#VALUE!</v>
      </c>
      <c r="EJ235" t="e">
        <f>AND(Bills!V1020,"AAAAAH1cDos=")</f>
        <v>#VALUE!</v>
      </c>
      <c r="EK235" t="e">
        <f>AND(Bills!W1020,"AAAAAH1cDow=")</f>
        <v>#VALUE!</v>
      </c>
      <c r="EL235" t="e">
        <f>AND(Bills!#REF!,"AAAAAH1cDo0=")</f>
        <v>#REF!</v>
      </c>
      <c r="EM235" t="e">
        <f>AND(Bills!#REF!,"AAAAAH1cDo4=")</f>
        <v>#REF!</v>
      </c>
      <c r="EN235" t="e">
        <f>AND(Bills!Y1020,"AAAAAH1cDo8=")</f>
        <v>#VALUE!</v>
      </c>
      <c r="EO235" t="e">
        <f>AND(Bills!Z1020,"AAAAAH1cDpA=")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AND(Bills!AA1020,"AAAAAH1cDpo=")</f>
        <v>#VALUE!</v>
      </c>
      <c r="EZ235" t="e">
        <f>AND(Bills!AB1020,"AAAAAH1cDps=")</f>
        <v>#VALUE!</v>
      </c>
      <c r="FA235" t="e">
        <f>AND(Bills!#REF!,"AAAAAH1cDpw=")</f>
        <v>#REF!</v>
      </c>
      <c r="FB235" t="e">
        <f>AND(Bills!#REF!,"AAAAAH1cDp0=")</f>
        <v>#REF!</v>
      </c>
      <c r="FC235" t="e">
        <f>AND(Bills!#REF!,"AAAAAH1cDp4=")</f>
        <v>#REF!</v>
      </c>
      <c r="FD235" t="e">
        <f>AND(Bills!AC1020,"AAAAAH1cDp8=")</f>
        <v>#VALUE!</v>
      </c>
      <c r="FE235" t="e">
        <f>AND(Bills!AD1020,"AAAAAH1cDqA=")</f>
        <v>#VALUE!</v>
      </c>
      <c r="FF235" t="e">
        <f>AND(Bills!#REF!,"AAAAAH1cDqE=")</f>
        <v>#REF!</v>
      </c>
      <c r="FG235">
        <f>IF(Bills!1021:1021,"AAAAAH1cDqI=",0)</f>
        <v>0</v>
      </c>
      <c r="FH235" t="e">
        <f>AND(Bills!B1021,"AAAAAH1cDqM=")</f>
        <v>#VALUE!</v>
      </c>
      <c r="FI235" t="e">
        <f>AND(Bills!#REF!,"AAAAAH1cDqQ=")</f>
        <v>#REF!</v>
      </c>
      <c r="FJ235" t="e">
        <f>AND(Bills!C1021,"AAAAAH1cDqU=")</f>
        <v>#VALUE!</v>
      </c>
      <c r="FK235" t="e">
        <f>AND(Bills!D1021,"AAAAAH1cDqY=")</f>
        <v>#VALUE!</v>
      </c>
      <c r="FL235" t="e">
        <f>AND(Bills!E1021,"AAAAAH1cDqc=")</f>
        <v>#VALUE!</v>
      </c>
      <c r="FM235" t="e">
        <f>AND(Bills!#REF!,"AAAAAH1cDqg=")</f>
        <v>#REF!</v>
      </c>
      <c r="FN235" t="e">
        <f>AND(Bills!#REF!,"AAAAAH1cDqk=")</f>
        <v>#REF!</v>
      </c>
      <c r="FO235" t="e">
        <f>AND(Bills!#REF!,"AAAAAH1cDqo=")</f>
        <v>#REF!</v>
      </c>
      <c r="FP235" t="e">
        <f>AND(Bills!F1021,"AAAAAH1cDqs=")</f>
        <v>#VALUE!</v>
      </c>
      <c r="FQ235" t="e">
        <f>AND(Bills!#REF!,"AAAAAH1cDqw=")</f>
        <v>#REF!</v>
      </c>
      <c r="FR235" t="e">
        <f>AND(Bills!G1021,"AAAAAH1cDq0=")</f>
        <v>#VALUE!</v>
      </c>
      <c r="FS235" t="e">
        <f>AND(Bills!H1021,"AAAAAH1cDq4=")</f>
        <v>#VALUE!</v>
      </c>
      <c r="FT235" t="e">
        <f>AND(Bills!I1021,"AAAAAH1cDq8=")</f>
        <v>#VALUE!</v>
      </c>
      <c r="FU235" t="e">
        <f>AND(Bills!J1021,"AAAAAH1cDrA=")</f>
        <v>#VALUE!</v>
      </c>
      <c r="FV235" t="e">
        <f>AND(Bills!K1021,"AAAAAH1cDrE=")</f>
        <v>#VALUE!</v>
      </c>
      <c r="FW235" t="e">
        <f>AND(Bills!L1021,"AAAAAH1cDrI=")</f>
        <v>#VALUE!</v>
      </c>
      <c r="FX235" t="e">
        <f>AND(Bills!#REF!,"AAAAAH1cDrM=")</f>
        <v>#REF!</v>
      </c>
      <c r="FY235" t="e">
        <f>AND(Bills!M1021,"AAAAAH1cDrQ=")</f>
        <v>#VALUE!</v>
      </c>
      <c r="FZ235" t="e">
        <f>AND(Bills!N1021,"AAAAAH1cDrU=")</f>
        <v>#VALUE!</v>
      </c>
      <c r="GA235" t="e">
        <f>AND(Bills!O1021,"AAAAAH1cDrY=")</f>
        <v>#VALUE!</v>
      </c>
      <c r="GB235" t="e">
        <f>AND(Bills!P1021,"AAAAAH1cDrc=")</f>
        <v>#VALUE!</v>
      </c>
      <c r="GC235" t="e">
        <f>AND(Bills!Q1021,"AAAAAH1cDrg=")</f>
        <v>#VALUE!</v>
      </c>
      <c r="GD235" t="e">
        <f>AND(Bills!R1021,"AAAAAH1cDrk=")</f>
        <v>#VALUE!</v>
      </c>
      <c r="GE235" t="e">
        <f>AND(Bills!S1021,"AAAAAH1cDro=")</f>
        <v>#VALUE!</v>
      </c>
      <c r="GF235" t="e">
        <f>AND(Bills!T1021,"AAAAAH1cDrs=")</f>
        <v>#VALUE!</v>
      </c>
      <c r="GG235" t="e">
        <f>AND(Bills!#REF!,"AAAAAH1cDrw=")</f>
        <v>#REF!</v>
      </c>
      <c r="GH235" t="e">
        <f>AND(Bills!U1021,"AAAAAH1cDr0=")</f>
        <v>#VALUE!</v>
      </c>
      <c r="GI235" t="e">
        <f>AND(Bills!V1021,"AAAAAH1cDr4=")</f>
        <v>#VALUE!</v>
      </c>
      <c r="GJ235" t="e">
        <f>AND(Bills!W1021,"AAAAAH1cDr8=")</f>
        <v>#VALUE!</v>
      </c>
      <c r="GK235" t="e">
        <f>AND(Bills!#REF!,"AAAAAH1cDsA=")</f>
        <v>#REF!</v>
      </c>
      <c r="GL235" t="e">
        <f>AND(Bills!#REF!,"AAAAAH1cDsE=")</f>
        <v>#REF!</v>
      </c>
      <c r="GM235" t="e">
        <f>AND(Bills!Y1021,"AAAAAH1cDsI=")</f>
        <v>#VALUE!</v>
      </c>
      <c r="GN235" t="e">
        <f>AND(Bills!Z1021,"AAAAAH1cDsM=")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AND(Bills!AA1021,"AAAAAH1cDs0=")</f>
        <v>#VALUE!</v>
      </c>
      <c r="GY235" t="e">
        <f>AND(Bills!AB1021,"AAAAAH1cDs4=")</f>
        <v>#VALUE!</v>
      </c>
      <c r="GZ235" t="e">
        <f>AND(Bills!#REF!,"AAAAAH1cDs8=")</f>
        <v>#REF!</v>
      </c>
      <c r="HA235" t="e">
        <f>AND(Bills!#REF!,"AAAAAH1cDtA=")</f>
        <v>#REF!</v>
      </c>
      <c r="HB235" t="e">
        <f>AND(Bills!#REF!,"AAAAAH1cDtE=")</f>
        <v>#REF!</v>
      </c>
      <c r="HC235" t="e">
        <f>AND(Bills!AC1021,"AAAAAH1cDtI=")</f>
        <v>#VALUE!</v>
      </c>
      <c r="HD235" t="e">
        <f>AND(Bills!AD1021,"AAAAAH1cDtM=")</f>
        <v>#VALUE!</v>
      </c>
      <c r="HE235" t="e">
        <f>AND(Bills!#REF!,"AAAAAH1cDtQ=")</f>
        <v>#REF!</v>
      </c>
      <c r="HF235">
        <f>IF(Bills!1022:1022,"AAAAAH1cDtU=",0)</f>
        <v>0</v>
      </c>
      <c r="HG235" t="e">
        <f>AND(Bills!B1022,"AAAAAH1cDtY=")</f>
        <v>#VALUE!</v>
      </c>
      <c r="HH235" t="e">
        <f>AND(Bills!#REF!,"AAAAAH1cDtc=")</f>
        <v>#REF!</v>
      </c>
      <c r="HI235" t="e">
        <f>AND(Bills!C1022,"AAAAAH1cDtg=")</f>
        <v>#VALUE!</v>
      </c>
      <c r="HJ235" t="e">
        <f>AND(Bills!D1022,"AAAAAH1cDtk=")</f>
        <v>#VALUE!</v>
      </c>
      <c r="HK235" t="e">
        <f>AND(Bills!E1022,"AAAAAH1cDto=")</f>
        <v>#VALUE!</v>
      </c>
      <c r="HL235" t="e">
        <f>AND(Bills!#REF!,"AAAAAH1cDts=")</f>
        <v>#REF!</v>
      </c>
      <c r="HM235" t="e">
        <f>AND(Bills!#REF!,"AAAAAH1cDtw=")</f>
        <v>#REF!</v>
      </c>
      <c r="HN235" t="e">
        <f>AND(Bills!#REF!,"AAAAAH1cDt0=")</f>
        <v>#REF!</v>
      </c>
      <c r="HO235" t="e">
        <f>AND(Bills!F1022,"AAAAAH1cDt4=")</f>
        <v>#VALUE!</v>
      </c>
      <c r="HP235" t="e">
        <f>AND(Bills!#REF!,"AAAAAH1cDt8=")</f>
        <v>#REF!</v>
      </c>
      <c r="HQ235" t="e">
        <f>AND(Bills!G1022,"AAAAAH1cDuA=")</f>
        <v>#VALUE!</v>
      </c>
      <c r="HR235" t="e">
        <f>AND(Bills!H1022,"AAAAAH1cDuE=")</f>
        <v>#VALUE!</v>
      </c>
      <c r="HS235" t="e">
        <f>AND(Bills!I1022,"AAAAAH1cDuI=")</f>
        <v>#VALUE!</v>
      </c>
      <c r="HT235" t="e">
        <f>AND(Bills!J1022,"AAAAAH1cDuM=")</f>
        <v>#VALUE!</v>
      </c>
      <c r="HU235" t="e">
        <f>AND(Bills!K1022,"AAAAAH1cDuQ=")</f>
        <v>#VALUE!</v>
      </c>
      <c r="HV235" t="e">
        <f>AND(Bills!L1022,"AAAAAH1cDuU=")</f>
        <v>#VALUE!</v>
      </c>
      <c r="HW235" t="e">
        <f>AND(Bills!#REF!,"AAAAAH1cDuY=")</f>
        <v>#REF!</v>
      </c>
      <c r="HX235" t="e">
        <f>AND(Bills!M1022,"AAAAAH1cDuc=")</f>
        <v>#VALUE!</v>
      </c>
      <c r="HY235" t="e">
        <f>AND(Bills!N1022,"AAAAAH1cDug=")</f>
        <v>#VALUE!</v>
      </c>
      <c r="HZ235" t="e">
        <f>AND(Bills!O1022,"AAAAAH1cDuk=")</f>
        <v>#VALUE!</v>
      </c>
      <c r="IA235" t="e">
        <f>AND(Bills!P1022,"AAAAAH1cDuo=")</f>
        <v>#VALUE!</v>
      </c>
      <c r="IB235" t="e">
        <f>AND(Bills!Q1022,"AAAAAH1cDus=")</f>
        <v>#VALUE!</v>
      </c>
      <c r="IC235" t="e">
        <f>AND(Bills!R1022,"AAAAAH1cDuw=")</f>
        <v>#VALUE!</v>
      </c>
      <c r="ID235" t="e">
        <f>AND(Bills!S1022,"AAAAAH1cDu0=")</f>
        <v>#VALUE!</v>
      </c>
      <c r="IE235" t="e">
        <f>AND(Bills!T1022,"AAAAAH1cDu4=")</f>
        <v>#VALUE!</v>
      </c>
      <c r="IF235" t="e">
        <f>AND(Bills!#REF!,"AAAAAH1cDu8=")</f>
        <v>#REF!</v>
      </c>
      <c r="IG235" t="e">
        <f>AND(Bills!U1022,"AAAAAH1cDvA=")</f>
        <v>#VALUE!</v>
      </c>
      <c r="IH235" t="e">
        <f>AND(Bills!V1022,"AAAAAH1cDvE=")</f>
        <v>#VALUE!</v>
      </c>
      <c r="II235" t="e">
        <f>AND(Bills!W1022,"AAAAAH1cDvI=")</f>
        <v>#VALUE!</v>
      </c>
      <c r="IJ235" t="e">
        <f>AND(Bills!#REF!,"AAAAAH1cDvM=")</f>
        <v>#REF!</v>
      </c>
      <c r="IK235" t="e">
        <f>AND(Bills!#REF!,"AAAAAH1cDvQ=")</f>
        <v>#REF!</v>
      </c>
      <c r="IL235" t="e">
        <f>AND(Bills!Y1022,"AAAAAH1cDvU=")</f>
        <v>#VALUE!</v>
      </c>
      <c r="IM235" t="e">
        <f>AND(Bills!Z1022,"AAAAAH1cDvY=")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AND(Bills!AA1022,"AAAAAD3/vgA=")</f>
        <v>#VALUE!</v>
      </c>
      <c r="B236" t="e">
        <f>AND(Bills!AB1022,"AAAAAD3/vgE=")</f>
        <v>#VALUE!</v>
      </c>
      <c r="C236" t="e">
        <f>AND(Bills!#REF!,"AAAAAD3/vgI=")</f>
        <v>#REF!</v>
      </c>
      <c r="D236" t="e">
        <f>AND(Bills!#REF!,"AAAAAD3/vgM=")</f>
        <v>#REF!</v>
      </c>
      <c r="E236" t="e">
        <f>AND(Bills!#REF!,"AAAAAD3/vgQ=")</f>
        <v>#REF!</v>
      </c>
      <c r="F236" t="e">
        <f>AND(Bills!AC1022,"AAAAAD3/vgU=")</f>
        <v>#VALUE!</v>
      </c>
      <c r="G236" t="e">
        <f>AND(Bills!AD1022,"AAAAAD3/vgY=")</f>
        <v>#VALUE!</v>
      </c>
      <c r="H236" t="e">
        <f>AND(Bills!#REF!,"AAAAAD3/vgc=")</f>
        <v>#REF!</v>
      </c>
      <c r="I236">
        <f>IF(Bills!1023:1023,"AAAAAD3/vgg=",0)</f>
        <v>0</v>
      </c>
      <c r="J236" t="e">
        <f>AND(Bills!B1023,"AAAAAD3/vgk=")</f>
        <v>#VALUE!</v>
      </c>
      <c r="K236" t="e">
        <f>AND(Bills!#REF!,"AAAAAD3/vgo=")</f>
        <v>#REF!</v>
      </c>
      <c r="L236" t="e">
        <f>AND(Bills!C1023,"AAAAAD3/vgs=")</f>
        <v>#VALUE!</v>
      </c>
      <c r="M236" t="e">
        <f>AND(Bills!D1023,"AAAAAD3/vgw=")</f>
        <v>#VALUE!</v>
      </c>
      <c r="N236" t="e">
        <f>AND(Bills!E1023,"AAAAAD3/vg0=")</f>
        <v>#VALUE!</v>
      </c>
      <c r="O236" t="e">
        <f>AND(Bills!#REF!,"AAAAAD3/vg4=")</f>
        <v>#REF!</v>
      </c>
      <c r="P236" t="e">
        <f>AND(Bills!#REF!,"AAAAAD3/vg8=")</f>
        <v>#REF!</v>
      </c>
      <c r="Q236" t="e">
        <f>AND(Bills!#REF!,"AAAAAD3/vhA=")</f>
        <v>#REF!</v>
      </c>
      <c r="R236" t="e">
        <f>AND(Bills!F1023,"AAAAAD3/vhE=")</f>
        <v>#VALUE!</v>
      </c>
      <c r="S236" t="e">
        <f>AND(Bills!#REF!,"AAAAAD3/vhI=")</f>
        <v>#REF!</v>
      </c>
      <c r="T236" t="e">
        <f>AND(Bills!G1023,"AAAAAD3/vhM=")</f>
        <v>#VALUE!</v>
      </c>
      <c r="U236" t="e">
        <f>AND(Bills!H1023,"AAAAAD3/vhQ=")</f>
        <v>#VALUE!</v>
      </c>
      <c r="V236" t="e">
        <f>AND(Bills!I1023,"AAAAAD3/vhU=")</f>
        <v>#VALUE!</v>
      </c>
      <c r="W236" t="e">
        <f>AND(Bills!J1023,"AAAAAD3/vhY=")</f>
        <v>#VALUE!</v>
      </c>
      <c r="X236" t="e">
        <f>AND(Bills!K1023,"AAAAAD3/vhc=")</f>
        <v>#VALUE!</v>
      </c>
      <c r="Y236" t="e">
        <f>AND(Bills!L1023,"AAAAAD3/vhg=")</f>
        <v>#VALUE!</v>
      </c>
      <c r="Z236" t="e">
        <f>AND(Bills!#REF!,"AAAAAD3/vhk=")</f>
        <v>#REF!</v>
      </c>
      <c r="AA236" t="e">
        <f>AND(Bills!M1023,"AAAAAD3/vho=")</f>
        <v>#VALUE!</v>
      </c>
      <c r="AB236" t="e">
        <f>AND(Bills!N1023,"AAAAAD3/vhs=")</f>
        <v>#VALUE!</v>
      </c>
      <c r="AC236" t="e">
        <f>AND(Bills!O1023,"AAAAAD3/vhw=")</f>
        <v>#VALUE!</v>
      </c>
      <c r="AD236" t="e">
        <f>AND(Bills!P1023,"AAAAAD3/vh0=")</f>
        <v>#VALUE!</v>
      </c>
      <c r="AE236" t="e">
        <f>AND(Bills!Q1023,"AAAAAD3/vh4=")</f>
        <v>#VALUE!</v>
      </c>
      <c r="AF236" t="e">
        <f>AND(Bills!R1023,"AAAAAD3/vh8=")</f>
        <v>#VALUE!</v>
      </c>
      <c r="AG236" t="e">
        <f>AND(Bills!S1023,"AAAAAD3/viA=")</f>
        <v>#VALUE!</v>
      </c>
      <c r="AH236" t="e">
        <f>AND(Bills!T1023,"AAAAAD3/viE=")</f>
        <v>#VALUE!</v>
      </c>
      <c r="AI236" t="e">
        <f>AND(Bills!#REF!,"AAAAAD3/viI=")</f>
        <v>#REF!</v>
      </c>
      <c r="AJ236" t="e">
        <f>AND(Bills!U1023,"AAAAAD3/viM=")</f>
        <v>#VALUE!</v>
      </c>
      <c r="AK236" t="e">
        <f>AND(Bills!V1023,"AAAAAD3/viQ=")</f>
        <v>#VALUE!</v>
      </c>
      <c r="AL236" t="e">
        <f>AND(Bills!W1023,"AAAAAD3/viU=")</f>
        <v>#VALUE!</v>
      </c>
      <c r="AM236" t="e">
        <f>AND(Bills!#REF!,"AAAAAD3/viY=")</f>
        <v>#REF!</v>
      </c>
      <c r="AN236" t="e">
        <f>AND(Bills!#REF!,"AAAAAD3/vic=")</f>
        <v>#REF!</v>
      </c>
      <c r="AO236" t="e">
        <f>AND(Bills!Y1023,"AAAAAD3/vig=")</f>
        <v>#VALUE!</v>
      </c>
      <c r="AP236" t="e">
        <f>AND(Bills!Z1023,"AAAAAD3/vik=")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AND(Bills!AA1023,"AAAAAD3/vjM=")</f>
        <v>#VALUE!</v>
      </c>
      <c r="BA236" t="e">
        <f>AND(Bills!AB1023,"AAAAAD3/vjQ=")</f>
        <v>#VALUE!</v>
      </c>
      <c r="BB236" t="e">
        <f>AND(Bills!#REF!,"AAAAAD3/vjU=")</f>
        <v>#REF!</v>
      </c>
      <c r="BC236" t="e">
        <f>AND(Bills!#REF!,"AAAAAD3/vjY=")</f>
        <v>#REF!</v>
      </c>
      <c r="BD236" t="e">
        <f>AND(Bills!#REF!,"AAAAAD3/vjc=")</f>
        <v>#REF!</v>
      </c>
      <c r="BE236" t="e">
        <f>AND(Bills!AC1023,"AAAAAD3/vjg=")</f>
        <v>#VALUE!</v>
      </c>
      <c r="BF236" t="e">
        <f>AND(Bills!AD1023,"AAAAAD3/vjk=")</f>
        <v>#VALUE!</v>
      </c>
      <c r="BG236" t="e">
        <f>AND(Bills!#REF!,"AAAAAD3/vjo=")</f>
        <v>#REF!</v>
      </c>
      <c r="BH236">
        <f>IF(Bills!1024:1024,"AAAAAD3/vjs=",0)</f>
        <v>0</v>
      </c>
      <c r="BI236" t="e">
        <f>AND(Bills!B1024,"AAAAAD3/vjw=")</f>
        <v>#VALUE!</v>
      </c>
      <c r="BJ236" t="e">
        <f>AND(Bills!#REF!,"AAAAAD3/vj0=")</f>
        <v>#REF!</v>
      </c>
      <c r="BK236" t="e">
        <f>AND(Bills!C1024,"AAAAAD3/vj4=")</f>
        <v>#VALUE!</v>
      </c>
      <c r="BL236" t="e">
        <f>AND(Bills!D1024,"AAAAAD3/vj8=")</f>
        <v>#VALUE!</v>
      </c>
      <c r="BM236" t="e">
        <f>AND(Bills!E1024,"AAAAAD3/vkA=")</f>
        <v>#VALUE!</v>
      </c>
      <c r="BN236" t="e">
        <f>AND(Bills!#REF!,"AAAAAD3/vkE=")</f>
        <v>#REF!</v>
      </c>
      <c r="BO236" t="e">
        <f>AND(Bills!#REF!,"AAAAAD3/vkI=")</f>
        <v>#REF!</v>
      </c>
      <c r="BP236" t="e">
        <f>AND(Bills!#REF!,"AAAAAD3/vkM=")</f>
        <v>#REF!</v>
      </c>
      <c r="BQ236" t="e">
        <f>AND(Bills!F1024,"AAAAAD3/vkQ=")</f>
        <v>#VALUE!</v>
      </c>
      <c r="BR236" t="e">
        <f>AND(Bills!#REF!,"AAAAAD3/vkU=")</f>
        <v>#REF!</v>
      </c>
      <c r="BS236" t="e">
        <f>AND(Bills!G1024,"AAAAAD3/vkY=")</f>
        <v>#VALUE!</v>
      </c>
      <c r="BT236" t="e">
        <f>AND(Bills!H1024,"AAAAAD3/vkc=")</f>
        <v>#VALUE!</v>
      </c>
      <c r="BU236" t="e">
        <f>AND(Bills!I1024,"AAAAAD3/vkg=")</f>
        <v>#VALUE!</v>
      </c>
      <c r="BV236" t="e">
        <f>AND(Bills!J1024,"AAAAAD3/vkk=")</f>
        <v>#VALUE!</v>
      </c>
      <c r="BW236" t="e">
        <f>AND(Bills!K1024,"AAAAAD3/vko=")</f>
        <v>#VALUE!</v>
      </c>
      <c r="BX236" t="e">
        <f>AND(Bills!L1024,"AAAAAD3/vks=")</f>
        <v>#VALUE!</v>
      </c>
      <c r="BY236" t="e">
        <f>AND(Bills!#REF!,"AAAAAD3/vkw=")</f>
        <v>#REF!</v>
      </c>
      <c r="BZ236" t="e">
        <f>AND(Bills!M1024,"AAAAAD3/vk0=")</f>
        <v>#VALUE!</v>
      </c>
      <c r="CA236" t="e">
        <f>AND(Bills!N1024,"AAAAAD3/vk4=")</f>
        <v>#VALUE!</v>
      </c>
      <c r="CB236" t="e">
        <f>AND(Bills!O1024,"AAAAAD3/vk8=")</f>
        <v>#VALUE!</v>
      </c>
      <c r="CC236" t="e">
        <f>AND(Bills!P1024,"AAAAAD3/vlA=")</f>
        <v>#VALUE!</v>
      </c>
      <c r="CD236" t="e">
        <f>AND(Bills!Q1024,"AAAAAD3/vlE=")</f>
        <v>#VALUE!</v>
      </c>
      <c r="CE236" t="e">
        <f>AND(Bills!R1024,"AAAAAD3/vlI=")</f>
        <v>#VALUE!</v>
      </c>
      <c r="CF236" t="e">
        <f>AND(Bills!S1024,"AAAAAD3/vlM=")</f>
        <v>#VALUE!</v>
      </c>
      <c r="CG236" t="e">
        <f>AND(Bills!T1024,"AAAAAD3/vlQ=")</f>
        <v>#VALUE!</v>
      </c>
      <c r="CH236" t="e">
        <f>AND(Bills!#REF!,"AAAAAD3/vlU=")</f>
        <v>#REF!</v>
      </c>
      <c r="CI236" t="e">
        <f>AND(Bills!U1024,"AAAAAD3/vlY=")</f>
        <v>#VALUE!</v>
      </c>
      <c r="CJ236" t="e">
        <f>AND(Bills!V1024,"AAAAAD3/vlc=")</f>
        <v>#VALUE!</v>
      </c>
      <c r="CK236" t="e">
        <f>AND(Bills!W1024,"AAAAAD3/vlg=")</f>
        <v>#VALUE!</v>
      </c>
      <c r="CL236" t="e">
        <f>AND(Bills!#REF!,"AAAAAD3/vlk=")</f>
        <v>#REF!</v>
      </c>
      <c r="CM236" t="e">
        <f>AND(Bills!#REF!,"AAAAAD3/vlo=")</f>
        <v>#REF!</v>
      </c>
      <c r="CN236" t="e">
        <f>AND(Bills!Y1024,"AAAAAD3/vls=")</f>
        <v>#VALUE!</v>
      </c>
      <c r="CO236" t="e">
        <f>AND(Bills!Z1024,"AAAAAD3/vlw=")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AND(Bills!AA1024,"AAAAAD3/vmY=")</f>
        <v>#VALUE!</v>
      </c>
      <c r="CZ236" t="e">
        <f>AND(Bills!AB1024,"AAAAAD3/vmc=")</f>
        <v>#VALUE!</v>
      </c>
      <c r="DA236" t="e">
        <f>AND(Bills!#REF!,"AAAAAD3/vmg=")</f>
        <v>#REF!</v>
      </c>
      <c r="DB236" t="e">
        <f>AND(Bills!#REF!,"AAAAAD3/vmk=")</f>
        <v>#REF!</v>
      </c>
      <c r="DC236" t="e">
        <f>AND(Bills!#REF!,"AAAAAD3/vmo=")</f>
        <v>#REF!</v>
      </c>
      <c r="DD236" t="e">
        <f>AND(Bills!AC1024,"AAAAAD3/vms=")</f>
        <v>#VALUE!</v>
      </c>
      <c r="DE236" t="e">
        <f>AND(Bills!AD1024,"AAAAAD3/vmw=")</f>
        <v>#VALUE!</v>
      </c>
      <c r="DF236" t="e">
        <f>AND(Bills!#REF!,"AAAAAD3/vm0=")</f>
        <v>#REF!</v>
      </c>
      <c r="DG236">
        <f>IF(Bills!1025:1025,"AAAAAD3/vm4=",0)</f>
        <v>0</v>
      </c>
      <c r="DH236" t="e">
        <f>AND(Bills!B1025,"AAAAAD3/vm8=")</f>
        <v>#VALUE!</v>
      </c>
      <c r="DI236" t="e">
        <f>AND(Bills!#REF!,"AAAAAD3/vnA=")</f>
        <v>#REF!</v>
      </c>
      <c r="DJ236" t="e">
        <f>AND(Bills!C1025,"AAAAAD3/vnE=")</f>
        <v>#VALUE!</v>
      </c>
      <c r="DK236" t="e">
        <f>AND(Bills!D1025,"AAAAAD3/vnI=")</f>
        <v>#VALUE!</v>
      </c>
      <c r="DL236" t="e">
        <f>AND(Bills!E1025,"AAAAAD3/vnM=")</f>
        <v>#VALUE!</v>
      </c>
      <c r="DM236" t="e">
        <f>AND(Bills!#REF!,"AAAAAD3/vnQ=")</f>
        <v>#REF!</v>
      </c>
      <c r="DN236" t="e">
        <f>AND(Bills!#REF!,"AAAAAD3/vnU=")</f>
        <v>#REF!</v>
      </c>
      <c r="DO236" t="e">
        <f>AND(Bills!#REF!,"AAAAAD3/vnY=")</f>
        <v>#REF!</v>
      </c>
      <c r="DP236" t="e">
        <f>AND(Bills!F1025,"AAAAAD3/vnc=")</f>
        <v>#VALUE!</v>
      </c>
      <c r="DQ236" t="e">
        <f>AND(Bills!#REF!,"AAAAAD3/vng=")</f>
        <v>#REF!</v>
      </c>
      <c r="DR236" t="e">
        <f>AND(Bills!G1025,"AAAAAD3/vnk=")</f>
        <v>#VALUE!</v>
      </c>
      <c r="DS236" t="e">
        <f>AND(Bills!H1025,"AAAAAD3/vno=")</f>
        <v>#VALUE!</v>
      </c>
      <c r="DT236" t="e">
        <f>AND(Bills!I1025,"AAAAAD3/vns=")</f>
        <v>#VALUE!</v>
      </c>
      <c r="DU236" t="e">
        <f>AND(Bills!J1025,"AAAAAD3/vnw=")</f>
        <v>#VALUE!</v>
      </c>
      <c r="DV236" t="e">
        <f>AND(Bills!K1025,"AAAAAD3/vn0=")</f>
        <v>#VALUE!</v>
      </c>
      <c r="DW236" t="e">
        <f>AND(Bills!L1025,"AAAAAD3/vn4=")</f>
        <v>#VALUE!</v>
      </c>
      <c r="DX236" t="e">
        <f>AND(Bills!#REF!,"AAAAAD3/vn8=")</f>
        <v>#REF!</v>
      </c>
      <c r="DY236" t="e">
        <f>AND(Bills!M1025,"AAAAAD3/voA=")</f>
        <v>#VALUE!</v>
      </c>
      <c r="DZ236" t="e">
        <f>AND(Bills!N1025,"AAAAAD3/voE=")</f>
        <v>#VALUE!</v>
      </c>
      <c r="EA236" t="e">
        <f>AND(Bills!O1025,"AAAAAD3/voI=")</f>
        <v>#VALUE!</v>
      </c>
      <c r="EB236" t="e">
        <f>AND(Bills!P1025,"AAAAAD3/voM=")</f>
        <v>#VALUE!</v>
      </c>
      <c r="EC236" t="e">
        <f>AND(Bills!Q1025,"AAAAAD3/voQ=")</f>
        <v>#VALUE!</v>
      </c>
      <c r="ED236" t="e">
        <f>AND(Bills!R1025,"AAAAAD3/voU=")</f>
        <v>#VALUE!</v>
      </c>
      <c r="EE236" t="e">
        <f>AND(Bills!S1025,"AAAAAD3/voY=")</f>
        <v>#VALUE!</v>
      </c>
      <c r="EF236" t="e">
        <f>AND(Bills!T1025,"AAAAAD3/voc=")</f>
        <v>#VALUE!</v>
      </c>
      <c r="EG236" t="e">
        <f>AND(Bills!#REF!,"AAAAAD3/vog=")</f>
        <v>#REF!</v>
      </c>
      <c r="EH236" t="e">
        <f>AND(Bills!U1025,"AAAAAD3/vok=")</f>
        <v>#VALUE!</v>
      </c>
      <c r="EI236" t="e">
        <f>AND(Bills!V1025,"AAAAAD3/voo=")</f>
        <v>#VALUE!</v>
      </c>
      <c r="EJ236" t="e">
        <f>AND(Bills!W1025,"AAAAAD3/vos=")</f>
        <v>#VALUE!</v>
      </c>
      <c r="EK236" t="e">
        <f>AND(Bills!#REF!,"AAAAAD3/vow=")</f>
        <v>#REF!</v>
      </c>
      <c r="EL236" t="e">
        <f>AND(Bills!#REF!,"AAAAAD3/vo0=")</f>
        <v>#REF!</v>
      </c>
      <c r="EM236" t="e">
        <f>AND(Bills!Y1025,"AAAAAD3/vo4=")</f>
        <v>#VALUE!</v>
      </c>
      <c r="EN236" t="e">
        <f>AND(Bills!Z1025,"AAAAAD3/vo8=")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AND(Bills!AA1025,"AAAAAD3/vpk=")</f>
        <v>#VALUE!</v>
      </c>
      <c r="EY236" t="e">
        <f>AND(Bills!AB1025,"AAAAAD3/vpo=")</f>
        <v>#VALUE!</v>
      </c>
      <c r="EZ236" t="e">
        <f>AND(Bills!#REF!,"AAAAAD3/vps=")</f>
        <v>#REF!</v>
      </c>
      <c r="FA236" t="e">
        <f>AND(Bills!#REF!,"AAAAAD3/vpw=")</f>
        <v>#REF!</v>
      </c>
      <c r="FB236" t="e">
        <f>AND(Bills!#REF!,"AAAAAD3/vp0=")</f>
        <v>#REF!</v>
      </c>
      <c r="FC236" t="e">
        <f>AND(Bills!AC1025,"AAAAAD3/vp4=")</f>
        <v>#VALUE!</v>
      </c>
      <c r="FD236" t="e">
        <f>AND(Bills!AD1025,"AAAAAD3/vp8=")</f>
        <v>#VALUE!</v>
      </c>
      <c r="FE236" t="e">
        <f>AND(Bills!#REF!,"AAAAAD3/vqA=")</f>
        <v>#REF!</v>
      </c>
      <c r="FF236">
        <f>IF(Bills!1026:1026,"AAAAAD3/vqE=",0)</f>
        <v>0</v>
      </c>
      <c r="FG236" t="e">
        <f>AND(Bills!B1026,"AAAAAD3/vqI=")</f>
        <v>#VALUE!</v>
      </c>
      <c r="FH236" t="e">
        <f>AND(Bills!#REF!,"AAAAAD3/vqM=")</f>
        <v>#REF!</v>
      </c>
      <c r="FI236" t="e">
        <f>AND(Bills!C1026,"AAAAAD3/vqQ=")</f>
        <v>#VALUE!</v>
      </c>
      <c r="FJ236" t="e">
        <f>AND(Bills!D1026,"AAAAAD3/vqU=")</f>
        <v>#VALUE!</v>
      </c>
      <c r="FK236" t="e">
        <f>AND(Bills!E1026,"AAAAAD3/vqY=")</f>
        <v>#VALUE!</v>
      </c>
      <c r="FL236" t="e">
        <f>AND(Bills!#REF!,"AAAAAD3/vqc=")</f>
        <v>#REF!</v>
      </c>
      <c r="FM236" t="e">
        <f>AND(Bills!#REF!,"AAAAAD3/vqg=")</f>
        <v>#REF!</v>
      </c>
      <c r="FN236" t="e">
        <f>AND(Bills!#REF!,"AAAAAD3/vqk=")</f>
        <v>#REF!</v>
      </c>
      <c r="FO236" t="e">
        <f>AND(Bills!F1026,"AAAAAD3/vqo=")</f>
        <v>#VALUE!</v>
      </c>
      <c r="FP236" t="e">
        <f>AND(Bills!#REF!,"AAAAAD3/vqs=")</f>
        <v>#REF!</v>
      </c>
      <c r="FQ236" t="e">
        <f>AND(Bills!G1026,"AAAAAD3/vqw=")</f>
        <v>#VALUE!</v>
      </c>
      <c r="FR236" t="e">
        <f>AND(Bills!H1026,"AAAAAD3/vq0=")</f>
        <v>#VALUE!</v>
      </c>
      <c r="FS236" t="e">
        <f>AND(Bills!I1026,"AAAAAD3/vq4=")</f>
        <v>#VALUE!</v>
      </c>
      <c r="FT236" t="e">
        <f>AND(Bills!J1026,"AAAAAD3/vq8=")</f>
        <v>#VALUE!</v>
      </c>
      <c r="FU236" t="e">
        <f>AND(Bills!K1026,"AAAAAD3/vrA=")</f>
        <v>#VALUE!</v>
      </c>
      <c r="FV236" t="e">
        <f>AND(Bills!L1026,"AAAAAD3/vrE=")</f>
        <v>#VALUE!</v>
      </c>
      <c r="FW236" t="e">
        <f>AND(Bills!#REF!,"AAAAAD3/vrI=")</f>
        <v>#REF!</v>
      </c>
      <c r="FX236" t="e">
        <f>AND(Bills!M1026,"AAAAAD3/vrM=")</f>
        <v>#VALUE!</v>
      </c>
      <c r="FY236" t="e">
        <f>AND(Bills!N1026,"AAAAAD3/vrQ=")</f>
        <v>#VALUE!</v>
      </c>
      <c r="FZ236" t="e">
        <f>AND(Bills!O1026,"AAAAAD3/vrU=")</f>
        <v>#VALUE!</v>
      </c>
      <c r="GA236" t="e">
        <f>AND(Bills!P1026,"AAAAAD3/vrY=")</f>
        <v>#VALUE!</v>
      </c>
      <c r="GB236" t="e">
        <f>AND(Bills!Q1026,"AAAAAD3/vrc=")</f>
        <v>#VALUE!</v>
      </c>
      <c r="GC236" t="e">
        <f>AND(Bills!R1026,"AAAAAD3/vrg=")</f>
        <v>#VALUE!</v>
      </c>
      <c r="GD236" t="e">
        <f>AND(Bills!S1026,"AAAAAD3/vrk=")</f>
        <v>#VALUE!</v>
      </c>
      <c r="GE236" t="e">
        <f>AND(Bills!T1026,"AAAAAD3/vro=")</f>
        <v>#VALUE!</v>
      </c>
      <c r="GF236" t="e">
        <f>AND(Bills!#REF!,"AAAAAD3/vrs=")</f>
        <v>#REF!</v>
      </c>
      <c r="GG236" t="e">
        <f>AND(Bills!U1026,"AAAAAD3/vrw=")</f>
        <v>#VALUE!</v>
      </c>
      <c r="GH236" t="e">
        <f>AND(Bills!V1026,"AAAAAD3/vr0=")</f>
        <v>#VALUE!</v>
      </c>
      <c r="GI236" t="e">
        <f>AND(Bills!W1026,"AAAAAD3/vr4=")</f>
        <v>#VALUE!</v>
      </c>
      <c r="GJ236" t="e">
        <f>AND(Bills!#REF!,"AAAAAD3/vr8=")</f>
        <v>#REF!</v>
      </c>
      <c r="GK236" t="e">
        <f>AND(Bills!#REF!,"AAAAAD3/vsA=")</f>
        <v>#REF!</v>
      </c>
      <c r="GL236" t="e">
        <f>AND(Bills!Y1026,"AAAAAD3/vsE=")</f>
        <v>#VALUE!</v>
      </c>
      <c r="GM236" t="e">
        <f>AND(Bills!Z1026,"AAAAAD3/vsI=")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AND(Bills!AA1026,"AAAAAD3/vsw=")</f>
        <v>#VALUE!</v>
      </c>
      <c r="GX236" t="e">
        <f>AND(Bills!AB1026,"AAAAAD3/vs0=")</f>
        <v>#VALUE!</v>
      </c>
      <c r="GY236" t="e">
        <f>AND(Bills!#REF!,"AAAAAD3/vs4=")</f>
        <v>#REF!</v>
      </c>
      <c r="GZ236" t="e">
        <f>AND(Bills!#REF!,"AAAAAD3/vs8=")</f>
        <v>#REF!</v>
      </c>
      <c r="HA236" t="e">
        <f>AND(Bills!#REF!,"AAAAAD3/vtA=")</f>
        <v>#REF!</v>
      </c>
      <c r="HB236" t="e">
        <f>AND(Bills!AC1026,"AAAAAD3/vtE=")</f>
        <v>#VALUE!</v>
      </c>
      <c r="HC236" t="e">
        <f>AND(Bills!AD1026,"AAAAAD3/vtI=")</f>
        <v>#VALUE!</v>
      </c>
      <c r="HD236" t="e">
        <f>AND(Bills!#REF!,"AAAAAD3/vtM=")</f>
        <v>#REF!</v>
      </c>
      <c r="HE236">
        <f>IF(Bills!1027:1027,"AAAAAD3/vtQ=",0)</f>
        <v>0</v>
      </c>
      <c r="HF236" t="e">
        <f>AND(Bills!B1027,"AAAAAD3/vtU=")</f>
        <v>#VALUE!</v>
      </c>
      <c r="HG236" t="e">
        <f>AND(Bills!#REF!,"AAAAAD3/vtY=")</f>
        <v>#REF!</v>
      </c>
      <c r="HH236" t="e">
        <f>AND(Bills!C1027,"AAAAAD3/vtc=")</f>
        <v>#VALUE!</v>
      </c>
      <c r="HI236" t="e">
        <f>AND(Bills!D1027,"AAAAAD3/vtg=")</f>
        <v>#VALUE!</v>
      </c>
      <c r="HJ236" t="e">
        <f>AND(Bills!E1027,"AAAAAD3/vtk=")</f>
        <v>#VALUE!</v>
      </c>
      <c r="HK236" t="e">
        <f>AND(Bills!#REF!,"AAAAAD3/vto=")</f>
        <v>#REF!</v>
      </c>
      <c r="HL236" t="e">
        <f>AND(Bills!#REF!,"AAAAAD3/vts=")</f>
        <v>#REF!</v>
      </c>
      <c r="HM236" t="e">
        <f>AND(Bills!#REF!,"AAAAAD3/vtw=")</f>
        <v>#REF!</v>
      </c>
      <c r="HN236" t="e">
        <f>AND(Bills!F1027,"AAAAAD3/vt0=")</f>
        <v>#VALUE!</v>
      </c>
      <c r="HO236" t="e">
        <f>AND(Bills!#REF!,"AAAAAD3/vt4=")</f>
        <v>#REF!</v>
      </c>
      <c r="HP236" t="e">
        <f>AND(Bills!G1027,"AAAAAD3/vt8=")</f>
        <v>#VALUE!</v>
      </c>
      <c r="HQ236" t="e">
        <f>AND(Bills!H1027,"AAAAAD3/vuA=")</f>
        <v>#VALUE!</v>
      </c>
      <c r="HR236" t="e">
        <f>AND(Bills!I1027,"AAAAAD3/vuE=")</f>
        <v>#VALUE!</v>
      </c>
      <c r="HS236" t="e">
        <f>AND(Bills!J1027,"AAAAAD3/vuI=")</f>
        <v>#VALUE!</v>
      </c>
      <c r="HT236" t="e">
        <f>AND(Bills!K1027,"AAAAAD3/vuM=")</f>
        <v>#VALUE!</v>
      </c>
      <c r="HU236" t="e">
        <f>AND(Bills!L1027,"AAAAAD3/vuQ=")</f>
        <v>#VALUE!</v>
      </c>
      <c r="HV236" t="e">
        <f>AND(Bills!#REF!,"AAAAAD3/vuU=")</f>
        <v>#REF!</v>
      </c>
      <c r="HW236" t="e">
        <f>AND(Bills!M1027,"AAAAAD3/vuY=")</f>
        <v>#VALUE!</v>
      </c>
      <c r="HX236" t="e">
        <f>AND(Bills!N1027,"AAAAAD3/vuc=")</f>
        <v>#VALUE!</v>
      </c>
      <c r="HY236" t="e">
        <f>AND(Bills!O1027,"AAAAAD3/vug=")</f>
        <v>#VALUE!</v>
      </c>
      <c r="HZ236" t="e">
        <f>AND(Bills!P1027,"AAAAAD3/vuk=")</f>
        <v>#VALUE!</v>
      </c>
      <c r="IA236" t="e">
        <f>AND(Bills!Q1027,"AAAAAD3/vuo=")</f>
        <v>#VALUE!</v>
      </c>
      <c r="IB236" t="e">
        <f>AND(Bills!R1027,"AAAAAD3/vus=")</f>
        <v>#VALUE!</v>
      </c>
      <c r="IC236" t="e">
        <f>AND(Bills!S1027,"AAAAAD3/vuw=")</f>
        <v>#VALUE!</v>
      </c>
      <c r="ID236" t="e">
        <f>AND(Bills!T1027,"AAAAAD3/vu0=")</f>
        <v>#VALUE!</v>
      </c>
      <c r="IE236" t="e">
        <f>AND(Bills!#REF!,"AAAAAD3/vu4=")</f>
        <v>#REF!</v>
      </c>
      <c r="IF236" t="e">
        <f>AND(Bills!U1027,"AAAAAD3/vu8=")</f>
        <v>#VALUE!</v>
      </c>
      <c r="IG236" t="e">
        <f>AND(Bills!V1027,"AAAAAD3/vvA=")</f>
        <v>#VALUE!</v>
      </c>
      <c r="IH236" t="e">
        <f>AND(Bills!W1027,"AAAAAD3/vvE=")</f>
        <v>#VALUE!</v>
      </c>
      <c r="II236" t="e">
        <f>AND(Bills!#REF!,"AAAAAD3/vvI=")</f>
        <v>#REF!</v>
      </c>
      <c r="IJ236" t="e">
        <f>AND(Bills!#REF!,"AAAAAD3/vvM=")</f>
        <v>#REF!</v>
      </c>
      <c r="IK236" t="e">
        <f>AND(Bills!Y1027,"AAAAAD3/vvQ=")</f>
        <v>#VALUE!</v>
      </c>
      <c r="IL236" t="e">
        <f>AND(Bills!Z1027,"AAAAAD3/vvU=")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AND(Bills!AA1027,"AAAAAD3/vv8=")</f>
        <v>#VALUE!</v>
      </c>
    </row>
    <row r="237" spans="1:256">
      <c r="A237" t="e">
        <f>AND(Bills!AB1027,"AAAAAG7P/QA=")</f>
        <v>#VALUE!</v>
      </c>
      <c r="B237" t="e">
        <f>AND(Bills!#REF!,"AAAAAG7P/QE=")</f>
        <v>#REF!</v>
      </c>
      <c r="C237" t="e">
        <f>AND(Bills!#REF!,"AAAAAG7P/QI=")</f>
        <v>#REF!</v>
      </c>
      <c r="D237" t="e">
        <f>AND(Bills!#REF!,"AAAAAG7P/QM=")</f>
        <v>#REF!</v>
      </c>
      <c r="E237" t="e">
        <f>AND(Bills!AC1027,"AAAAAG7P/QQ=")</f>
        <v>#VALUE!</v>
      </c>
      <c r="F237" t="e">
        <f>AND(Bills!AD1027,"AAAAAG7P/QU=")</f>
        <v>#VALUE!</v>
      </c>
      <c r="G237" t="e">
        <f>AND(Bills!#REF!,"AAAAAG7P/QY=")</f>
        <v>#REF!</v>
      </c>
      <c r="H237">
        <f>IF(Bills!1028:1028,"AAAAAG7P/Qc=",0)</f>
        <v>0</v>
      </c>
      <c r="I237" t="e">
        <f>AND(Bills!B1028,"AAAAAG7P/Qg=")</f>
        <v>#VALUE!</v>
      </c>
      <c r="J237" t="e">
        <f>AND(Bills!#REF!,"AAAAAG7P/Qk=")</f>
        <v>#REF!</v>
      </c>
      <c r="K237" t="e">
        <f>AND(Bills!C1028,"AAAAAG7P/Qo=")</f>
        <v>#VALUE!</v>
      </c>
      <c r="L237" t="e">
        <f>AND(Bills!D1028,"AAAAAG7P/Qs=")</f>
        <v>#VALUE!</v>
      </c>
      <c r="M237" t="e">
        <f>AND(Bills!E1028,"AAAAAG7P/Qw=")</f>
        <v>#VALUE!</v>
      </c>
      <c r="N237" t="e">
        <f>AND(Bills!#REF!,"AAAAAG7P/Q0=")</f>
        <v>#REF!</v>
      </c>
      <c r="O237" t="e">
        <f>AND(Bills!#REF!,"AAAAAG7P/Q4=")</f>
        <v>#REF!</v>
      </c>
      <c r="P237" t="e">
        <f>AND(Bills!#REF!,"AAAAAG7P/Q8=")</f>
        <v>#REF!</v>
      </c>
      <c r="Q237" t="e">
        <f>AND(Bills!F1028,"AAAAAG7P/RA=")</f>
        <v>#VALUE!</v>
      </c>
      <c r="R237" t="e">
        <f>AND(Bills!#REF!,"AAAAAG7P/RE=")</f>
        <v>#REF!</v>
      </c>
      <c r="S237" t="e">
        <f>AND(Bills!G1028,"AAAAAG7P/RI=")</f>
        <v>#VALUE!</v>
      </c>
      <c r="T237" t="e">
        <f>AND(Bills!H1028,"AAAAAG7P/RM=")</f>
        <v>#VALUE!</v>
      </c>
      <c r="U237" t="e">
        <f>AND(Bills!I1028,"AAAAAG7P/RQ=")</f>
        <v>#VALUE!</v>
      </c>
      <c r="V237" t="e">
        <f>AND(Bills!J1028,"AAAAAG7P/RU=")</f>
        <v>#VALUE!</v>
      </c>
      <c r="W237" t="e">
        <f>AND(Bills!K1028,"AAAAAG7P/RY=")</f>
        <v>#VALUE!</v>
      </c>
      <c r="X237" t="e">
        <f>AND(Bills!L1028,"AAAAAG7P/Rc=")</f>
        <v>#VALUE!</v>
      </c>
      <c r="Y237" t="e">
        <f>AND(Bills!#REF!,"AAAAAG7P/Rg=")</f>
        <v>#REF!</v>
      </c>
      <c r="Z237" t="e">
        <f>AND(Bills!M1028,"AAAAAG7P/Rk=")</f>
        <v>#VALUE!</v>
      </c>
      <c r="AA237" t="e">
        <f>AND(Bills!N1028,"AAAAAG7P/Ro=")</f>
        <v>#VALUE!</v>
      </c>
      <c r="AB237" t="e">
        <f>AND(Bills!O1028,"AAAAAG7P/Rs=")</f>
        <v>#VALUE!</v>
      </c>
      <c r="AC237" t="e">
        <f>AND(Bills!P1028,"AAAAAG7P/Rw=")</f>
        <v>#VALUE!</v>
      </c>
      <c r="AD237" t="e">
        <f>AND(Bills!Q1028,"AAAAAG7P/R0=")</f>
        <v>#VALUE!</v>
      </c>
      <c r="AE237" t="e">
        <f>AND(Bills!R1028,"AAAAAG7P/R4=")</f>
        <v>#VALUE!</v>
      </c>
      <c r="AF237" t="e">
        <f>AND(Bills!S1028,"AAAAAG7P/R8=")</f>
        <v>#VALUE!</v>
      </c>
      <c r="AG237" t="e">
        <f>AND(Bills!T1028,"AAAAAG7P/SA=")</f>
        <v>#VALUE!</v>
      </c>
      <c r="AH237" t="e">
        <f>AND(Bills!#REF!,"AAAAAG7P/SE=")</f>
        <v>#REF!</v>
      </c>
      <c r="AI237" t="e">
        <f>AND(Bills!U1028,"AAAAAG7P/SI=")</f>
        <v>#VALUE!</v>
      </c>
      <c r="AJ237" t="e">
        <f>AND(Bills!V1028,"AAAAAG7P/SM=")</f>
        <v>#VALUE!</v>
      </c>
      <c r="AK237" t="e">
        <f>AND(Bills!W1028,"AAAAAG7P/SQ=")</f>
        <v>#VALUE!</v>
      </c>
      <c r="AL237" t="e">
        <f>AND(Bills!#REF!,"AAAAAG7P/SU=")</f>
        <v>#REF!</v>
      </c>
      <c r="AM237" t="e">
        <f>AND(Bills!#REF!,"AAAAAG7P/SY=")</f>
        <v>#REF!</v>
      </c>
      <c r="AN237" t="e">
        <f>AND(Bills!Y1028,"AAAAAG7P/Sc=")</f>
        <v>#VALUE!</v>
      </c>
      <c r="AO237" t="e">
        <f>AND(Bills!Z1028,"AAAAAG7P/Sg=")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AND(Bills!AA1028,"AAAAAG7P/TI=")</f>
        <v>#VALUE!</v>
      </c>
      <c r="AZ237" t="e">
        <f>AND(Bills!AB1028,"AAAAAG7P/TM=")</f>
        <v>#VALUE!</v>
      </c>
      <c r="BA237" t="e">
        <f>AND(Bills!#REF!,"AAAAAG7P/TQ=")</f>
        <v>#REF!</v>
      </c>
      <c r="BB237" t="e">
        <f>AND(Bills!#REF!,"AAAAAG7P/TU=")</f>
        <v>#REF!</v>
      </c>
      <c r="BC237" t="e">
        <f>AND(Bills!#REF!,"AAAAAG7P/TY=")</f>
        <v>#REF!</v>
      </c>
      <c r="BD237" t="e">
        <f>AND(Bills!AC1028,"AAAAAG7P/Tc=")</f>
        <v>#VALUE!</v>
      </c>
      <c r="BE237" t="e">
        <f>AND(Bills!AD1028,"AAAAAG7P/Tg=")</f>
        <v>#VALUE!</v>
      </c>
      <c r="BF237" t="e">
        <f>AND(Bills!#REF!,"AAAAAG7P/Tk=")</f>
        <v>#REF!</v>
      </c>
      <c r="BG237">
        <f>IF(Bills!1029:1029,"AAAAAG7P/To=",0)</f>
        <v>0</v>
      </c>
      <c r="BH237" t="e">
        <f>AND(Bills!B1029,"AAAAAG7P/Ts=")</f>
        <v>#VALUE!</v>
      </c>
      <c r="BI237" t="e">
        <f>AND(Bills!#REF!,"AAAAAG7P/Tw=")</f>
        <v>#REF!</v>
      </c>
      <c r="BJ237" t="e">
        <f>AND(Bills!C1029,"AAAAAG7P/T0=")</f>
        <v>#VALUE!</v>
      </c>
      <c r="BK237" t="e">
        <f>AND(Bills!D1029,"AAAAAG7P/T4=")</f>
        <v>#VALUE!</v>
      </c>
      <c r="BL237" t="e">
        <f>AND(Bills!E1029,"AAAAAG7P/T8=")</f>
        <v>#VALUE!</v>
      </c>
      <c r="BM237" t="e">
        <f>AND(Bills!#REF!,"AAAAAG7P/UA=")</f>
        <v>#REF!</v>
      </c>
      <c r="BN237" t="e">
        <f>AND(Bills!#REF!,"AAAAAG7P/UE=")</f>
        <v>#REF!</v>
      </c>
      <c r="BO237" t="e">
        <f>AND(Bills!#REF!,"AAAAAG7P/UI=")</f>
        <v>#REF!</v>
      </c>
      <c r="BP237" t="e">
        <f>AND(Bills!F1029,"AAAAAG7P/UM=")</f>
        <v>#VALUE!</v>
      </c>
      <c r="BQ237" t="e">
        <f>AND(Bills!#REF!,"AAAAAG7P/UQ=")</f>
        <v>#REF!</v>
      </c>
      <c r="BR237" t="e">
        <f>AND(Bills!G1029,"AAAAAG7P/UU=")</f>
        <v>#VALUE!</v>
      </c>
      <c r="BS237" t="e">
        <f>AND(Bills!H1029,"AAAAAG7P/UY=")</f>
        <v>#VALUE!</v>
      </c>
      <c r="BT237" t="e">
        <f>AND(Bills!I1029,"AAAAAG7P/Uc=")</f>
        <v>#VALUE!</v>
      </c>
      <c r="BU237" t="e">
        <f>AND(Bills!J1029,"AAAAAG7P/Ug=")</f>
        <v>#VALUE!</v>
      </c>
      <c r="BV237" t="e">
        <f>AND(Bills!K1029,"AAAAAG7P/Uk=")</f>
        <v>#VALUE!</v>
      </c>
      <c r="BW237" t="e">
        <f>AND(Bills!L1029,"AAAAAG7P/Uo=")</f>
        <v>#VALUE!</v>
      </c>
      <c r="BX237" t="e">
        <f>AND(Bills!#REF!,"AAAAAG7P/Us=")</f>
        <v>#REF!</v>
      </c>
      <c r="BY237" t="e">
        <f>AND(Bills!M1029,"AAAAAG7P/Uw=")</f>
        <v>#VALUE!</v>
      </c>
      <c r="BZ237" t="e">
        <f>AND(Bills!N1029,"AAAAAG7P/U0=")</f>
        <v>#VALUE!</v>
      </c>
      <c r="CA237" t="e">
        <f>AND(Bills!O1029,"AAAAAG7P/U4=")</f>
        <v>#VALUE!</v>
      </c>
      <c r="CB237" t="e">
        <f>AND(Bills!P1029,"AAAAAG7P/U8=")</f>
        <v>#VALUE!</v>
      </c>
      <c r="CC237" t="e">
        <f>AND(Bills!Q1029,"AAAAAG7P/VA=")</f>
        <v>#VALUE!</v>
      </c>
      <c r="CD237" t="e">
        <f>AND(Bills!R1029,"AAAAAG7P/VE=")</f>
        <v>#VALUE!</v>
      </c>
      <c r="CE237" t="e">
        <f>AND(Bills!S1029,"AAAAAG7P/VI=")</f>
        <v>#VALUE!</v>
      </c>
      <c r="CF237" t="e">
        <f>AND(Bills!T1029,"AAAAAG7P/VM=")</f>
        <v>#VALUE!</v>
      </c>
      <c r="CG237" t="e">
        <f>AND(Bills!#REF!,"AAAAAG7P/VQ=")</f>
        <v>#REF!</v>
      </c>
      <c r="CH237" t="e">
        <f>AND(Bills!U1029,"AAAAAG7P/VU=")</f>
        <v>#VALUE!</v>
      </c>
      <c r="CI237" t="e">
        <f>AND(Bills!V1029,"AAAAAG7P/VY=")</f>
        <v>#VALUE!</v>
      </c>
      <c r="CJ237" t="e">
        <f>AND(Bills!W1029,"AAAAAG7P/Vc=")</f>
        <v>#VALUE!</v>
      </c>
      <c r="CK237" t="e">
        <f>AND(Bills!#REF!,"AAAAAG7P/Vg=")</f>
        <v>#REF!</v>
      </c>
      <c r="CL237" t="e">
        <f>AND(Bills!#REF!,"AAAAAG7P/Vk=")</f>
        <v>#REF!</v>
      </c>
      <c r="CM237" t="e">
        <f>AND(Bills!Y1029,"AAAAAG7P/Vo=")</f>
        <v>#VALUE!</v>
      </c>
      <c r="CN237" t="e">
        <f>AND(Bills!Z1029,"AAAAAG7P/Vs=")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AND(Bills!AA1029,"AAAAAG7P/WU=")</f>
        <v>#VALUE!</v>
      </c>
      <c r="CY237" t="e">
        <f>AND(Bills!AB1029,"AAAAAG7P/WY=")</f>
        <v>#VALUE!</v>
      </c>
      <c r="CZ237" t="e">
        <f>AND(Bills!#REF!,"AAAAAG7P/Wc=")</f>
        <v>#REF!</v>
      </c>
      <c r="DA237" t="e">
        <f>AND(Bills!#REF!,"AAAAAG7P/Wg=")</f>
        <v>#REF!</v>
      </c>
      <c r="DB237" t="e">
        <f>AND(Bills!#REF!,"AAAAAG7P/Wk=")</f>
        <v>#REF!</v>
      </c>
      <c r="DC237" t="e">
        <f>AND(Bills!AC1029,"AAAAAG7P/Wo=")</f>
        <v>#VALUE!</v>
      </c>
      <c r="DD237" t="e">
        <f>AND(Bills!AD1029,"AAAAAG7P/Ws=")</f>
        <v>#VALUE!</v>
      </c>
      <c r="DE237" t="e">
        <f>AND(Bills!#REF!,"AAAAAG7P/Ww=")</f>
        <v>#REF!</v>
      </c>
      <c r="DF237">
        <f>IF(Bills!1030:1030,"AAAAAG7P/W0=",0)</f>
        <v>0</v>
      </c>
      <c r="DG237" t="e">
        <f>AND(Bills!B1030,"AAAAAG7P/W4=")</f>
        <v>#VALUE!</v>
      </c>
      <c r="DH237" t="e">
        <f>AND(Bills!#REF!,"AAAAAG7P/W8=")</f>
        <v>#REF!</v>
      </c>
      <c r="DI237" t="e">
        <f>AND(Bills!C1030,"AAAAAG7P/XA=")</f>
        <v>#VALUE!</v>
      </c>
      <c r="DJ237" t="e">
        <f>AND(Bills!D1030,"AAAAAG7P/XE=")</f>
        <v>#VALUE!</v>
      </c>
      <c r="DK237" t="e">
        <f>AND(Bills!E1030,"AAAAAG7P/XI=")</f>
        <v>#VALUE!</v>
      </c>
      <c r="DL237" t="e">
        <f>AND(Bills!#REF!,"AAAAAG7P/XM=")</f>
        <v>#REF!</v>
      </c>
      <c r="DM237" t="e">
        <f>AND(Bills!#REF!,"AAAAAG7P/XQ=")</f>
        <v>#REF!</v>
      </c>
      <c r="DN237" t="e">
        <f>AND(Bills!#REF!,"AAAAAG7P/XU=")</f>
        <v>#REF!</v>
      </c>
      <c r="DO237" t="e">
        <f>AND(Bills!F1030,"AAAAAG7P/XY=")</f>
        <v>#VALUE!</v>
      </c>
      <c r="DP237" t="e">
        <f>AND(Bills!#REF!,"AAAAAG7P/Xc=")</f>
        <v>#REF!</v>
      </c>
      <c r="DQ237" t="e">
        <f>AND(Bills!G1030,"AAAAAG7P/Xg=")</f>
        <v>#VALUE!</v>
      </c>
      <c r="DR237" t="e">
        <f>AND(Bills!H1030,"AAAAAG7P/Xk=")</f>
        <v>#VALUE!</v>
      </c>
      <c r="DS237" t="e">
        <f>AND(Bills!I1030,"AAAAAG7P/Xo=")</f>
        <v>#VALUE!</v>
      </c>
      <c r="DT237" t="e">
        <f>AND(Bills!J1030,"AAAAAG7P/Xs=")</f>
        <v>#VALUE!</v>
      </c>
      <c r="DU237" t="e">
        <f>AND(Bills!K1030,"AAAAAG7P/Xw=")</f>
        <v>#VALUE!</v>
      </c>
      <c r="DV237" t="e">
        <f>AND(Bills!L1030,"AAAAAG7P/X0=")</f>
        <v>#VALUE!</v>
      </c>
      <c r="DW237" t="e">
        <f>AND(Bills!#REF!,"AAAAAG7P/X4=")</f>
        <v>#REF!</v>
      </c>
      <c r="DX237" t="e">
        <f>AND(Bills!M1030,"AAAAAG7P/X8=")</f>
        <v>#VALUE!</v>
      </c>
      <c r="DY237" t="e">
        <f>AND(Bills!N1030,"AAAAAG7P/YA=")</f>
        <v>#VALUE!</v>
      </c>
      <c r="DZ237" t="e">
        <f>AND(Bills!O1030,"AAAAAG7P/YE=")</f>
        <v>#VALUE!</v>
      </c>
      <c r="EA237" t="e">
        <f>AND(Bills!P1030,"AAAAAG7P/YI=")</f>
        <v>#VALUE!</v>
      </c>
      <c r="EB237" t="e">
        <f>AND(Bills!Q1030,"AAAAAG7P/YM=")</f>
        <v>#VALUE!</v>
      </c>
      <c r="EC237" t="e">
        <f>AND(Bills!R1030,"AAAAAG7P/YQ=")</f>
        <v>#VALUE!</v>
      </c>
      <c r="ED237" t="e">
        <f>AND(Bills!S1030,"AAAAAG7P/YU=")</f>
        <v>#VALUE!</v>
      </c>
      <c r="EE237" t="e">
        <f>AND(Bills!T1030,"AAAAAG7P/YY=")</f>
        <v>#VALUE!</v>
      </c>
      <c r="EF237" t="e">
        <f>AND(Bills!#REF!,"AAAAAG7P/Yc=")</f>
        <v>#REF!</v>
      </c>
      <c r="EG237" t="e">
        <f>AND(Bills!U1030,"AAAAAG7P/Yg=")</f>
        <v>#VALUE!</v>
      </c>
      <c r="EH237" t="e">
        <f>AND(Bills!V1030,"AAAAAG7P/Yk=")</f>
        <v>#VALUE!</v>
      </c>
      <c r="EI237" t="e">
        <f>AND(Bills!W1030,"AAAAAG7P/Yo=")</f>
        <v>#VALUE!</v>
      </c>
      <c r="EJ237" t="e">
        <f>AND(Bills!#REF!,"AAAAAG7P/Ys=")</f>
        <v>#REF!</v>
      </c>
      <c r="EK237" t="e">
        <f>AND(Bills!#REF!,"AAAAAG7P/Yw=")</f>
        <v>#REF!</v>
      </c>
      <c r="EL237" t="e">
        <f>AND(Bills!Y1030,"AAAAAG7P/Y0=")</f>
        <v>#VALUE!</v>
      </c>
      <c r="EM237" t="e">
        <f>AND(Bills!Z1030,"AAAAAG7P/Y4=")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AND(Bills!AA1030,"AAAAAG7P/Zg=")</f>
        <v>#VALUE!</v>
      </c>
      <c r="EX237" t="e">
        <f>AND(Bills!AB1030,"AAAAAG7P/Zk=")</f>
        <v>#VALUE!</v>
      </c>
      <c r="EY237" t="e">
        <f>AND(Bills!#REF!,"AAAAAG7P/Zo=")</f>
        <v>#REF!</v>
      </c>
      <c r="EZ237" t="e">
        <f>AND(Bills!#REF!,"AAAAAG7P/Zs=")</f>
        <v>#REF!</v>
      </c>
      <c r="FA237" t="e">
        <f>AND(Bills!#REF!,"AAAAAG7P/Zw=")</f>
        <v>#REF!</v>
      </c>
      <c r="FB237" t="e">
        <f>AND(Bills!AC1030,"AAAAAG7P/Z0=")</f>
        <v>#VALUE!</v>
      </c>
      <c r="FC237" t="e">
        <f>AND(Bills!AD1030,"AAAAAG7P/Z4=")</f>
        <v>#VALUE!</v>
      </c>
      <c r="FD237" t="e">
        <f>AND(Bills!#REF!,"AAAAAG7P/Z8=")</f>
        <v>#REF!</v>
      </c>
      <c r="FE237">
        <f>IF(Bills!1031:1031,"AAAAAG7P/aA=",0)</f>
        <v>0</v>
      </c>
      <c r="FF237" t="e">
        <f>AND(Bills!B1031,"AAAAAG7P/aE=")</f>
        <v>#VALUE!</v>
      </c>
      <c r="FG237" t="e">
        <f>AND(Bills!#REF!,"AAAAAG7P/aI=")</f>
        <v>#REF!</v>
      </c>
      <c r="FH237" t="e">
        <f>AND(Bills!C1031,"AAAAAG7P/aM=")</f>
        <v>#VALUE!</v>
      </c>
      <c r="FI237" t="e">
        <f>AND(Bills!D1031,"AAAAAG7P/aQ=")</f>
        <v>#VALUE!</v>
      </c>
      <c r="FJ237" t="e">
        <f>AND(Bills!E1031,"AAAAAG7P/aU=")</f>
        <v>#VALUE!</v>
      </c>
      <c r="FK237" t="e">
        <f>AND(Bills!#REF!,"AAAAAG7P/aY=")</f>
        <v>#REF!</v>
      </c>
      <c r="FL237" t="e">
        <f>AND(Bills!#REF!,"AAAAAG7P/ac=")</f>
        <v>#REF!</v>
      </c>
      <c r="FM237" t="e">
        <f>AND(Bills!#REF!,"AAAAAG7P/ag=")</f>
        <v>#REF!</v>
      </c>
      <c r="FN237" t="e">
        <f>AND(Bills!F1031,"AAAAAG7P/ak=")</f>
        <v>#VALUE!</v>
      </c>
      <c r="FO237" t="e">
        <f>AND(Bills!#REF!,"AAAAAG7P/ao=")</f>
        <v>#REF!</v>
      </c>
      <c r="FP237" t="e">
        <f>AND(Bills!G1031,"AAAAAG7P/as=")</f>
        <v>#VALUE!</v>
      </c>
      <c r="FQ237" t="e">
        <f>AND(Bills!H1031,"AAAAAG7P/aw=")</f>
        <v>#VALUE!</v>
      </c>
      <c r="FR237" t="e">
        <f>AND(Bills!I1031,"AAAAAG7P/a0=")</f>
        <v>#VALUE!</v>
      </c>
      <c r="FS237" t="e">
        <f>AND(Bills!J1031,"AAAAAG7P/a4=")</f>
        <v>#VALUE!</v>
      </c>
      <c r="FT237" t="e">
        <f>AND(Bills!K1031,"AAAAAG7P/a8=")</f>
        <v>#VALUE!</v>
      </c>
      <c r="FU237" t="e">
        <f>AND(Bills!L1031,"AAAAAG7P/bA=")</f>
        <v>#VALUE!</v>
      </c>
      <c r="FV237" t="e">
        <f>AND(Bills!#REF!,"AAAAAG7P/bE=")</f>
        <v>#REF!</v>
      </c>
      <c r="FW237" t="e">
        <f>AND(Bills!M1031,"AAAAAG7P/bI=")</f>
        <v>#VALUE!</v>
      </c>
      <c r="FX237" t="e">
        <f>AND(Bills!N1031,"AAAAAG7P/bM=")</f>
        <v>#VALUE!</v>
      </c>
      <c r="FY237" t="e">
        <f>AND(Bills!O1031,"AAAAAG7P/bQ=")</f>
        <v>#VALUE!</v>
      </c>
      <c r="FZ237" t="e">
        <f>AND(Bills!P1031,"AAAAAG7P/bU=")</f>
        <v>#VALUE!</v>
      </c>
      <c r="GA237" t="e">
        <f>AND(Bills!Q1031,"AAAAAG7P/bY=")</f>
        <v>#VALUE!</v>
      </c>
      <c r="GB237" t="e">
        <f>AND(Bills!R1031,"AAAAAG7P/bc=")</f>
        <v>#VALUE!</v>
      </c>
      <c r="GC237" t="e">
        <f>AND(Bills!S1031,"AAAAAG7P/bg=")</f>
        <v>#VALUE!</v>
      </c>
      <c r="GD237" t="e">
        <f>AND(Bills!T1031,"AAAAAG7P/bk=")</f>
        <v>#VALUE!</v>
      </c>
      <c r="GE237" t="e">
        <f>AND(Bills!#REF!,"AAAAAG7P/bo=")</f>
        <v>#REF!</v>
      </c>
      <c r="GF237" t="e">
        <f>AND(Bills!U1031,"AAAAAG7P/bs=")</f>
        <v>#VALUE!</v>
      </c>
      <c r="GG237" t="e">
        <f>AND(Bills!V1031,"AAAAAG7P/bw=")</f>
        <v>#VALUE!</v>
      </c>
      <c r="GH237" t="e">
        <f>AND(Bills!W1031,"AAAAAG7P/b0=")</f>
        <v>#VALUE!</v>
      </c>
      <c r="GI237" t="e">
        <f>AND(Bills!#REF!,"AAAAAG7P/b4=")</f>
        <v>#REF!</v>
      </c>
      <c r="GJ237" t="e">
        <f>AND(Bills!#REF!,"AAAAAG7P/b8=")</f>
        <v>#REF!</v>
      </c>
      <c r="GK237" t="e">
        <f>AND(Bills!Y1031,"AAAAAG7P/cA=")</f>
        <v>#VALUE!</v>
      </c>
      <c r="GL237" t="e">
        <f>AND(Bills!Z1031,"AAAAAG7P/cE=")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AND(Bills!AA1031,"AAAAAG7P/cs=")</f>
        <v>#VALUE!</v>
      </c>
      <c r="GW237" t="e">
        <f>AND(Bills!AB1031,"AAAAAG7P/cw=")</f>
        <v>#VALUE!</v>
      </c>
      <c r="GX237" t="e">
        <f>AND(Bills!#REF!,"AAAAAG7P/c0=")</f>
        <v>#REF!</v>
      </c>
      <c r="GY237" t="e">
        <f>AND(Bills!#REF!,"AAAAAG7P/c4=")</f>
        <v>#REF!</v>
      </c>
      <c r="GZ237" t="e">
        <f>AND(Bills!#REF!,"AAAAAG7P/c8=")</f>
        <v>#REF!</v>
      </c>
      <c r="HA237" t="e">
        <f>AND(Bills!AC1031,"AAAAAG7P/dA=")</f>
        <v>#VALUE!</v>
      </c>
      <c r="HB237" t="e">
        <f>AND(Bills!AD1031,"AAAAAG7P/dE=")</f>
        <v>#VALUE!</v>
      </c>
      <c r="HC237" t="e">
        <f>AND(Bills!#REF!,"AAAAAG7P/dI=")</f>
        <v>#REF!</v>
      </c>
      <c r="HD237">
        <f>IF(Bills!1032:1032,"AAAAAG7P/dM=",0)</f>
        <v>0</v>
      </c>
      <c r="HE237" t="e">
        <f>AND(Bills!B1032,"AAAAAG7P/dQ=")</f>
        <v>#VALUE!</v>
      </c>
      <c r="HF237" t="e">
        <f>AND(Bills!#REF!,"AAAAAG7P/dU=")</f>
        <v>#REF!</v>
      </c>
      <c r="HG237" t="e">
        <f>AND(Bills!C1032,"AAAAAG7P/dY=")</f>
        <v>#VALUE!</v>
      </c>
      <c r="HH237" t="e">
        <f>AND(Bills!D1032,"AAAAAG7P/dc=")</f>
        <v>#VALUE!</v>
      </c>
      <c r="HI237" t="e">
        <f>AND(Bills!E1032,"AAAAAG7P/dg=")</f>
        <v>#VALUE!</v>
      </c>
      <c r="HJ237" t="e">
        <f>AND(Bills!#REF!,"AAAAAG7P/dk=")</f>
        <v>#REF!</v>
      </c>
      <c r="HK237" t="e">
        <f>AND(Bills!#REF!,"AAAAAG7P/do=")</f>
        <v>#REF!</v>
      </c>
      <c r="HL237" t="e">
        <f>AND(Bills!#REF!,"AAAAAG7P/ds=")</f>
        <v>#REF!</v>
      </c>
      <c r="HM237" t="e">
        <f>AND(Bills!F1032,"AAAAAG7P/dw=")</f>
        <v>#VALUE!</v>
      </c>
      <c r="HN237" t="e">
        <f>AND(Bills!#REF!,"AAAAAG7P/d0=")</f>
        <v>#REF!</v>
      </c>
      <c r="HO237" t="e">
        <f>AND(Bills!G1032,"AAAAAG7P/d4=")</f>
        <v>#VALUE!</v>
      </c>
      <c r="HP237" t="e">
        <f>AND(Bills!H1032,"AAAAAG7P/d8=")</f>
        <v>#VALUE!</v>
      </c>
      <c r="HQ237" t="e">
        <f>AND(Bills!I1032,"AAAAAG7P/eA=")</f>
        <v>#VALUE!</v>
      </c>
      <c r="HR237" t="e">
        <f>AND(Bills!J1032,"AAAAAG7P/eE=")</f>
        <v>#VALUE!</v>
      </c>
      <c r="HS237" t="e">
        <f>AND(Bills!K1032,"AAAAAG7P/eI=")</f>
        <v>#VALUE!</v>
      </c>
      <c r="HT237" t="e">
        <f>AND(Bills!L1032,"AAAAAG7P/eM=")</f>
        <v>#VALUE!</v>
      </c>
      <c r="HU237" t="e">
        <f>AND(Bills!#REF!,"AAAAAG7P/eQ=")</f>
        <v>#REF!</v>
      </c>
      <c r="HV237" t="e">
        <f>AND(Bills!M1032,"AAAAAG7P/eU=")</f>
        <v>#VALUE!</v>
      </c>
      <c r="HW237" t="e">
        <f>AND(Bills!N1032,"AAAAAG7P/eY=")</f>
        <v>#VALUE!</v>
      </c>
      <c r="HX237" t="e">
        <f>AND(Bills!O1032,"AAAAAG7P/ec=")</f>
        <v>#VALUE!</v>
      </c>
      <c r="HY237" t="e">
        <f>AND(Bills!P1032,"AAAAAG7P/eg=")</f>
        <v>#VALUE!</v>
      </c>
      <c r="HZ237" t="e">
        <f>AND(Bills!Q1032,"AAAAAG7P/ek=")</f>
        <v>#VALUE!</v>
      </c>
      <c r="IA237" t="e">
        <f>AND(Bills!R1032,"AAAAAG7P/eo=")</f>
        <v>#VALUE!</v>
      </c>
      <c r="IB237" t="e">
        <f>AND(Bills!S1032,"AAAAAG7P/es=")</f>
        <v>#VALUE!</v>
      </c>
      <c r="IC237" t="e">
        <f>AND(Bills!T1032,"AAAAAG7P/ew=")</f>
        <v>#VALUE!</v>
      </c>
      <c r="ID237" t="e">
        <f>AND(Bills!#REF!,"AAAAAG7P/e0=")</f>
        <v>#REF!</v>
      </c>
      <c r="IE237" t="e">
        <f>AND(Bills!U1032,"AAAAAG7P/e4=")</f>
        <v>#VALUE!</v>
      </c>
      <c r="IF237" t="e">
        <f>AND(Bills!V1032,"AAAAAG7P/e8=")</f>
        <v>#VALUE!</v>
      </c>
      <c r="IG237" t="e">
        <f>AND(Bills!W1032,"AAAAAG7P/fA=")</f>
        <v>#VALUE!</v>
      </c>
      <c r="IH237" t="e">
        <f>AND(Bills!#REF!,"AAAAAG7P/fE=")</f>
        <v>#REF!</v>
      </c>
      <c r="II237" t="e">
        <f>AND(Bills!#REF!,"AAAAAG7P/fI=")</f>
        <v>#REF!</v>
      </c>
      <c r="IJ237" t="e">
        <f>AND(Bills!Y1032,"AAAAAG7P/fM=")</f>
        <v>#VALUE!</v>
      </c>
      <c r="IK237" t="e">
        <f>AND(Bills!Z1032,"AAAAAG7P/fQ=")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AND(Bills!AA1032,"AAAAAG7P/f4=")</f>
        <v>#VALUE!</v>
      </c>
      <c r="IV237" t="e">
        <f>AND(Bills!AB1032,"AAAAAG7P/f8=")</f>
        <v>#VALUE!</v>
      </c>
    </row>
    <row r="238" spans="1:256">
      <c r="A238" t="e">
        <f>AND(Bills!#REF!,"AAAAABa7PgA=")</f>
        <v>#REF!</v>
      </c>
      <c r="B238" t="e">
        <f>AND(Bills!#REF!,"AAAAABa7PgE=")</f>
        <v>#REF!</v>
      </c>
      <c r="C238" t="e">
        <f>AND(Bills!#REF!,"AAAAABa7PgI=")</f>
        <v>#REF!</v>
      </c>
      <c r="D238" t="e">
        <f>AND(Bills!AC1032,"AAAAABa7PgM=")</f>
        <v>#VALUE!</v>
      </c>
      <c r="E238" t="e">
        <f>AND(Bills!AD1032,"AAAAABa7PgQ=")</f>
        <v>#VALUE!</v>
      </c>
      <c r="F238" t="e">
        <f>AND(Bills!#REF!,"AAAAABa7PgU=")</f>
        <v>#REF!</v>
      </c>
      <c r="G238">
        <f>IF(Bills!1033:1033,"AAAAABa7PgY=",0)</f>
        <v>0</v>
      </c>
      <c r="H238" t="e">
        <f>AND(Bills!B1033,"AAAAABa7Pgc=")</f>
        <v>#VALUE!</v>
      </c>
      <c r="I238" t="e">
        <f>AND(Bills!#REF!,"AAAAABa7Pgg=")</f>
        <v>#REF!</v>
      </c>
      <c r="J238" t="e">
        <f>AND(Bills!C1033,"AAAAABa7Pgk=")</f>
        <v>#VALUE!</v>
      </c>
      <c r="K238" t="e">
        <f>AND(Bills!D1033,"AAAAABa7Pgo=")</f>
        <v>#VALUE!</v>
      </c>
      <c r="L238" t="e">
        <f>AND(Bills!E1033,"AAAAABa7Pgs=")</f>
        <v>#VALUE!</v>
      </c>
      <c r="M238" t="e">
        <f>AND(Bills!#REF!,"AAAAABa7Pgw=")</f>
        <v>#REF!</v>
      </c>
      <c r="N238" t="e">
        <f>AND(Bills!#REF!,"AAAAABa7Pg0=")</f>
        <v>#REF!</v>
      </c>
      <c r="O238" t="e">
        <f>AND(Bills!#REF!,"AAAAABa7Pg4=")</f>
        <v>#REF!</v>
      </c>
      <c r="P238" t="e">
        <f>AND(Bills!F1033,"AAAAABa7Pg8=")</f>
        <v>#VALUE!</v>
      </c>
      <c r="Q238" t="e">
        <f>AND(Bills!#REF!,"AAAAABa7PhA=")</f>
        <v>#REF!</v>
      </c>
      <c r="R238" t="e">
        <f>AND(Bills!G1033,"AAAAABa7PhE=")</f>
        <v>#VALUE!</v>
      </c>
      <c r="S238" t="e">
        <f>AND(Bills!H1033,"AAAAABa7PhI=")</f>
        <v>#VALUE!</v>
      </c>
      <c r="T238" t="e">
        <f>AND(Bills!I1033,"AAAAABa7PhM=")</f>
        <v>#VALUE!</v>
      </c>
      <c r="U238" t="e">
        <f>AND(Bills!J1033,"AAAAABa7PhQ=")</f>
        <v>#VALUE!</v>
      </c>
      <c r="V238" t="e">
        <f>AND(Bills!K1033,"AAAAABa7PhU=")</f>
        <v>#VALUE!</v>
      </c>
      <c r="W238" t="e">
        <f>AND(Bills!L1033,"AAAAABa7PhY=")</f>
        <v>#VALUE!</v>
      </c>
      <c r="X238" t="e">
        <f>AND(Bills!#REF!,"AAAAABa7Phc=")</f>
        <v>#REF!</v>
      </c>
      <c r="Y238" t="e">
        <f>AND(Bills!M1033,"AAAAABa7Phg=")</f>
        <v>#VALUE!</v>
      </c>
      <c r="Z238" t="e">
        <f>AND(Bills!N1033,"AAAAABa7Phk=")</f>
        <v>#VALUE!</v>
      </c>
      <c r="AA238" t="e">
        <f>AND(Bills!O1033,"AAAAABa7Pho=")</f>
        <v>#VALUE!</v>
      </c>
      <c r="AB238" t="e">
        <f>AND(Bills!P1033,"AAAAABa7Phs=")</f>
        <v>#VALUE!</v>
      </c>
      <c r="AC238" t="e">
        <f>AND(Bills!Q1033,"AAAAABa7Phw=")</f>
        <v>#VALUE!</v>
      </c>
      <c r="AD238" t="e">
        <f>AND(Bills!R1033,"AAAAABa7Ph0=")</f>
        <v>#VALUE!</v>
      </c>
      <c r="AE238" t="e">
        <f>AND(Bills!S1033,"AAAAABa7Ph4=")</f>
        <v>#VALUE!</v>
      </c>
      <c r="AF238" t="e">
        <f>AND(Bills!T1033,"AAAAABa7Ph8=")</f>
        <v>#VALUE!</v>
      </c>
      <c r="AG238" t="e">
        <f>AND(Bills!#REF!,"AAAAABa7PiA=")</f>
        <v>#REF!</v>
      </c>
      <c r="AH238" t="e">
        <f>AND(Bills!U1033,"AAAAABa7PiE=")</f>
        <v>#VALUE!</v>
      </c>
      <c r="AI238" t="e">
        <f>AND(Bills!V1033,"AAAAABa7PiI=")</f>
        <v>#VALUE!</v>
      </c>
      <c r="AJ238" t="e">
        <f>AND(Bills!W1033,"AAAAABa7PiM=")</f>
        <v>#VALUE!</v>
      </c>
      <c r="AK238" t="e">
        <f>AND(Bills!#REF!,"AAAAABa7PiQ=")</f>
        <v>#REF!</v>
      </c>
      <c r="AL238" t="e">
        <f>AND(Bills!#REF!,"AAAAABa7PiU=")</f>
        <v>#REF!</v>
      </c>
      <c r="AM238" t="e">
        <f>AND(Bills!Y1033,"AAAAABa7PiY=")</f>
        <v>#VALUE!</v>
      </c>
      <c r="AN238" t="e">
        <f>AND(Bills!Z1033,"AAAAABa7Pic=")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AND(Bills!AA1033,"AAAAABa7PjE=")</f>
        <v>#VALUE!</v>
      </c>
      <c r="AY238" t="e">
        <f>AND(Bills!AB1033,"AAAAABa7PjI=")</f>
        <v>#VALUE!</v>
      </c>
      <c r="AZ238" t="e">
        <f>AND(Bills!#REF!,"AAAAABa7PjM=")</f>
        <v>#REF!</v>
      </c>
      <c r="BA238" t="e">
        <f>AND(Bills!#REF!,"AAAAABa7PjQ=")</f>
        <v>#REF!</v>
      </c>
      <c r="BB238" t="e">
        <f>AND(Bills!#REF!,"AAAAABa7PjU=")</f>
        <v>#REF!</v>
      </c>
      <c r="BC238" t="e">
        <f>AND(Bills!AC1033,"AAAAABa7PjY=")</f>
        <v>#VALUE!</v>
      </c>
      <c r="BD238" t="e">
        <f>AND(Bills!AD1033,"AAAAABa7Pjc=")</f>
        <v>#VALUE!</v>
      </c>
      <c r="BE238" t="e">
        <f>AND(Bills!#REF!,"AAAAABa7Pjg=")</f>
        <v>#REF!</v>
      </c>
      <c r="BF238">
        <f>IF(Bills!1034:1034,"AAAAABa7Pjk=",0)</f>
        <v>0</v>
      </c>
      <c r="BG238" t="e">
        <f>AND(Bills!B1034,"AAAAABa7Pjo=")</f>
        <v>#VALUE!</v>
      </c>
      <c r="BH238" t="e">
        <f>AND(Bills!#REF!,"AAAAABa7Pjs=")</f>
        <v>#REF!</v>
      </c>
      <c r="BI238" t="e">
        <f>AND(Bills!C1034,"AAAAABa7Pjw=")</f>
        <v>#VALUE!</v>
      </c>
      <c r="BJ238" t="e">
        <f>AND(Bills!D1034,"AAAAABa7Pj0=")</f>
        <v>#VALUE!</v>
      </c>
      <c r="BK238" t="e">
        <f>AND(Bills!E1034,"AAAAABa7Pj4=")</f>
        <v>#VALUE!</v>
      </c>
      <c r="BL238" t="e">
        <f>AND(Bills!#REF!,"AAAAABa7Pj8=")</f>
        <v>#REF!</v>
      </c>
      <c r="BM238" t="e">
        <f>AND(Bills!#REF!,"AAAAABa7PkA=")</f>
        <v>#REF!</v>
      </c>
      <c r="BN238" t="e">
        <f>AND(Bills!#REF!,"AAAAABa7PkE=")</f>
        <v>#REF!</v>
      </c>
      <c r="BO238" t="e">
        <f>AND(Bills!F1034,"AAAAABa7PkI=")</f>
        <v>#VALUE!</v>
      </c>
      <c r="BP238" t="e">
        <f>AND(Bills!#REF!,"AAAAABa7PkM=")</f>
        <v>#REF!</v>
      </c>
      <c r="BQ238" t="e">
        <f>AND(Bills!G1034,"AAAAABa7PkQ=")</f>
        <v>#VALUE!</v>
      </c>
      <c r="BR238" t="e">
        <f>AND(Bills!H1034,"AAAAABa7PkU=")</f>
        <v>#VALUE!</v>
      </c>
      <c r="BS238" t="e">
        <f>AND(Bills!I1034,"AAAAABa7PkY=")</f>
        <v>#VALUE!</v>
      </c>
      <c r="BT238" t="e">
        <f>AND(Bills!J1034,"AAAAABa7Pkc=")</f>
        <v>#VALUE!</v>
      </c>
      <c r="BU238" t="e">
        <f>AND(Bills!K1034,"AAAAABa7Pkg=")</f>
        <v>#VALUE!</v>
      </c>
      <c r="BV238" t="e">
        <f>AND(Bills!L1034,"AAAAABa7Pkk=")</f>
        <v>#VALUE!</v>
      </c>
      <c r="BW238" t="e">
        <f>AND(Bills!#REF!,"AAAAABa7Pko=")</f>
        <v>#REF!</v>
      </c>
      <c r="BX238" t="e">
        <f>AND(Bills!M1034,"AAAAABa7Pks=")</f>
        <v>#VALUE!</v>
      </c>
      <c r="BY238" t="e">
        <f>AND(Bills!N1034,"AAAAABa7Pkw=")</f>
        <v>#VALUE!</v>
      </c>
      <c r="BZ238" t="e">
        <f>AND(Bills!O1034,"AAAAABa7Pk0=")</f>
        <v>#VALUE!</v>
      </c>
      <c r="CA238" t="e">
        <f>AND(Bills!P1034,"AAAAABa7Pk4=")</f>
        <v>#VALUE!</v>
      </c>
      <c r="CB238" t="e">
        <f>AND(Bills!Q1034,"AAAAABa7Pk8=")</f>
        <v>#VALUE!</v>
      </c>
      <c r="CC238" t="e">
        <f>AND(Bills!R1034,"AAAAABa7PlA=")</f>
        <v>#VALUE!</v>
      </c>
      <c r="CD238" t="e">
        <f>AND(Bills!S1034,"AAAAABa7PlE=")</f>
        <v>#VALUE!</v>
      </c>
      <c r="CE238" t="e">
        <f>AND(Bills!T1034,"AAAAABa7PlI=")</f>
        <v>#VALUE!</v>
      </c>
      <c r="CF238" t="e">
        <f>AND(Bills!#REF!,"AAAAABa7PlM=")</f>
        <v>#REF!</v>
      </c>
      <c r="CG238" t="e">
        <f>AND(Bills!U1034,"AAAAABa7PlQ=")</f>
        <v>#VALUE!</v>
      </c>
      <c r="CH238" t="e">
        <f>AND(Bills!V1034,"AAAAABa7PlU=")</f>
        <v>#VALUE!</v>
      </c>
      <c r="CI238" t="e">
        <f>AND(Bills!W1034,"AAAAABa7PlY=")</f>
        <v>#VALUE!</v>
      </c>
      <c r="CJ238" t="e">
        <f>AND(Bills!#REF!,"AAAAABa7Plc=")</f>
        <v>#REF!</v>
      </c>
      <c r="CK238" t="e">
        <f>AND(Bills!#REF!,"AAAAABa7Plg=")</f>
        <v>#REF!</v>
      </c>
      <c r="CL238" t="e">
        <f>AND(Bills!Y1034,"AAAAABa7Plk=")</f>
        <v>#VALUE!</v>
      </c>
      <c r="CM238" t="e">
        <f>AND(Bills!Z1034,"AAAAABa7Plo=")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AND(Bills!AA1034,"AAAAABa7PmQ=")</f>
        <v>#VALUE!</v>
      </c>
      <c r="CX238" t="e">
        <f>AND(Bills!AB1034,"AAAAABa7PmU=")</f>
        <v>#VALUE!</v>
      </c>
      <c r="CY238" t="e">
        <f>AND(Bills!#REF!,"AAAAABa7PmY=")</f>
        <v>#REF!</v>
      </c>
      <c r="CZ238" t="e">
        <f>AND(Bills!#REF!,"AAAAABa7Pmc=")</f>
        <v>#REF!</v>
      </c>
      <c r="DA238" t="e">
        <f>AND(Bills!#REF!,"AAAAABa7Pmg=")</f>
        <v>#REF!</v>
      </c>
      <c r="DB238" t="e">
        <f>AND(Bills!AC1034,"AAAAABa7Pmk=")</f>
        <v>#VALUE!</v>
      </c>
      <c r="DC238" t="e">
        <f>AND(Bills!AD1034,"AAAAABa7Pmo=")</f>
        <v>#VALUE!</v>
      </c>
      <c r="DD238" t="e">
        <f>AND(Bills!#REF!,"AAAAABa7Pms=")</f>
        <v>#REF!</v>
      </c>
      <c r="DE238">
        <f>IF(Bills!1035:1035,"AAAAABa7Pmw=",0)</f>
        <v>0</v>
      </c>
      <c r="DF238" t="e">
        <f>AND(Bills!B1035,"AAAAABa7Pm0=")</f>
        <v>#VALUE!</v>
      </c>
      <c r="DG238" t="e">
        <f>AND(Bills!#REF!,"AAAAABa7Pm4=")</f>
        <v>#REF!</v>
      </c>
      <c r="DH238" t="e">
        <f>AND(Bills!C1035,"AAAAABa7Pm8=")</f>
        <v>#VALUE!</v>
      </c>
      <c r="DI238" t="e">
        <f>AND(Bills!D1035,"AAAAABa7PnA=")</f>
        <v>#VALUE!</v>
      </c>
      <c r="DJ238" t="e">
        <f>AND(Bills!E1035,"AAAAABa7PnE=")</f>
        <v>#VALUE!</v>
      </c>
      <c r="DK238" t="e">
        <f>AND(Bills!#REF!,"AAAAABa7PnI=")</f>
        <v>#REF!</v>
      </c>
      <c r="DL238" t="e">
        <f>AND(Bills!#REF!,"AAAAABa7PnM=")</f>
        <v>#REF!</v>
      </c>
      <c r="DM238" t="e">
        <f>AND(Bills!#REF!,"AAAAABa7PnQ=")</f>
        <v>#REF!</v>
      </c>
      <c r="DN238" t="e">
        <f>AND(Bills!F1035,"AAAAABa7PnU=")</f>
        <v>#VALUE!</v>
      </c>
      <c r="DO238" t="e">
        <f>AND(Bills!#REF!,"AAAAABa7PnY=")</f>
        <v>#REF!</v>
      </c>
      <c r="DP238" t="e">
        <f>AND(Bills!G1035,"AAAAABa7Pnc=")</f>
        <v>#VALUE!</v>
      </c>
      <c r="DQ238" t="e">
        <f>AND(Bills!H1035,"AAAAABa7Png=")</f>
        <v>#VALUE!</v>
      </c>
      <c r="DR238" t="e">
        <f>AND(Bills!I1035,"AAAAABa7Pnk=")</f>
        <v>#VALUE!</v>
      </c>
      <c r="DS238" t="e">
        <f>AND(Bills!J1035,"AAAAABa7Pno=")</f>
        <v>#VALUE!</v>
      </c>
      <c r="DT238" t="e">
        <f>AND(Bills!K1035,"AAAAABa7Pns=")</f>
        <v>#VALUE!</v>
      </c>
      <c r="DU238" t="e">
        <f>AND(Bills!L1035,"AAAAABa7Pnw=")</f>
        <v>#VALUE!</v>
      </c>
      <c r="DV238" t="e">
        <f>AND(Bills!#REF!,"AAAAABa7Pn0=")</f>
        <v>#REF!</v>
      </c>
      <c r="DW238" t="e">
        <f>AND(Bills!M1035,"AAAAABa7Pn4=")</f>
        <v>#VALUE!</v>
      </c>
      <c r="DX238" t="e">
        <f>AND(Bills!N1035,"AAAAABa7Pn8=")</f>
        <v>#VALUE!</v>
      </c>
      <c r="DY238" t="e">
        <f>AND(Bills!O1035,"AAAAABa7PoA=")</f>
        <v>#VALUE!</v>
      </c>
      <c r="DZ238" t="e">
        <f>AND(Bills!P1035,"AAAAABa7PoE=")</f>
        <v>#VALUE!</v>
      </c>
      <c r="EA238" t="e">
        <f>AND(Bills!Q1035,"AAAAABa7PoI=")</f>
        <v>#VALUE!</v>
      </c>
      <c r="EB238" t="e">
        <f>AND(Bills!R1035,"AAAAABa7PoM=")</f>
        <v>#VALUE!</v>
      </c>
      <c r="EC238" t="e">
        <f>AND(Bills!S1035,"AAAAABa7PoQ=")</f>
        <v>#VALUE!</v>
      </c>
      <c r="ED238" t="e">
        <f>AND(Bills!T1035,"AAAAABa7PoU=")</f>
        <v>#VALUE!</v>
      </c>
      <c r="EE238" t="e">
        <f>AND(Bills!#REF!,"AAAAABa7PoY=")</f>
        <v>#REF!</v>
      </c>
      <c r="EF238" t="e">
        <f>AND(Bills!U1035,"AAAAABa7Poc=")</f>
        <v>#VALUE!</v>
      </c>
      <c r="EG238" t="e">
        <f>AND(Bills!V1035,"AAAAABa7Pog=")</f>
        <v>#VALUE!</v>
      </c>
      <c r="EH238" t="e">
        <f>AND(Bills!W1035,"AAAAABa7Pok=")</f>
        <v>#VALUE!</v>
      </c>
      <c r="EI238" t="e">
        <f>AND(Bills!#REF!,"AAAAABa7Poo=")</f>
        <v>#REF!</v>
      </c>
      <c r="EJ238" t="e">
        <f>AND(Bills!#REF!,"AAAAABa7Pos=")</f>
        <v>#REF!</v>
      </c>
      <c r="EK238" t="e">
        <f>AND(Bills!Y1035,"AAAAABa7Pow=")</f>
        <v>#VALUE!</v>
      </c>
      <c r="EL238" t="e">
        <f>AND(Bills!Z1035,"AAAAABa7Po0=")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AND(Bills!AA1035,"AAAAABa7Ppc=")</f>
        <v>#VALUE!</v>
      </c>
      <c r="EW238" t="e">
        <f>AND(Bills!AB1035,"AAAAABa7Ppg=")</f>
        <v>#VALUE!</v>
      </c>
      <c r="EX238" t="e">
        <f>AND(Bills!#REF!,"AAAAABa7Ppk=")</f>
        <v>#REF!</v>
      </c>
      <c r="EY238" t="e">
        <f>AND(Bills!#REF!,"AAAAABa7Ppo=")</f>
        <v>#REF!</v>
      </c>
      <c r="EZ238" t="e">
        <f>AND(Bills!#REF!,"AAAAABa7Pps=")</f>
        <v>#REF!</v>
      </c>
      <c r="FA238" t="e">
        <f>AND(Bills!AC1035,"AAAAABa7Ppw=")</f>
        <v>#VALUE!</v>
      </c>
      <c r="FB238" t="e">
        <f>AND(Bills!AD1035,"AAAAABa7Pp0=")</f>
        <v>#VALUE!</v>
      </c>
      <c r="FC238" t="e">
        <f>AND(Bills!#REF!,"AAAAABa7Pp4=")</f>
        <v>#REF!</v>
      </c>
      <c r="FD238">
        <f>IF(Bills!1036:1036,"AAAAABa7Pp8=",0)</f>
        <v>0</v>
      </c>
      <c r="FE238" t="e">
        <f>AND(Bills!B1036,"AAAAABa7PqA=")</f>
        <v>#VALUE!</v>
      </c>
      <c r="FF238" t="e">
        <f>AND(Bills!#REF!,"AAAAABa7PqE=")</f>
        <v>#REF!</v>
      </c>
      <c r="FG238" t="e">
        <f>AND(Bills!C1036,"AAAAABa7PqI=")</f>
        <v>#VALUE!</v>
      </c>
      <c r="FH238" t="e">
        <f>AND(Bills!D1036,"AAAAABa7PqM=")</f>
        <v>#VALUE!</v>
      </c>
      <c r="FI238" t="e">
        <f>AND(Bills!E1036,"AAAAABa7PqQ=")</f>
        <v>#VALUE!</v>
      </c>
      <c r="FJ238" t="e">
        <f>AND(Bills!#REF!,"AAAAABa7PqU=")</f>
        <v>#REF!</v>
      </c>
      <c r="FK238" t="e">
        <f>AND(Bills!#REF!,"AAAAABa7PqY=")</f>
        <v>#REF!</v>
      </c>
      <c r="FL238" t="e">
        <f>AND(Bills!#REF!,"AAAAABa7Pqc=")</f>
        <v>#REF!</v>
      </c>
      <c r="FM238" t="e">
        <f>AND(Bills!F1036,"AAAAABa7Pqg=")</f>
        <v>#VALUE!</v>
      </c>
      <c r="FN238" t="e">
        <f>AND(Bills!#REF!,"AAAAABa7Pqk=")</f>
        <v>#REF!</v>
      </c>
      <c r="FO238" t="e">
        <f>AND(Bills!G1036,"AAAAABa7Pqo=")</f>
        <v>#VALUE!</v>
      </c>
      <c r="FP238" t="e">
        <f>AND(Bills!H1036,"AAAAABa7Pqs=")</f>
        <v>#VALUE!</v>
      </c>
      <c r="FQ238" t="e">
        <f>AND(Bills!I1036,"AAAAABa7Pqw=")</f>
        <v>#VALUE!</v>
      </c>
      <c r="FR238" t="e">
        <f>AND(Bills!J1036,"AAAAABa7Pq0=")</f>
        <v>#VALUE!</v>
      </c>
      <c r="FS238" t="e">
        <f>AND(Bills!K1036,"AAAAABa7Pq4=")</f>
        <v>#VALUE!</v>
      </c>
      <c r="FT238" t="e">
        <f>AND(Bills!L1036,"AAAAABa7Pq8=")</f>
        <v>#VALUE!</v>
      </c>
      <c r="FU238" t="e">
        <f>AND(Bills!#REF!,"AAAAABa7PrA=")</f>
        <v>#REF!</v>
      </c>
      <c r="FV238" t="e">
        <f>AND(Bills!M1036,"AAAAABa7PrE=")</f>
        <v>#VALUE!</v>
      </c>
      <c r="FW238" t="e">
        <f>AND(Bills!N1036,"AAAAABa7PrI=")</f>
        <v>#VALUE!</v>
      </c>
      <c r="FX238" t="e">
        <f>AND(Bills!O1036,"AAAAABa7PrM=")</f>
        <v>#VALUE!</v>
      </c>
      <c r="FY238" t="e">
        <f>AND(Bills!P1036,"AAAAABa7PrQ=")</f>
        <v>#VALUE!</v>
      </c>
      <c r="FZ238" t="e">
        <f>AND(Bills!Q1036,"AAAAABa7PrU=")</f>
        <v>#VALUE!</v>
      </c>
      <c r="GA238" t="e">
        <f>AND(Bills!R1036,"AAAAABa7PrY=")</f>
        <v>#VALUE!</v>
      </c>
      <c r="GB238" t="e">
        <f>AND(Bills!S1036,"AAAAABa7Prc=")</f>
        <v>#VALUE!</v>
      </c>
      <c r="GC238" t="e">
        <f>AND(Bills!T1036,"AAAAABa7Prg=")</f>
        <v>#VALUE!</v>
      </c>
      <c r="GD238" t="e">
        <f>AND(Bills!#REF!,"AAAAABa7Prk=")</f>
        <v>#REF!</v>
      </c>
      <c r="GE238" t="e">
        <f>AND(Bills!U1036,"AAAAABa7Pro=")</f>
        <v>#VALUE!</v>
      </c>
      <c r="GF238" t="e">
        <f>AND(Bills!V1036,"AAAAABa7Prs=")</f>
        <v>#VALUE!</v>
      </c>
      <c r="GG238" t="e">
        <f>AND(Bills!W1036,"AAAAABa7Prw=")</f>
        <v>#VALUE!</v>
      </c>
      <c r="GH238" t="e">
        <f>AND(Bills!#REF!,"AAAAABa7Pr0=")</f>
        <v>#REF!</v>
      </c>
      <c r="GI238" t="e">
        <f>AND(Bills!#REF!,"AAAAABa7Pr4=")</f>
        <v>#REF!</v>
      </c>
      <c r="GJ238" t="e">
        <f>AND(Bills!Y1036,"AAAAABa7Pr8=")</f>
        <v>#VALUE!</v>
      </c>
      <c r="GK238" t="e">
        <f>AND(Bills!Z1036,"AAAAABa7PsA=")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AND(Bills!AA1036,"AAAAABa7Pso=")</f>
        <v>#VALUE!</v>
      </c>
      <c r="GV238" t="e">
        <f>AND(Bills!AB1036,"AAAAABa7Pss=")</f>
        <v>#VALUE!</v>
      </c>
      <c r="GW238" t="e">
        <f>AND(Bills!#REF!,"AAAAABa7Psw=")</f>
        <v>#REF!</v>
      </c>
      <c r="GX238" t="e">
        <f>AND(Bills!#REF!,"AAAAABa7Ps0=")</f>
        <v>#REF!</v>
      </c>
      <c r="GY238" t="e">
        <f>AND(Bills!#REF!,"AAAAABa7Ps4=")</f>
        <v>#REF!</v>
      </c>
      <c r="GZ238" t="e">
        <f>AND(Bills!AC1036,"AAAAABa7Ps8=")</f>
        <v>#VALUE!</v>
      </c>
      <c r="HA238" t="e">
        <f>AND(Bills!AD1036,"AAAAABa7PtA=")</f>
        <v>#VALUE!</v>
      </c>
      <c r="HB238" t="e">
        <f>AND(Bills!#REF!,"AAAAABa7PtE=")</f>
        <v>#REF!</v>
      </c>
      <c r="HC238">
        <f>IF(Bills!1037:1037,"AAAAABa7PtI=",0)</f>
        <v>0</v>
      </c>
      <c r="HD238" t="e">
        <f>AND(Bills!B1037,"AAAAABa7PtM=")</f>
        <v>#VALUE!</v>
      </c>
      <c r="HE238" t="e">
        <f>AND(Bills!#REF!,"AAAAABa7PtQ=")</f>
        <v>#REF!</v>
      </c>
      <c r="HF238" t="e">
        <f>AND(Bills!C1037,"AAAAABa7PtU=")</f>
        <v>#VALUE!</v>
      </c>
      <c r="HG238" t="e">
        <f>AND(Bills!D1037,"AAAAABa7PtY=")</f>
        <v>#VALUE!</v>
      </c>
      <c r="HH238" t="e">
        <f>AND(Bills!E1037,"AAAAABa7Ptc=")</f>
        <v>#VALUE!</v>
      </c>
      <c r="HI238" t="e">
        <f>AND(Bills!#REF!,"AAAAABa7Ptg=")</f>
        <v>#REF!</v>
      </c>
      <c r="HJ238" t="e">
        <f>AND(Bills!#REF!,"AAAAABa7Ptk=")</f>
        <v>#REF!</v>
      </c>
      <c r="HK238" t="e">
        <f>AND(Bills!#REF!,"AAAAABa7Pto=")</f>
        <v>#REF!</v>
      </c>
      <c r="HL238" t="e">
        <f>AND(Bills!F1037,"AAAAABa7Pts=")</f>
        <v>#VALUE!</v>
      </c>
      <c r="HM238" t="e">
        <f>AND(Bills!#REF!,"AAAAABa7Ptw=")</f>
        <v>#REF!</v>
      </c>
      <c r="HN238" t="e">
        <f>AND(Bills!G1037,"AAAAABa7Pt0=")</f>
        <v>#VALUE!</v>
      </c>
      <c r="HO238" t="e">
        <f>AND(Bills!H1037,"AAAAABa7Pt4=")</f>
        <v>#VALUE!</v>
      </c>
      <c r="HP238" t="e">
        <f>AND(Bills!I1037,"AAAAABa7Pt8=")</f>
        <v>#VALUE!</v>
      </c>
      <c r="HQ238" t="e">
        <f>AND(Bills!J1037,"AAAAABa7PuA=")</f>
        <v>#VALUE!</v>
      </c>
      <c r="HR238" t="e">
        <f>AND(Bills!K1037,"AAAAABa7PuE=")</f>
        <v>#VALUE!</v>
      </c>
      <c r="HS238" t="e">
        <f>AND(Bills!L1037,"AAAAABa7PuI=")</f>
        <v>#VALUE!</v>
      </c>
      <c r="HT238" t="e">
        <f>AND(Bills!#REF!,"AAAAABa7PuM=")</f>
        <v>#REF!</v>
      </c>
      <c r="HU238" t="e">
        <f>AND(Bills!M1037,"AAAAABa7PuQ=")</f>
        <v>#VALUE!</v>
      </c>
      <c r="HV238" t="e">
        <f>AND(Bills!N1037,"AAAAABa7PuU=")</f>
        <v>#VALUE!</v>
      </c>
      <c r="HW238" t="e">
        <f>AND(Bills!O1037,"AAAAABa7PuY=")</f>
        <v>#VALUE!</v>
      </c>
      <c r="HX238" t="e">
        <f>AND(Bills!P1037,"AAAAABa7Puc=")</f>
        <v>#VALUE!</v>
      </c>
      <c r="HY238" t="e">
        <f>AND(Bills!Q1037,"AAAAABa7Pug=")</f>
        <v>#VALUE!</v>
      </c>
      <c r="HZ238" t="e">
        <f>AND(Bills!R1037,"AAAAABa7Puk=")</f>
        <v>#VALUE!</v>
      </c>
      <c r="IA238" t="e">
        <f>AND(Bills!S1037,"AAAAABa7Puo=")</f>
        <v>#VALUE!</v>
      </c>
      <c r="IB238" t="e">
        <f>AND(Bills!T1037,"AAAAABa7Pus=")</f>
        <v>#VALUE!</v>
      </c>
      <c r="IC238" t="e">
        <f>AND(Bills!#REF!,"AAAAABa7Puw=")</f>
        <v>#REF!</v>
      </c>
      <c r="ID238" t="e">
        <f>AND(Bills!U1037,"AAAAABa7Pu0=")</f>
        <v>#VALUE!</v>
      </c>
      <c r="IE238" t="e">
        <f>AND(Bills!V1037,"AAAAABa7Pu4=")</f>
        <v>#VALUE!</v>
      </c>
      <c r="IF238" t="e">
        <f>AND(Bills!W1037,"AAAAABa7Pu8=")</f>
        <v>#VALUE!</v>
      </c>
      <c r="IG238" t="e">
        <f>AND(Bills!#REF!,"AAAAABa7PvA=")</f>
        <v>#REF!</v>
      </c>
      <c r="IH238" t="e">
        <f>AND(Bills!#REF!,"AAAAABa7PvE=")</f>
        <v>#REF!</v>
      </c>
      <c r="II238" t="e">
        <f>AND(Bills!Y1037,"AAAAABa7PvI=")</f>
        <v>#VALUE!</v>
      </c>
      <c r="IJ238" t="e">
        <f>AND(Bills!Z1037,"AAAAABa7PvM=")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AND(Bills!AA1037,"AAAAABa7Pv0=")</f>
        <v>#VALUE!</v>
      </c>
      <c r="IU238" t="e">
        <f>AND(Bills!AB1037,"AAAAABa7Pv4=")</f>
        <v>#VALUE!</v>
      </c>
      <c r="IV238" t="e">
        <f>AND(Bills!#REF!,"AAAAABa7Pv8=")</f>
        <v>#REF!</v>
      </c>
    </row>
    <row r="239" spans="1:256">
      <c r="A239" t="e">
        <f>AND(Bills!#REF!,"AAAAAHe3cQA=")</f>
        <v>#REF!</v>
      </c>
      <c r="B239" t="e">
        <f>AND(Bills!#REF!,"AAAAAHe3cQE=")</f>
        <v>#REF!</v>
      </c>
      <c r="C239" t="e">
        <f>AND(Bills!AC1037,"AAAAAHe3cQI=")</f>
        <v>#VALUE!</v>
      </c>
      <c r="D239" t="e">
        <f>AND(Bills!AD1037,"AAAAAHe3cQM=")</f>
        <v>#VALUE!</v>
      </c>
      <c r="E239" t="e">
        <f>AND(Bills!#REF!,"AAAAAHe3cQQ=")</f>
        <v>#REF!</v>
      </c>
      <c r="F239">
        <f>IF(Bills!1038:1038,"AAAAAHe3cQU=",0)</f>
        <v>0</v>
      </c>
      <c r="G239" t="e">
        <f>AND(Bills!B1038,"AAAAAHe3cQY=")</f>
        <v>#VALUE!</v>
      </c>
      <c r="H239" t="e">
        <f>AND(Bills!#REF!,"AAAAAHe3cQc=")</f>
        <v>#REF!</v>
      </c>
      <c r="I239" t="e">
        <f>AND(Bills!C1038,"AAAAAHe3cQg=")</f>
        <v>#VALUE!</v>
      </c>
      <c r="J239" t="e">
        <f>AND(Bills!D1038,"AAAAAHe3cQk=")</f>
        <v>#VALUE!</v>
      </c>
      <c r="K239" t="e">
        <f>AND(Bills!E1038,"AAAAAHe3cQo=")</f>
        <v>#VALUE!</v>
      </c>
      <c r="L239" t="e">
        <f>AND(Bills!#REF!,"AAAAAHe3cQs=")</f>
        <v>#REF!</v>
      </c>
      <c r="M239" t="e">
        <f>AND(Bills!#REF!,"AAAAAHe3cQw=")</f>
        <v>#REF!</v>
      </c>
      <c r="N239" t="e">
        <f>AND(Bills!#REF!,"AAAAAHe3cQ0=")</f>
        <v>#REF!</v>
      </c>
      <c r="O239" t="e">
        <f>AND(Bills!F1038,"AAAAAHe3cQ4=")</f>
        <v>#VALUE!</v>
      </c>
      <c r="P239" t="e">
        <f>AND(Bills!#REF!,"AAAAAHe3cQ8=")</f>
        <v>#REF!</v>
      </c>
      <c r="Q239" t="e">
        <f>AND(Bills!G1038,"AAAAAHe3cRA=")</f>
        <v>#VALUE!</v>
      </c>
      <c r="R239" t="e">
        <f>AND(Bills!H1038,"AAAAAHe3cRE=")</f>
        <v>#VALUE!</v>
      </c>
      <c r="S239" t="e">
        <f>AND(Bills!I1038,"AAAAAHe3cRI=")</f>
        <v>#VALUE!</v>
      </c>
      <c r="T239" t="e">
        <f>AND(Bills!J1038,"AAAAAHe3cRM=")</f>
        <v>#VALUE!</v>
      </c>
      <c r="U239" t="e">
        <f>AND(Bills!K1038,"AAAAAHe3cRQ=")</f>
        <v>#VALUE!</v>
      </c>
      <c r="V239" t="e">
        <f>AND(Bills!L1038,"AAAAAHe3cRU=")</f>
        <v>#VALUE!</v>
      </c>
      <c r="W239" t="e">
        <f>AND(Bills!#REF!,"AAAAAHe3cRY=")</f>
        <v>#REF!</v>
      </c>
      <c r="X239" t="e">
        <f>AND(Bills!M1038,"AAAAAHe3cRc=")</f>
        <v>#VALUE!</v>
      </c>
      <c r="Y239" t="e">
        <f>AND(Bills!N1038,"AAAAAHe3cRg=")</f>
        <v>#VALUE!</v>
      </c>
      <c r="Z239" t="e">
        <f>AND(Bills!O1038,"AAAAAHe3cRk=")</f>
        <v>#VALUE!</v>
      </c>
      <c r="AA239" t="e">
        <f>AND(Bills!P1038,"AAAAAHe3cRo=")</f>
        <v>#VALUE!</v>
      </c>
      <c r="AB239" t="e">
        <f>AND(Bills!Q1038,"AAAAAHe3cRs=")</f>
        <v>#VALUE!</v>
      </c>
      <c r="AC239" t="e">
        <f>AND(Bills!R1038,"AAAAAHe3cRw=")</f>
        <v>#VALUE!</v>
      </c>
      <c r="AD239" t="e">
        <f>AND(Bills!S1038,"AAAAAHe3cR0=")</f>
        <v>#VALUE!</v>
      </c>
      <c r="AE239" t="e">
        <f>AND(Bills!T1038,"AAAAAHe3cR4=")</f>
        <v>#VALUE!</v>
      </c>
      <c r="AF239" t="e">
        <f>AND(Bills!#REF!,"AAAAAHe3cR8=")</f>
        <v>#REF!</v>
      </c>
      <c r="AG239" t="e">
        <f>AND(Bills!U1038,"AAAAAHe3cSA=")</f>
        <v>#VALUE!</v>
      </c>
      <c r="AH239" t="e">
        <f>AND(Bills!V1038,"AAAAAHe3cSE=")</f>
        <v>#VALUE!</v>
      </c>
      <c r="AI239" t="e">
        <f>AND(Bills!W1038,"AAAAAHe3cSI=")</f>
        <v>#VALUE!</v>
      </c>
      <c r="AJ239" t="e">
        <f>AND(Bills!#REF!,"AAAAAHe3cSM=")</f>
        <v>#REF!</v>
      </c>
      <c r="AK239" t="e">
        <f>AND(Bills!#REF!,"AAAAAHe3cSQ=")</f>
        <v>#REF!</v>
      </c>
      <c r="AL239" t="e">
        <f>AND(Bills!Y1038,"AAAAAHe3cSU=")</f>
        <v>#VALUE!</v>
      </c>
      <c r="AM239" t="e">
        <f>AND(Bills!Z1038,"AAAAAHe3cSY=")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AND(Bills!AA1038,"AAAAAHe3cTA=")</f>
        <v>#VALUE!</v>
      </c>
      <c r="AX239" t="e">
        <f>AND(Bills!AB1038,"AAAAAHe3cTE=")</f>
        <v>#VALUE!</v>
      </c>
      <c r="AY239" t="e">
        <f>AND(Bills!#REF!,"AAAAAHe3cTI=")</f>
        <v>#REF!</v>
      </c>
      <c r="AZ239" t="e">
        <f>AND(Bills!#REF!,"AAAAAHe3cTM=")</f>
        <v>#REF!</v>
      </c>
      <c r="BA239" t="e">
        <f>AND(Bills!#REF!,"AAAAAHe3cTQ=")</f>
        <v>#REF!</v>
      </c>
      <c r="BB239" t="e">
        <f>AND(Bills!AC1038,"AAAAAHe3cTU=")</f>
        <v>#VALUE!</v>
      </c>
      <c r="BC239" t="e">
        <f>AND(Bills!AD1038,"AAAAAHe3cTY=")</f>
        <v>#VALUE!</v>
      </c>
      <c r="BD239" t="e">
        <f>AND(Bills!#REF!,"AAAAAHe3cTc=")</f>
        <v>#REF!</v>
      </c>
      <c r="BE239">
        <f>IF(Bills!1039:1039,"AAAAAHe3cTg=",0)</f>
        <v>0</v>
      </c>
      <c r="BF239" t="e">
        <f>AND(Bills!B1039,"AAAAAHe3cTk=")</f>
        <v>#VALUE!</v>
      </c>
      <c r="BG239" t="e">
        <f>AND(Bills!#REF!,"AAAAAHe3cTo=")</f>
        <v>#REF!</v>
      </c>
      <c r="BH239" t="e">
        <f>AND(Bills!C1039,"AAAAAHe3cTs=")</f>
        <v>#VALUE!</v>
      </c>
      <c r="BI239" t="e">
        <f>AND(Bills!D1039,"AAAAAHe3cTw=")</f>
        <v>#VALUE!</v>
      </c>
      <c r="BJ239" t="e">
        <f>AND(Bills!E1039,"AAAAAHe3cT0=")</f>
        <v>#VALUE!</v>
      </c>
      <c r="BK239" t="e">
        <f>AND(Bills!#REF!,"AAAAAHe3cT4=")</f>
        <v>#REF!</v>
      </c>
      <c r="BL239" t="e">
        <f>AND(Bills!#REF!,"AAAAAHe3cT8=")</f>
        <v>#REF!</v>
      </c>
      <c r="BM239" t="e">
        <f>AND(Bills!#REF!,"AAAAAHe3cUA=")</f>
        <v>#REF!</v>
      </c>
      <c r="BN239" t="e">
        <f>AND(Bills!F1039,"AAAAAHe3cUE=")</f>
        <v>#VALUE!</v>
      </c>
      <c r="BO239" t="e">
        <f>AND(Bills!#REF!,"AAAAAHe3cUI=")</f>
        <v>#REF!</v>
      </c>
      <c r="BP239" t="e">
        <f>AND(Bills!G1039,"AAAAAHe3cUM=")</f>
        <v>#VALUE!</v>
      </c>
      <c r="BQ239" t="e">
        <f>AND(Bills!H1039,"AAAAAHe3cUQ=")</f>
        <v>#VALUE!</v>
      </c>
      <c r="BR239" t="e">
        <f>AND(Bills!I1039,"AAAAAHe3cUU=")</f>
        <v>#VALUE!</v>
      </c>
      <c r="BS239" t="e">
        <f>AND(Bills!J1039,"AAAAAHe3cUY=")</f>
        <v>#VALUE!</v>
      </c>
      <c r="BT239" t="e">
        <f>AND(Bills!K1039,"AAAAAHe3cUc=")</f>
        <v>#VALUE!</v>
      </c>
      <c r="BU239" t="e">
        <f>AND(Bills!L1039,"AAAAAHe3cUg=")</f>
        <v>#VALUE!</v>
      </c>
      <c r="BV239" t="e">
        <f>AND(Bills!#REF!,"AAAAAHe3cUk=")</f>
        <v>#REF!</v>
      </c>
      <c r="BW239" t="e">
        <f>AND(Bills!M1039,"AAAAAHe3cUo=")</f>
        <v>#VALUE!</v>
      </c>
      <c r="BX239" t="e">
        <f>AND(Bills!N1039,"AAAAAHe3cUs=")</f>
        <v>#VALUE!</v>
      </c>
      <c r="BY239" t="e">
        <f>AND(Bills!O1039,"AAAAAHe3cUw=")</f>
        <v>#VALUE!</v>
      </c>
      <c r="BZ239" t="e">
        <f>AND(Bills!P1039,"AAAAAHe3cU0=")</f>
        <v>#VALUE!</v>
      </c>
      <c r="CA239" t="e">
        <f>AND(Bills!Q1039,"AAAAAHe3cU4=")</f>
        <v>#VALUE!</v>
      </c>
      <c r="CB239" t="e">
        <f>AND(Bills!R1039,"AAAAAHe3cU8=")</f>
        <v>#VALUE!</v>
      </c>
      <c r="CC239" t="e">
        <f>AND(Bills!S1039,"AAAAAHe3cVA=")</f>
        <v>#VALUE!</v>
      </c>
      <c r="CD239" t="e">
        <f>AND(Bills!T1039,"AAAAAHe3cVE=")</f>
        <v>#VALUE!</v>
      </c>
      <c r="CE239" t="e">
        <f>AND(Bills!#REF!,"AAAAAHe3cVI=")</f>
        <v>#REF!</v>
      </c>
      <c r="CF239" t="e">
        <f>AND(Bills!U1039,"AAAAAHe3cVM=")</f>
        <v>#VALUE!</v>
      </c>
      <c r="CG239" t="e">
        <f>AND(Bills!V1039,"AAAAAHe3cVQ=")</f>
        <v>#VALUE!</v>
      </c>
      <c r="CH239" t="e">
        <f>AND(Bills!W1039,"AAAAAHe3cVU=")</f>
        <v>#VALUE!</v>
      </c>
      <c r="CI239" t="e">
        <f>AND(Bills!#REF!,"AAAAAHe3cVY=")</f>
        <v>#REF!</v>
      </c>
      <c r="CJ239" t="e">
        <f>AND(Bills!#REF!,"AAAAAHe3cVc=")</f>
        <v>#REF!</v>
      </c>
      <c r="CK239" t="e">
        <f>AND(Bills!Y1039,"AAAAAHe3cVg=")</f>
        <v>#VALUE!</v>
      </c>
      <c r="CL239" t="e">
        <f>AND(Bills!Z1039,"AAAAAHe3cVk=")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AND(Bills!AA1039,"AAAAAHe3cWM=")</f>
        <v>#VALUE!</v>
      </c>
      <c r="CW239" t="e">
        <f>AND(Bills!AB1039,"AAAAAHe3cWQ=")</f>
        <v>#VALUE!</v>
      </c>
      <c r="CX239" t="e">
        <f>AND(Bills!#REF!,"AAAAAHe3cWU=")</f>
        <v>#REF!</v>
      </c>
      <c r="CY239" t="e">
        <f>AND(Bills!#REF!,"AAAAAHe3cWY=")</f>
        <v>#REF!</v>
      </c>
      <c r="CZ239" t="e">
        <f>AND(Bills!#REF!,"AAAAAHe3cWc=")</f>
        <v>#REF!</v>
      </c>
      <c r="DA239" t="e">
        <f>AND(Bills!AC1039,"AAAAAHe3cWg=")</f>
        <v>#VALUE!</v>
      </c>
      <c r="DB239" t="e">
        <f>AND(Bills!AD1039,"AAAAAHe3cWk=")</f>
        <v>#VALUE!</v>
      </c>
      <c r="DC239" t="e">
        <f>AND(Bills!#REF!,"AAAAAHe3cWo=")</f>
        <v>#REF!</v>
      </c>
      <c r="DD239">
        <f>IF(Bills!1040:1040,"AAAAAHe3cWs=",0)</f>
        <v>0</v>
      </c>
      <c r="DE239">
        <f>IF(Bills!1041:1041,"AAAAAHe3cWw=",0)</f>
        <v>0</v>
      </c>
      <c r="DF239">
        <f>IF(Bills!1042:1042,"AAAAAHe3cW0=",0)</f>
        <v>0</v>
      </c>
      <c r="DG239">
        <f>IF(Bills!1043:1043,"AAAAAHe3cW4=",0)</f>
        <v>0</v>
      </c>
      <c r="DH239">
        <f>IF(Bills!1044:1044,"AAAAAHe3cW8=",0)</f>
        <v>0</v>
      </c>
      <c r="DI239">
        <f>IF(Bills!1045:1045,"AAAAAHe3cXA=",0)</f>
        <v>0</v>
      </c>
      <c r="DJ239">
        <f>IF(Bills!1046:1046,"AAAAAHe3cXE=",0)</f>
        <v>0</v>
      </c>
      <c r="DK239">
        <f>IF(Bills!1047:1047,"AAAAAHe3cXI=",0)</f>
        <v>0</v>
      </c>
      <c r="DL239">
        <f>IF(Bills!1048:1048,"AAAAAHe3cXM=",0)</f>
        <v>0</v>
      </c>
      <c r="DM239">
        <f>IF(Bills!1049:1049,"AAAAAHe3cXQ=",0)</f>
        <v>0</v>
      </c>
      <c r="DN239">
        <f>IF(Bills!1050:1050,"AAAAAHe3cXU=",0)</f>
        <v>0</v>
      </c>
      <c r="DO239">
        <f>IF(Bills!1051:1051,"AAAAAHe3cXY=",0)</f>
        <v>0</v>
      </c>
      <c r="DP239">
        <f>IF(Bills!1052:1052,"AAAAAHe3cXc=",0)</f>
        <v>0</v>
      </c>
      <c r="DQ239">
        <f>IF(Bills!1053:1053,"AAAAAHe3cXg=",0)</f>
        <v>0</v>
      </c>
      <c r="DR239">
        <f>IF(Bills!1054:1054,"AAAAAHe3cXk=",0)</f>
        <v>0</v>
      </c>
      <c r="DS239">
        <f>IF(Bills!1055:1055,"AAAAAHe3cXo=",0)</f>
        <v>0</v>
      </c>
      <c r="DT239">
        <f>IF(Bills!1056:1056,"AAAAAHe3cXs=",0)</f>
        <v>0</v>
      </c>
      <c r="DU239">
        <f>IF(Bills!1057:1057,"AAAAAHe3cXw=",0)</f>
        <v>0</v>
      </c>
      <c r="DV239">
        <f>IF(Bills!1058:1058,"AAAAAHe3cX0=",0)</f>
        <v>0</v>
      </c>
      <c r="DW239">
        <f>IF(Bills!1059:1059,"AAAAAHe3cX4=",0)</f>
        <v>0</v>
      </c>
      <c r="DX239">
        <f>IF(Bills!1060:1060,"AAAAAHe3cX8=",0)</f>
        <v>0</v>
      </c>
      <c r="DY239">
        <f>IF(Bills!1061:1061,"AAAAAHe3cYA=",0)</f>
        <v>0</v>
      </c>
      <c r="DZ239">
        <f>IF(Bills!1062:1062,"AAAAAHe3cYE=",0)</f>
        <v>0</v>
      </c>
      <c r="EA239">
        <f>IF(Bills!1063:1063,"AAAAAHe3cYI=",0)</f>
        <v>0</v>
      </c>
      <c r="EB239">
        <f>IF(Bills!1064:1064,"AAAAAHe3cYM=",0)</f>
        <v>0</v>
      </c>
      <c r="EC239">
        <f>IF(Bills!1065:1065,"AAAAAHe3cYQ=",0)</f>
        <v>0</v>
      </c>
      <c r="ED239">
        <f>IF(Bills!1066:1066,"AAAAAHe3cYU=",0)</f>
        <v>0</v>
      </c>
      <c r="EE239">
        <f>IF(Bills!1067:1067,"AAAAAHe3cYY=",0)</f>
        <v>0</v>
      </c>
      <c r="EF239">
        <f>IF(Bills!1068:1068,"AAAAAHe3cYc=",0)</f>
        <v>0</v>
      </c>
      <c r="EG239">
        <f>IF(Bills!1069:1069,"AAAAAHe3cYg=",0)</f>
        <v>0</v>
      </c>
      <c r="EH239">
        <f>IF(Bills!1070:1070,"AAAAAHe3cYk=",0)</f>
        <v>0</v>
      </c>
      <c r="EI239">
        <f>IF(Bills!1071:1071,"AAAAAHe3cYo=",0)</f>
        <v>0</v>
      </c>
      <c r="EJ239">
        <f>IF(Bills!1072:1072,"AAAAAHe3cYs=",0)</f>
        <v>0</v>
      </c>
      <c r="EK239">
        <f>IF(Bills!1073:1073,"AAAAAHe3cYw=",0)</f>
        <v>0</v>
      </c>
      <c r="EL239">
        <f>IF(Bills!1074:1074,"AAAAAHe3cY0=",0)</f>
        <v>0</v>
      </c>
      <c r="EM239">
        <f>IF(Bills!1075:1075,"AAAAAHe3cY4=",0)</f>
        <v>0</v>
      </c>
      <c r="EN239">
        <f>IF(Bills!1076:1076,"AAAAAHe3cY8=",0)</f>
        <v>0</v>
      </c>
      <c r="EO239">
        <f>IF(Bills!1077:1077,"AAAAAHe3cZA=",0)</f>
        <v>0</v>
      </c>
      <c r="EP239">
        <f>IF(Bills!1078:1078,"AAAAAHe3cZE=",0)</f>
        <v>0</v>
      </c>
      <c r="EQ239">
        <f>IF(Bills!1079:1079,"AAAAAHe3cZI=",0)</f>
        <v>0</v>
      </c>
      <c r="ER239">
        <f>IF(Bills!1080:1080,"AAAAAHe3cZM=",0)</f>
        <v>0</v>
      </c>
      <c r="ES239">
        <f>IF(Bills!1081:1081,"AAAAAHe3cZQ=",0)</f>
        <v>0</v>
      </c>
      <c r="ET239">
        <f>IF(Bills!1082:1082,"AAAAAHe3cZU=",0)</f>
        <v>0</v>
      </c>
      <c r="EU239">
        <f>IF(Bills!1083:1083,"AAAAAHe3cZY=",0)</f>
        <v>0</v>
      </c>
      <c r="EV239">
        <f>IF(Bills!1084:1084,"AAAAAHe3cZc=",0)</f>
        <v>0</v>
      </c>
      <c r="EW239">
        <f>IF(Bills!1085:1085,"AAAAAHe3cZg=",0)</f>
        <v>0</v>
      </c>
      <c r="EX239">
        <f>IF(Bills!1086:1086,"AAAAAHe3cZk=",0)</f>
        <v>0</v>
      </c>
      <c r="EY239">
        <f>IF(Bills!1087:1087,"AAAAAHe3cZo=",0)</f>
        <v>0</v>
      </c>
      <c r="EZ239">
        <f>IF(Bills!1088:1088,"AAAAAHe3cZs=",0)</f>
        <v>0</v>
      </c>
      <c r="FA239">
        <f>IF(Bills!1089:1089,"AAAAAHe3cZw=",0)</f>
        <v>0</v>
      </c>
      <c r="FB239">
        <f>IF(Bills!1090:1090,"AAAAAHe3cZ0=",0)</f>
        <v>0</v>
      </c>
      <c r="FC239">
        <f>IF(Bills!1091:1091,"AAAAAHe3cZ4=",0)</f>
        <v>0</v>
      </c>
      <c r="FD239">
        <f>IF(Bills!1092:1092,"AAAAAHe3cZ8=",0)</f>
        <v>0</v>
      </c>
      <c r="FE239">
        <f>IF(Bills!1093:1093,"AAAAAHe3caA=",0)</f>
        <v>0</v>
      </c>
      <c r="FF239">
        <f>IF(Bills!1094:1094,"AAAAAHe3caE=",0)</f>
        <v>0</v>
      </c>
      <c r="FG239">
        <f>IF(Bills!1095:1095,"AAAAAHe3caI=",0)</f>
        <v>0</v>
      </c>
      <c r="FH239">
        <f>IF(Bills!1096:1096,"AAAAAHe3caM=",0)</f>
        <v>0</v>
      </c>
      <c r="FI239">
        <f>IF(Bills!1097:1097,"AAAAAHe3caQ=",0)</f>
        <v>0</v>
      </c>
      <c r="FJ239">
        <f>IF(Bills!1098:1098,"AAAAAHe3caU=",0)</f>
        <v>0</v>
      </c>
      <c r="FK239">
        <f>IF(Bills!1099:1099,"AAAAAHe3caY=",0)</f>
        <v>0</v>
      </c>
      <c r="FL239">
        <f>IF(Bills!1100:1100,"AAAAAHe3cac=",0)</f>
        <v>0</v>
      </c>
      <c r="FM239">
        <f>IF(Bills!1101:1101,"AAAAAHe3cag=",0)</f>
        <v>0</v>
      </c>
      <c r="FN239">
        <f>IF(Bills!1102:1102,"AAAAAHe3cak=",0)</f>
        <v>0</v>
      </c>
      <c r="FO239">
        <f>IF(Bills!1103:1103,"AAAAAHe3cao=",0)</f>
        <v>0</v>
      </c>
      <c r="FP239">
        <f>IF(Bills!1104:1104,"AAAAAHe3cas=",0)</f>
        <v>0</v>
      </c>
      <c r="FQ239">
        <f>IF(Bills!1105:1105,"AAAAAHe3caw=",0)</f>
        <v>0</v>
      </c>
      <c r="FR239">
        <f>IF(Bills!1106:1106,"AAAAAHe3ca0=",0)</f>
        <v>0</v>
      </c>
      <c r="FS239">
        <f>IF(Bills!1107:1107,"AAAAAHe3ca4=",0)</f>
        <v>0</v>
      </c>
      <c r="FT239">
        <f>IF(Bills!1108:1108,"AAAAAHe3ca8=",0)</f>
        <v>0</v>
      </c>
      <c r="FU239">
        <f>IF(Bills!1109:1109,"AAAAAHe3cbA=",0)</f>
        <v>0</v>
      </c>
      <c r="FV239">
        <f>IF(Bills!1110:1110,"AAAAAHe3cbE=",0)</f>
        <v>0</v>
      </c>
      <c r="FW239">
        <f>IF(Bills!1111:1111,"AAAAAHe3cbI=",0)</f>
        <v>0</v>
      </c>
      <c r="FX239">
        <f>IF(Bills!1112:1112,"AAAAAHe3cbM=",0)</f>
        <v>0</v>
      </c>
      <c r="FY239">
        <f>IF(Bills!1113:1113,"AAAAAHe3cbQ=",0)</f>
        <v>0</v>
      </c>
      <c r="FZ239">
        <f>IF(Bills!1114:1114,"AAAAAHe3cbU=",0)</f>
        <v>0</v>
      </c>
      <c r="GA239">
        <f>IF(Bills!1115:1115,"AAAAAHe3cbY=",0)</f>
        <v>0</v>
      </c>
      <c r="GB239">
        <f>IF(Bills!1116:1116,"AAAAAHe3cbc=",0)</f>
        <v>0</v>
      </c>
      <c r="GC239">
        <f>IF(Bills!1117:1117,"AAAAAHe3cbg=",0)</f>
        <v>0</v>
      </c>
      <c r="GD239">
        <f>IF(Bills!1118:1118,"AAAAAHe3cbk=",0)</f>
        <v>0</v>
      </c>
      <c r="GE239">
        <f>IF(Bills!1119:1119,"AAAAAHe3cbo=",0)</f>
        <v>0</v>
      </c>
      <c r="GF239">
        <f>IF(Bills!1120:1120,"AAAAAHe3cbs=",0)</f>
        <v>0</v>
      </c>
      <c r="GG239">
        <f>IF(Bills!1121:1121,"AAAAAHe3cbw=",0)</f>
        <v>0</v>
      </c>
      <c r="GH239">
        <f>IF(Bills!1122:1122,"AAAAAHe3cb0=",0)</f>
        <v>0</v>
      </c>
      <c r="GI239">
        <f>IF(Bills!1123:1123,"AAAAAHe3cb4=",0)</f>
        <v>0</v>
      </c>
      <c r="GJ239">
        <f>IF(Bills!1124:1124,"AAAAAHe3cb8=",0)</f>
        <v>0</v>
      </c>
      <c r="GK239">
        <f>IF(Bills!1125:1125,"AAAAAHe3ccA=",0)</f>
        <v>0</v>
      </c>
      <c r="GL239">
        <f>IF(Bills!1126:1126,"AAAAAHe3ccE=",0)</f>
        <v>0</v>
      </c>
      <c r="GM239">
        <f>IF(Bills!1127:1127,"AAAAAHe3ccI=",0)</f>
        <v>0</v>
      </c>
      <c r="GN239">
        <f>IF(Bills!1128:1128,"AAAAAHe3ccM=",0)</f>
        <v>0</v>
      </c>
      <c r="GO239">
        <f>IF(Bills!1129:1129,"AAAAAHe3ccQ=",0)</f>
        <v>0</v>
      </c>
      <c r="GP239">
        <f>IF(Bills!1130:1130,"AAAAAHe3ccU=",0)</f>
        <v>0</v>
      </c>
      <c r="GQ239">
        <f>IF(Bills!1131:1131,"AAAAAHe3ccY=",0)</f>
        <v>0</v>
      </c>
      <c r="GR239">
        <f>IF(Bills!1132:1132,"AAAAAHe3ccc=",0)</f>
        <v>0</v>
      </c>
      <c r="GS239">
        <f>IF(Bills!1133:1133,"AAAAAHe3ccg=",0)</f>
        <v>0</v>
      </c>
      <c r="GT239">
        <f>IF(Bills!1134:1134,"AAAAAHe3cck=",0)</f>
        <v>0</v>
      </c>
      <c r="GU239">
        <f>IF(Bills!1135:1135,"AAAAAHe3cco=",0)</f>
        <v>0</v>
      </c>
      <c r="GV239">
        <f>IF(Bills!1136:1136,"AAAAAHe3ccs=",0)</f>
        <v>0</v>
      </c>
      <c r="GW239">
        <f>IF(Bills!1137:1137,"AAAAAHe3ccw=",0)</f>
        <v>0</v>
      </c>
      <c r="GX239">
        <f>IF(Bills!1138:1138,"AAAAAHe3cc0=",0)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IF(Bills!#REF!,"AAAAAHe3cf8=",0)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topLeftCell="A3" zoomScaleSheetLayoutView="10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42578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48" t="str">
        <f>IF(AND(Master!D8=""),"",CONCATENATE("Office Name :- ",PROPER(Master!D8)))</f>
        <v>Office Name :- Gsss, Barakhurd (Osiya), Jodhpur</v>
      </c>
      <c r="B1" s="648"/>
      <c r="C1" s="648"/>
      <c r="D1" s="648"/>
      <c r="E1" s="648"/>
      <c r="F1" s="648"/>
      <c r="G1" s="648"/>
      <c r="H1" s="648"/>
      <c r="I1" s="648"/>
      <c r="J1" s="648"/>
      <c r="K1" s="648"/>
      <c r="L1" s="648"/>
      <c r="M1" s="648"/>
      <c r="N1" s="648"/>
      <c r="O1" s="648"/>
    </row>
    <row r="2" spans="1:22" ht="13.5" customHeight="1" thickBot="1">
      <c r="A2" s="154"/>
      <c r="B2" s="154"/>
      <c r="C2" s="649" t="s">
        <v>204</v>
      </c>
      <c r="D2" s="649"/>
      <c r="E2" s="649"/>
      <c r="F2" s="649"/>
      <c r="G2" s="662" t="str">
        <f>IF(AND(Master!D19=""),"",Master!D19)</f>
        <v>2018-19</v>
      </c>
      <c r="H2" s="662"/>
      <c r="I2" s="649" t="s">
        <v>205</v>
      </c>
      <c r="J2" s="649"/>
      <c r="K2" s="649"/>
      <c r="L2" s="662" t="str">
        <f>IF(AND(Master!H19=""),"",Master!H19)</f>
        <v>2019-20</v>
      </c>
      <c r="M2" s="662"/>
      <c r="N2" s="445" t="s">
        <v>206</v>
      </c>
    </row>
    <row r="3" spans="1:22" ht="19.5" customHeight="1" thickTop="1">
      <c r="A3" s="475">
        <v>1</v>
      </c>
      <c r="B3" s="660" t="s">
        <v>157</v>
      </c>
      <c r="C3" s="661"/>
      <c r="D3" s="650" t="str">
        <f>UPPER(Master!D9)</f>
        <v>ANITA CHOUDHARY</v>
      </c>
      <c r="E3" s="650"/>
      <c r="F3" s="650"/>
      <c r="G3" s="650"/>
      <c r="H3" s="650"/>
      <c r="I3" s="401" t="s">
        <v>158</v>
      </c>
      <c r="J3" s="651" t="str">
        <f>UPPER(Master!H9)</f>
        <v>TEACHER</v>
      </c>
      <c r="K3" s="651"/>
      <c r="L3" s="651"/>
      <c r="M3" s="402" t="s">
        <v>159</v>
      </c>
      <c r="N3" s="652" t="str">
        <f>UPPER(Master!D12)</f>
        <v>BNUPC2108M</v>
      </c>
      <c r="O3" s="653"/>
      <c r="P3" s="384"/>
      <c r="Q3" s="384"/>
    </row>
    <row r="4" spans="1:22" ht="16.5" customHeight="1">
      <c r="A4" s="474">
        <v>2</v>
      </c>
      <c r="B4" s="654" t="s">
        <v>452</v>
      </c>
      <c r="C4" s="654"/>
      <c r="D4" s="617"/>
      <c r="E4" s="617"/>
      <c r="F4" s="617"/>
      <c r="G4" s="617"/>
      <c r="H4" s="617"/>
      <c r="I4" s="654"/>
      <c r="J4" s="617"/>
      <c r="K4" s="617"/>
      <c r="L4" s="617"/>
      <c r="M4" s="654"/>
      <c r="N4" s="432" t="s">
        <v>160</v>
      </c>
      <c r="O4" s="433">
        <f>'GA55 Summry'!L27+IF(Master!I5=Master!AC3,'GA55 Summry'!P27,"0")</f>
        <v>312840</v>
      </c>
      <c r="P4" s="388"/>
      <c r="Q4" s="400" t="s">
        <v>491</v>
      </c>
      <c r="R4" s="659" t="s">
        <v>394</v>
      </c>
      <c r="S4" s="659"/>
      <c r="T4" s="659"/>
      <c r="U4" s="659"/>
      <c r="V4" s="659"/>
    </row>
    <row r="5" spans="1:22" ht="13.5" customHeight="1">
      <c r="A5" s="474">
        <v>3</v>
      </c>
      <c r="B5" s="617" t="s">
        <v>463</v>
      </c>
      <c r="C5" s="617"/>
      <c r="D5" s="617"/>
      <c r="E5" s="617"/>
      <c r="F5" s="617"/>
      <c r="G5" s="617"/>
      <c r="H5" s="617"/>
      <c r="I5" s="617"/>
      <c r="J5" s="617"/>
      <c r="K5" s="617"/>
      <c r="L5" s="617"/>
      <c r="M5" s="617"/>
      <c r="N5" s="432" t="s">
        <v>160</v>
      </c>
      <c r="O5" s="433">
        <f>IF(AND('Extra deduc'!F5=""),"0",IF(AND('Extra deduc'!F5='Extra deduc'!AO4),"0",'Extra deduc'!G5))+'GA55 Summry'!G27+'Extra deduc'!J21</f>
        <v>0</v>
      </c>
      <c r="P5" s="386"/>
      <c r="Q5" s="386"/>
      <c r="R5" s="659"/>
      <c r="S5" s="659"/>
      <c r="T5" s="659"/>
      <c r="U5" s="659"/>
      <c r="V5" s="659"/>
    </row>
    <row r="6" spans="1:22" ht="14.25" customHeight="1">
      <c r="A6" s="474">
        <v>4</v>
      </c>
      <c r="B6" s="631" t="s">
        <v>161</v>
      </c>
      <c r="C6" s="631"/>
      <c r="D6" s="631"/>
      <c r="E6" s="631"/>
      <c r="F6" s="631"/>
      <c r="G6" s="631"/>
      <c r="H6" s="631"/>
      <c r="I6" s="631"/>
      <c r="J6" s="631"/>
      <c r="K6" s="631"/>
      <c r="L6" s="631"/>
      <c r="M6" s="631"/>
      <c r="N6" s="432" t="s">
        <v>160</v>
      </c>
      <c r="O6" s="434">
        <f>O4-O5</f>
        <v>312840</v>
      </c>
      <c r="P6" s="386"/>
      <c r="Q6" s="386"/>
      <c r="R6" s="659"/>
      <c r="S6" s="659"/>
      <c r="T6" s="659"/>
      <c r="U6" s="659"/>
      <c r="V6" s="659"/>
    </row>
    <row r="7" spans="1:22" ht="17.25" customHeight="1">
      <c r="A7" s="626">
        <v>5</v>
      </c>
      <c r="B7" s="641" t="s">
        <v>465</v>
      </c>
      <c r="C7" s="641"/>
      <c r="D7" s="641"/>
      <c r="E7" s="641"/>
      <c r="F7" s="641"/>
      <c r="G7" s="641"/>
      <c r="H7" s="641"/>
      <c r="I7" s="641"/>
      <c r="J7" s="641"/>
      <c r="K7" s="643">
        <f>'Extra deduc'!G6</f>
        <v>0</v>
      </c>
      <c r="L7" s="643"/>
      <c r="M7" s="643"/>
      <c r="N7" s="655"/>
      <c r="O7" s="656"/>
      <c r="P7" s="385"/>
      <c r="Q7" s="385"/>
      <c r="R7" s="659"/>
      <c r="S7" s="659"/>
      <c r="T7" s="659"/>
      <c r="U7" s="659"/>
      <c r="V7" s="659"/>
    </row>
    <row r="8" spans="1:22" ht="15" customHeight="1">
      <c r="A8" s="627"/>
      <c r="B8" s="641" t="s">
        <v>464</v>
      </c>
      <c r="C8" s="641"/>
      <c r="D8" s="641"/>
      <c r="E8" s="641"/>
      <c r="F8" s="641"/>
      <c r="G8" s="641"/>
      <c r="H8" s="641"/>
      <c r="I8" s="641"/>
      <c r="J8" s="641"/>
      <c r="K8" s="643">
        <f>'Extra deduc'!G7</f>
        <v>0</v>
      </c>
      <c r="L8" s="643"/>
      <c r="M8" s="643"/>
      <c r="N8" s="655"/>
      <c r="O8" s="656"/>
      <c r="P8" s="385"/>
      <c r="Q8" s="385"/>
      <c r="R8" s="278"/>
      <c r="S8" s="278"/>
      <c r="T8" s="278"/>
      <c r="U8" s="278"/>
      <c r="V8" s="278"/>
    </row>
    <row r="9" spans="1:22" ht="15" customHeight="1">
      <c r="A9" s="628"/>
      <c r="B9" s="641" t="s">
        <v>466</v>
      </c>
      <c r="C9" s="641"/>
      <c r="D9" s="641"/>
      <c r="E9" s="641"/>
      <c r="F9" s="641"/>
      <c r="G9" s="641"/>
      <c r="H9" s="641"/>
      <c r="I9" s="641"/>
      <c r="J9" s="641"/>
      <c r="K9" s="657">
        <f>IF(O6&lt;40000,O6,40000)</f>
        <v>40000</v>
      </c>
      <c r="L9" s="657"/>
      <c r="M9" s="657"/>
      <c r="N9" s="432" t="s">
        <v>160</v>
      </c>
      <c r="O9" s="434">
        <f>SUM(K7:M9)</f>
        <v>40000</v>
      </c>
      <c r="P9" s="386"/>
      <c r="Q9" s="386"/>
      <c r="R9" s="278"/>
      <c r="S9" s="278"/>
      <c r="T9" s="278"/>
      <c r="U9" s="278"/>
      <c r="V9" s="278"/>
    </row>
    <row r="10" spans="1:22" ht="12.95" customHeight="1">
      <c r="A10" s="474">
        <v>6</v>
      </c>
      <c r="B10" s="668" t="s">
        <v>162</v>
      </c>
      <c r="C10" s="669"/>
      <c r="D10" s="669"/>
      <c r="E10" s="669"/>
      <c r="F10" s="669"/>
      <c r="G10" s="669"/>
      <c r="H10" s="669"/>
      <c r="I10" s="669"/>
      <c r="J10" s="669"/>
      <c r="K10" s="669"/>
      <c r="L10" s="669"/>
      <c r="M10" s="670"/>
      <c r="N10" s="432" t="s">
        <v>160</v>
      </c>
      <c r="O10" s="434">
        <f>O6-O9</f>
        <v>272840</v>
      </c>
      <c r="P10" s="386"/>
      <c r="Q10" s="386"/>
    </row>
    <row r="11" spans="1:22" ht="12.95" customHeight="1">
      <c r="A11" s="640">
        <v>7</v>
      </c>
      <c r="B11" s="641" t="s">
        <v>163</v>
      </c>
      <c r="C11" s="641"/>
      <c r="D11" s="641"/>
      <c r="E11" s="641"/>
      <c r="F11" s="641"/>
      <c r="G11" s="641"/>
      <c r="H11" s="641"/>
      <c r="I11" s="642" t="s">
        <v>164</v>
      </c>
      <c r="J11" s="642"/>
      <c r="K11" s="643">
        <f>'Extra deduc'!G8</f>
        <v>0</v>
      </c>
      <c r="L11" s="643"/>
      <c r="M11" s="643"/>
      <c r="N11" s="644"/>
      <c r="O11" s="645"/>
      <c r="P11" s="387"/>
      <c r="Q11" s="387"/>
    </row>
    <row r="12" spans="1:22" ht="12.95" customHeight="1">
      <c r="A12" s="640"/>
      <c r="B12" s="646" t="s">
        <v>165</v>
      </c>
      <c r="C12" s="646"/>
      <c r="D12" s="647" t="s">
        <v>203</v>
      </c>
      <c r="E12" s="647"/>
      <c r="F12" s="647" t="s">
        <v>166</v>
      </c>
      <c r="G12" s="647"/>
      <c r="H12" s="647"/>
      <c r="I12" s="647" t="s">
        <v>167</v>
      </c>
      <c r="J12" s="647"/>
      <c r="K12" s="642" t="s">
        <v>168</v>
      </c>
      <c r="L12" s="642"/>
      <c r="M12" s="642"/>
      <c r="N12" s="644"/>
      <c r="O12" s="645"/>
      <c r="P12" s="387"/>
      <c r="Q12" s="387"/>
    </row>
    <row r="13" spans="1:22" ht="12.95" customHeight="1">
      <c r="A13" s="640"/>
      <c r="B13" s="646"/>
      <c r="C13" s="646"/>
      <c r="D13" s="643">
        <f>ROUND(K11*0.3,0)</f>
        <v>0</v>
      </c>
      <c r="E13" s="643"/>
      <c r="F13" s="643">
        <f>'Extra deduc'!G11</f>
        <v>0</v>
      </c>
      <c r="G13" s="643"/>
      <c r="H13" s="643"/>
      <c r="I13" s="643">
        <f>'Extra deduc'!G9</f>
        <v>0</v>
      </c>
      <c r="J13" s="643"/>
      <c r="K13" s="643">
        <f>D13+F13+I13</f>
        <v>0</v>
      </c>
      <c r="L13" s="643"/>
      <c r="M13" s="643"/>
      <c r="N13" s="644"/>
      <c r="O13" s="645"/>
      <c r="P13" s="387"/>
      <c r="Q13" s="387"/>
    </row>
    <row r="14" spans="1:22" ht="12.95" customHeight="1">
      <c r="A14" s="474"/>
      <c r="B14" s="671" t="s">
        <v>467</v>
      </c>
      <c r="C14" s="672"/>
      <c r="D14" s="672"/>
      <c r="E14" s="672"/>
      <c r="F14" s="672"/>
      <c r="G14" s="672"/>
      <c r="H14" s="672"/>
      <c r="I14" s="672"/>
      <c r="J14" s="672"/>
      <c r="K14" s="672"/>
      <c r="L14" s="672"/>
      <c r="M14" s="673"/>
      <c r="N14" s="432" t="s">
        <v>160</v>
      </c>
      <c r="O14" s="434">
        <f>K11-K13</f>
        <v>0</v>
      </c>
      <c r="P14" s="386"/>
      <c r="Q14" s="386"/>
    </row>
    <row r="15" spans="1:22" ht="12.95" customHeight="1">
      <c r="A15" s="474">
        <v>8</v>
      </c>
      <c r="B15" s="641" t="s">
        <v>500</v>
      </c>
      <c r="C15" s="641"/>
      <c r="D15" s="641"/>
      <c r="E15" s="674">
        <f>'Extra deduc'!J15</f>
        <v>0</v>
      </c>
      <c r="F15" s="674"/>
      <c r="G15" s="674"/>
      <c r="H15" s="417"/>
      <c r="I15" s="417"/>
      <c r="J15" s="672" t="s">
        <v>499</v>
      </c>
      <c r="K15" s="672"/>
      <c r="L15" s="672"/>
      <c r="M15" s="673"/>
      <c r="N15" s="432" t="s">
        <v>160</v>
      </c>
      <c r="O15" s="434">
        <f>O10+O14</f>
        <v>272840</v>
      </c>
      <c r="P15" s="386"/>
      <c r="Q15" s="386"/>
    </row>
    <row r="16" spans="1:22" ht="15.75">
      <c r="A16" s="474">
        <v>9</v>
      </c>
      <c r="B16" s="641" t="s">
        <v>501</v>
      </c>
      <c r="C16" s="641"/>
      <c r="D16" s="641"/>
      <c r="E16" s="674">
        <f>'Extra deduc'!J5</f>
        <v>0</v>
      </c>
      <c r="F16" s="674"/>
      <c r="G16" s="674"/>
      <c r="H16" s="417"/>
      <c r="I16" s="417"/>
      <c r="J16" s="417"/>
      <c r="K16" s="672" t="s">
        <v>503</v>
      </c>
      <c r="L16" s="672"/>
      <c r="M16" s="673"/>
      <c r="N16" s="432" t="s">
        <v>160</v>
      </c>
      <c r="O16" s="434">
        <f>E15+E16</f>
        <v>0</v>
      </c>
      <c r="P16" s="386"/>
      <c r="Q16" s="386"/>
    </row>
    <row r="17" spans="1:22" ht="15.75">
      <c r="A17" s="474">
        <v>10</v>
      </c>
      <c r="B17" s="629" t="s">
        <v>502</v>
      </c>
      <c r="C17" s="629"/>
      <c r="D17" s="629"/>
      <c r="E17" s="629"/>
      <c r="F17" s="629"/>
      <c r="G17" s="629"/>
      <c r="H17" s="629"/>
      <c r="I17" s="629"/>
      <c r="J17" s="629"/>
      <c r="K17" s="629"/>
      <c r="L17" s="629"/>
      <c r="M17" s="629"/>
      <c r="N17" s="432" t="s">
        <v>160</v>
      </c>
      <c r="O17" s="433">
        <f>O15+O16</f>
        <v>272840</v>
      </c>
      <c r="P17" s="388"/>
      <c r="Q17" s="388"/>
    </row>
    <row r="18" spans="1:22" ht="15" customHeight="1">
      <c r="A18" s="626">
        <v>11</v>
      </c>
      <c r="B18" s="632" t="s">
        <v>468</v>
      </c>
      <c r="C18" s="632"/>
      <c r="D18" s="632"/>
      <c r="E18" s="632"/>
      <c r="F18" s="632"/>
      <c r="G18" s="632"/>
      <c r="H18" s="632"/>
      <c r="I18" s="632"/>
      <c r="J18" s="632"/>
      <c r="K18" s="632"/>
      <c r="L18" s="632"/>
      <c r="M18" s="632"/>
      <c r="N18" s="632"/>
      <c r="O18" s="633"/>
      <c r="P18" s="389"/>
      <c r="Q18" s="389"/>
    </row>
    <row r="19" spans="1:22" ht="12.95" customHeight="1">
      <c r="A19" s="627"/>
      <c r="B19" s="634" t="s">
        <v>514</v>
      </c>
      <c r="C19" s="634"/>
      <c r="D19" s="634"/>
      <c r="E19" s="634"/>
      <c r="F19" s="634"/>
      <c r="G19" s="634"/>
      <c r="H19" s="634"/>
      <c r="I19" s="634"/>
      <c r="J19" s="634"/>
      <c r="K19" s="634"/>
      <c r="L19" s="634"/>
      <c r="M19" s="634"/>
      <c r="N19" s="634"/>
      <c r="O19" s="635"/>
      <c r="P19" s="390"/>
      <c r="Q19" s="390"/>
    </row>
    <row r="20" spans="1:22" ht="12.95" customHeight="1">
      <c r="A20" s="627"/>
      <c r="B20" s="441" t="s">
        <v>48</v>
      </c>
      <c r="C20" s="617" t="s">
        <v>470</v>
      </c>
      <c r="D20" s="617"/>
      <c r="E20" s="617"/>
      <c r="F20" s="397" t="s">
        <v>160</v>
      </c>
      <c r="G20" s="438">
        <f>'GA55 Summry'!M27</f>
        <v>0</v>
      </c>
      <c r="H20" s="442" t="s">
        <v>170</v>
      </c>
      <c r="I20" s="636" t="s">
        <v>472</v>
      </c>
      <c r="J20" s="636"/>
      <c r="K20" s="636"/>
      <c r="L20" s="397" t="s">
        <v>160</v>
      </c>
      <c r="M20" s="438">
        <f>'GA55 Summry'!P27</f>
        <v>28440</v>
      </c>
      <c r="N20" s="637"/>
      <c r="O20" s="638"/>
      <c r="P20" s="385"/>
      <c r="Q20" s="385"/>
    </row>
    <row r="21" spans="1:22" ht="12.95" customHeight="1">
      <c r="A21" s="627"/>
      <c r="B21" s="441" t="s">
        <v>49</v>
      </c>
      <c r="C21" s="617" t="s">
        <v>200</v>
      </c>
      <c r="D21" s="617"/>
      <c r="E21" s="617"/>
      <c r="F21" s="397" t="s">
        <v>160</v>
      </c>
      <c r="G21" s="438">
        <f>'GA55 Summry'!Q27</f>
        <v>0</v>
      </c>
      <c r="H21" s="442" t="s">
        <v>171</v>
      </c>
      <c r="I21" s="639" t="s">
        <v>473</v>
      </c>
      <c r="J21" s="639"/>
      <c r="K21" s="639"/>
      <c r="L21" s="397" t="s">
        <v>160</v>
      </c>
      <c r="M21" s="438">
        <f>'Extra deduc'!J6</f>
        <v>0</v>
      </c>
      <c r="N21" s="637"/>
      <c r="O21" s="638"/>
      <c r="P21" s="385"/>
      <c r="Q21" s="385"/>
    </row>
    <row r="22" spans="1:22" ht="12.95" customHeight="1">
      <c r="A22" s="627"/>
      <c r="B22" s="441" t="s">
        <v>50</v>
      </c>
      <c r="C22" s="617" t="s">
        <v>201</v>
      </c>
      <c r="D22" s="617"/>
      <c r="E22" s="617"/>
      <c r="F22" s="397" t="s">
        <v>160</v>
      </c>
      <c r="G22" s="438">
        <f>'Extra deduc'!G16</f>
        <v>0</v>
      </c>
      <c r="H22" s="442" t="s">
        <v>173</v>
      </c>
      <c r="I22" s="639" t="s">
        <v>172</v>
      </c>
      <c r="J22" s="639"/>
      <c r="K22" s="639"/>
      <c r="L22" s="397" t="s">
        <v>160</v>
      </c>
      <c r="M22" s="439">
        <f>'Extra deduc'!G17</f>
        <v>0</v>
      </c>
      <c r="N22" s="637"/>
      <c r="O22" s="638"/>
      <c r="P22" s="385"/>
      <c r="Q22" s="385"/>
    </row>
    <row r="23" spans="1:22" ht="12.95" customHeight="1">
      <c r="A23" s="627"/>
      <c r="B23" s="441" t="s">
        <v>51</v>
      </c>
      <c r="C23" s="617" t="s">
        <v>202</v>
      </c>
      <c r="D23" s="617"/>
      <c r="E23" s="617"/>
      <c r="F23" s="397" t="s">
        <v>160</v>
      </c>
      <c r="G23" s="438">
        <f>'Extra deduc'!G18</f>
        <v>0</v>
      </c>
      <c r="H23" s="442" t="s">
        <v>175</v>
      </c>
      <c r="I23" s="639" t="s">
        <v>174</v>
      </c>
      <c r="J23" s="639"/>
      <c r="K23" s="639"/>
      <c r="L23" s="397" t="s">
        <v>160</v>
      </c>
      <c r="M23" s="439">
        <f>'Extra deduc'!G14</f>
        <v>0</v>
      </c>
      <c r="N23" s="637"/>
      <c r="O23" s="638"/>
      <c r="P23" s="385"/>
      <c r="Q23" s="385"/>
    </row>
    <row r="24" spans="1:22" ht="12.95" customHeight="1">
      <c r="A24" s="627"/>
      <c r="B24" s="441" t="s">
        <v>52</v>
      </c>
      <c r="C24" s="617" t="s">
        <v>453</v>
      </c>
      <c r="D24" s="617"/>
      <c r="E24" s="617"/>
      <c r="F24" s="397" t="s">
        <v>160</v>
      </c>
      <c r="G24" s="438">
        <f>'Extra deduc'!G19</f>
        <v>0</v>
      </c>
      <c r="H24" s="442" t="s">
        <v>177</v>
      </c>
      <c r="I24" s="639" t="s">
        <v>176</v>
      </c>
      <c r="J24" s="639"/>
      <c r="K24" s="639"/>
      <c r="L24" s="397" t="s">
        <v>160</v>
      </c>
      <c r="M24" s="438">
        <f>'Extra deduc'!J18</f>
        <v>0</v>
      </c>
      <c r="N24" s="637"/>
      <c r="O24" s="638"/>
      <c r="P24" s="385"/>
      <c r="Q24" s="385"/>
    </row>
    <row r="25" spans="1:22" ht="12.95" customHeight="1">
      <c r="A25" s="627"/>
      <c r="B25" s="441" t="s">
        <v>53</v>
      </c>
      <c r="C25" s="617" t="s">
        <v>454</v>
      </c>
      <c r="D25" s="617"/>
      <c r="E25" s="617"/>
      <c r="F25" s="397" t="s">
        <v>160</v>
      </c>
      <c r="G25" s="438">
        <f>'GA55 Summry'!N27</f>
        <v>0</v>
      </c>
      <c r="H25" s="442" t="s">
        <v>178</v>
      </c>
      <c r="I25" s="639" t="s">
        <v>455</v>
      </c>
      <c r="J25" s="639"/>
      <c r="K25" s="639"/>
      <c r="L25" s="397" t="s">
        <v>160</v>
      </c>
      <c r="M25" s="438">
        <f>'Extra deduc'!J19</f>
        <v>0</v>
      </c>
      <c r="N25" s="637"/>
      <c r="O25" s="638"/>
      <c r="P25" s="385"/>
      <c r="Q25" s="385"/>
    </row>
    <row r="26" spans="1:22" ht="12.95" customHeight="1">
      <c r="A26" s="627"/>
      <c r="B26" s="441" t="s">
        <v>54</v>
      </c>
      <c r="C26" s="617" t="s">
        <v>456</v>
      </c>
      <c r="D26" s="617"/>
      <c r="E26" s="617"/>
      <c r="F26" s="397" t="s">
        <v>160</v>
      </c>
      <c r="G26" s="439" t="str">
        <f>IF('GA55 Summry'!V27&gt;=100,220,"0")</f>
        <v>0</v>
      </c>
      <c r="H26" s="442" t="s">
        <v>181</v>
      </c>
      <c r="I26" s="618" t="s">
        <v>474</v>
      </c>
      <c r="J26" s="618"/>
      <c r="K26" s="618"/>
      <c r="L26" s="397" t="s">
        <v>160</v>
      </c>
      <c r="M26" s="438">
        <f>'Extra deduc'!G13</f>
        <v>0</v>
      </c>
      <c r="N26" s="637"/>
      <c r="O26" s="638"/>
      <c r="P26" s="385"/>
      <c r="Q26" s="385"/>
    </row>
    <row r="27" spans="1:22" ht="12.95" customHeight="1">
      <c r="A27" s="627"/>
      <c r="B27" s="441" t="s">
        <v>179</v>
      </c>
      <c r="C27" s="617" t="s">
        <v>180</v>
      </c>
      <c r="D27" s="617"/>
      <c r="E27" s="617"/>
      <c r="F27" s="397" t="s">
        <v>160</v>
      </c>
      <c r="G27" s="439">
        <f>'Extra deduc'!G15</f>
        <v>0</v>
      </c>
      <c r="H27" s="442" t="s">
        <v>457</v>
      </c>
      <c r="I27" s="618" t="s">
        <v>182</v>
      </c>
      <c r="J27" s="618"/>
      <c r="K27" s="618"/>
      <c r="L27" s="397" t="s">
        <v>160</v>
      </c>
      <c r="M27" s="438">
        <f>'Extra deduc'!J7</f>
        <v>0</v>
      </c>
      <c r="N27" s="637"/>
      <c r="O27" s="638"/>
      <c r="P27" s="385"/>
      <c r="Q27" s="385"/>
    </row>
    <row r="28" spans="1:22" ht="12.95" customHeight="1">
      <c r="A28" s="627"/>
      <c r="B28" s="441" t="s">
        <v>183</v>
      </c>
      <c r="C28" s="617" t="s">
        <v>471</v>
      </c>
      <c r="D28" s="617"/>
      <c r="E28" s="617"/>
      <c r="F28" s="397" t="s">
        <v>160</v>
      </c>
      <c r="G28" s="439">
        <f>'Extra deduc'!G10</f>
        <v>0</v>
      </c>
      <c r="H28" s="442" t="s">
        <v>460</v>
      </c>
      <c r="I28" s="618" t="s">
        <v>184</v>
      </c>
      <c r="J28" s="618"/>
      <c r="K28" s="618"/>
      <c r="L28" s="397" t="s">
        <v>160</v>
      </c>
      <c r="M28" s="438">
        <f>'Extra deduc'!G20</f>
        <v>0</v>
      </c>
      <c r="N28" s="637"/>
      <c r="O28" s="638"/>
      <c r="P28" s="385"/>
      <c r="Q28" s="385"/>
    </row>
    <row r="29" spans="1:22" ht="15.75">
      <c r="A29" s="627"/>
      <c r="B29" s="441" t="s">
        <v>169</v>
      </c>
      <c r="C29" s="663" t="s">
        <v>462</v>
      </c>
      <c r="D29" s="663"/>
      <c r="E29" s="663"/>
      <c r="F29" s="397" t="s">
        <v>160</v>
      </c>
      <c r="G29" s="438">
        <f>'Extra deduc'!G12</f>
        <v>0</v>
      </c>
      <c r="H29" s="442" t="s">
        <v>461</v>
      </c>
      <c r="I29" s="618" t="s">
        <v>475</v>
      </c>
      <c r="J29" s="618"/>
      <c r="K29" s="618"/>
      <c r="L29" s="397" t="s">
        <v>160</v>
      </c>
      <c r="M29" s="438">
        <f>'Extra deduc'!G21</f>
        <v>0</v>
      </c>
      <c r="N29" s="637"/>
      <c r="O29" s="638"/>
      <c r="P29" s="385"/>
      <c r="Q29" s="385"/>
    </row>
    <row r="30" spans="1:22" ht="15.75">
      <c r="A30" s="627"/>
      <c r="B30" s="664" t="s">
        <v>469</v>
      </c>
      <c r="C30" s="664"/>
      <c r="D30" s="664"/>
      <c r="E30" s="664"/>
      <c r="F30" s="664"/>
      <c r="G30" s="664"/>
      <c r="H30" s="664"/>
      <c r="I30" s="664"/>
      <c r="J30" s="664"/>
      <c r="K30" s="664"/>
      <c r="L30" s="397" t="s">
        <v>160</v>
      </c>
      <c r="M30" s="440">
        <f>SUM(G20:G29)+SUM(M20:M29)</f>
        <v>28440</v>
      </c>
      <c r="N30" s="637"/>
      <c r="O30" s="638"/>
      <c r="P30" s="385"/>
      <c r="Q30" s="385"/>
    </row>
    <row r="31" spans="1:22" ht="15.75" customHeight="1">
      <c r="A31" s="627"/>
      <c r="B31" s="631" t="s">
        <v>185</v>
      </c>
      <c r="C31" s="631"/>
      <c r="D31" s="631"/>
      <c r="E31" s="631"/>
      <c r="F31" s="631"/>
      <c r="G31" s="631"/>
      <c r="H31" s="631"/>
      <c r="I31" s="631"/>
      <c r="J31" s="631"/>
      <c r="K31" s="631"/>
      <c r="L31" s="631"/>
      <c r="M31" s="631"/>
      <c r="N31" s="413" t="s">
        <v>160</v>
      </c>
      <c r="O31" s="433">
        <f>IF(M30&lt;150001,ROUND(M30,0),150000)</f>
        <v>28440</v>
      </c>
      <c r="P31" s="388"/>
      <c r="Q31" s="400"/>
      <c r="R31" s="658" t="s">
        <v>393</v>
      </c>
      <c r="S31" s="658"/>
      <c r="T31" s="658"/>
      <c r="U31" s="658"/>
      <c r="V31" s="658"/>
    </row>
    <row r="32" spans="1:22" ht="15.75" customHeight="1">
      <c r="A32" s="627"/>
      <c r="B32" s="665" t="s">
        <v>478</v>
      </c>
      <c r="C32" s="665"/>
      <c r="D32" s="665"/>
      <c r="E32" s="665"/>
      <c r="F32" s="665"/>
      <c r="G32" s="665"/>
      <c r="H32" s="665"/>
      <c r="I32" s="665"/>
      <c r="J32" s="665"/>
      <c r="K32" s="665"/>
      <c r="L32" s="665"/>
      <c r="M32" s="665"/>
      <c r="N32" s="413"/>
      <c r="O32" s="433">
        <f>M20</f>
        <v>28440</v>
      </c>
      <c r="P32" s="386"/>
      <c r="Q32" s="400" t="s">
        <v>491</v>
      </c>
      <c r="R32" s="658"/>
      <c r="S32" s="658"/>
      <c r="T32" s="658"/>
      <c r="U32" s="658"/>
      <c r="V32" s="658"/>
    </row>
    <row r="33" spans="1:22" ht="15.75" customHeight="1">
      <c r="A33" s="627"/>
      <c r="B33" s="666" t="s">
        <v>479</v>
      </c>
      <c r="C33" s="666"/>
      <c r="D33" s="666"/>
      <c r="E33" s="666"/>
      <c r="F33" s="666"/>
      <c r="G33" s="666"/>
      <c r="H33" s="666"/>
      <c r="I33" s="666"/>
      <c r="J33" s="666"/>
      <c r="K33" s="666"/>
      <c r="L33" s="666"/>
      <c r="M33" s="666"/>
      <c r="N33" s="413" t="s">
        <v>160</v>
      </c>
      <c r="O33" s="434">
        <f>'Extra deduc'!J8</f>
        <v>0</v>
      </c>
      <c r="P33" s="386"/>
      <c r="Q33" s="386"/>
      <c r="R33" s="658"/>
      <c r="S33" s="658"/>
      <c r="T33" s="658"/>
      <c r="U33" s="658"/>
      <c r="V33" s="658"/>
    </row>
    <row r="34" spans="1:22" ht="18.75" customHeight="1">
      <c r="A34" s="628"/>
      <c r="B34" s="667" t="s">
        <v>480</v>
      </c>
      <c r="C34" s="667"/>
      <c r="D34" s="667"/>
      <c r="E34" s="667"/>
      <c r="F34" s="667"/>
      <c r="G34" s="667"/>
      <c r="H34" s="667"/>
      <c r="I34" s="667"/>
      <c r="J34" s="667"/>
      <c r="K34" s="667"/>
      <c r="L34" s="667"/>
      <c r="M34" s="667"/>
      <c r="N34" s="413" t="s">
        <v>160</v>
      </c>
      <c r="O34" s="433">
        <f>SUM(O31:O33)</f>
        <v>56880</v>
      </c>
      <c r="P34" s="388"/>
      <c r="Q34" s="388"/>
      <c r="R34" s="658"/>
      <c r="S34" s="658"/>
      <c r="T34" s="658"/>
      <c r="U34" s="658"/>
      <c r="V34" s="658"/>
    </row>
    <row r="35" spans="1:22" ht="13.5" customHeight="1">
      <c r="A35" s="626">
        <v>12</v>
      </c>
      <c r="B35" s="629" t="s">
        <v>186</v>
      </c>
      <c r="C35" s="629"/>
      <c r="D35" s="629"/>
      <c r="E35" s="629"/>
      <c r="F35" s="629"/>
      <c r="G35" s="629"/>
      <c r="H35" s="629"/>
      <c r="I35" s="629"/>
      <c r="J35" s="629"/>
      <c r="K35" s="629"/>
      <c r="L35" s="629"/>
      <c r="M35" s="629"/>
      <c r="N35" s="629"/>
      <c r="O35" s="630"/>
      <c r="P35" s="389"/>
      <c r="Q35" s="389"/>
      <c r="R35" s="658"/>
      <c r="S35" s="658"/>
      <c r="T35" s="658"/>
      <c r="U35" s="658"/>
      <c r="V35" s="658"/>
    </row>
    <row r="36" spans="1:22" s="121" customFormat="1" ht="14.1" customHeight="1">
      <c r="A36" s="627"/>
      <c r="B36" s="617" t="s">
        <v>504</v>
      </c>
      <c r="C36" s="617"/>
      <c r="D36" s="617"/>
      <c r="E36" s="617"/>
      <c r="F36" s="617"/>
      <c r="G36" s="617"/>
      <c r="H36" s="617"/>
      <c r="I36" s="617"/>
      <c r="J36" s="617"/>
      <c r="K36" s="617"/>
      <c r="L36" s="617"/>
      <c r="M36" s="617"/>
      <c r="N36" s="413" t="s">
        <v>160</v>
      </c>
      <c r="O36" s="434">
        <f>'Extra deduc'!J9</f>
        <v>0</v>
      </c>
      <c r="P36" s="386"/>
      <c r="Q36" s="386"/>
      <c r="R36" s="658"/>
      <c r="S36" s="658"/>
      <c r="T36" s="658"/>
      <c r="U36" s="658"/>
      <c r="V36" s="658"/>
    </row>
    <row r="37" spans="1:22" s="121" customFormat="1" ht="14.1" customHeight="1">
      <c r="A37" s="627"/>
      <c r="B37" s="617" t="s">
        <v>481</v>
      </c>
      <c r="C37" s="617"/>
      <c r="D37" s="617"/>
      <c r="E37" s="617"/>
      <c r="F37" s="617"/>
      <c r="G37" s="617"/>
      <c r="H37" s="617"/>
      <c r="I37" s="617"/>
      <c r="J37" s="617"/>
      <c r="K37" s="617"/>
      <c r="L37" s="617"/>
      <c r="M37" s="617"/>
      <c r="N37" s="413" t="s">
        <v>160</v>
      </c>
      <c r="O37" s="434">
        <f>'Extra deduc'!J10</f>
        <v>0</v>
      </c>
      <c r="P37" s="386"/>
      <c r="Q37" s="386"/>
    </row>
    <row r="38" spans="1:22" s="121" customFormat="1" ht="14.1" customHeight="1">
      <c r="A38" s="627"/>
      <c r="B38" s="617" t="s">
        <v>505</v>
      </c>
      <c r="C38" s="617"/>
      <c r="D38" s="617"/>
      <c r="E38" s="617"/>
      <c r="F38" s="617"/>
      <c r="G38" s="617"/>
      <c r="H38" s="617"/>
      <c r="I38" s="617"/>
      <c r="J38" s="617"/>
      <c r="K38" s="617"/>
      <c r="L38" s="617"/>
      <c r="M38" s="617"/>
      <c r="N38" s="413" t="s">
        <v>160</v>
      </c>
      <c r="O38" s="434">
        <f>'Extra deduc'!J11</f>
        <v>0</v>
      </c>
      <c r="P38" s="386"/>
      <c r="Q38" s="386"/>
    </row>
    <row r="39" spans="1:22" s="121" customFormat="1" ht="14.1" customHeight="1">
      <c r="A39" s="627"/>
      <c r="B39" s="617" t="s">
        <v>482</v>
      </c>
      <c r="C39" s="617"/>
      <c r="D39" s="617"/>
      <c r="E39" s="617"/>
      <c r="F39" s="617"/>
      <c r="G39" s="617"/>
      <c r="H39" s="617"/>
      <c r="I39" s="617"/>
      <c r="J39" s="617"/>
      <c r="K39" s="617"/>
      <c r="L39" s="617"/>
      <c r="M39" s="617"/>
      <c r="N39" s="413" t="s">
        <v>160</v>
      </c>
      <c r="O39" s="434">
        <f>'Extra deduc'!J12</f>
        <v>0</v>
      </c>
      <c r="P39" s="386"/>
      <c r="Q39" s="386"/>
    </row>
    <row r="40" spans="1:22" s="121" customFormat="1" ht="14.1" customHeight="1">
      <c r="A40" s="627"/>
      <c r="B40" s="617" t="s">
        <v>483</v>
      </c>
      <c r="C40" s="617"/>
      <c r="D40" s="617"/>
      <c r="E40" s="617"/>
      <c r="F40" s="617"/>
      <c r="G40" s="617"/>
      <c r="H40" s="617"/>
      <c r="I40" s="617"/>
      <c r="J40" s="617"/>
      <c r="K40" s="617"/>
      <c r="L40" s="617"/>
      <c r="M40" s="617"/>
      <c r="N40" s="413" t="s">
        <v>160</v>
      </c>
      <c r="O40" s="434">
        <f>'Extra deduc'!J13</f>
        <v>0</v>
      </c>
      <c r="P40" s="386"/>
      <c r="Q40" s="386"/>
    </row>
    <row r="41" spans="1:22" s="121" customFormat="1" ht="14.1" customHeight="1">
      <c r="A41" s="627"/>
      <c r="B41" s="617" t="s">
        <v>506</v>
      </c>
      <c r="C41" s="617"/>
      <c r="D41" s="617"/>
      <c r="E41" s="617"/>
      <c r="F41" s="617"/>
      <c r="G41" s="617"/>
      <c r="H41" s="617"/>
      <c r="I41" s="617"/>
      <c r="J41" s="617"/>
      <c r="K41" s="617"/>
      <c r="L41" s="617"/>
      <c r="M41" s="617"/>
      <c r="N41" s="413" t="s">
        <v>160</v>
      </c>
      <c r="O41" s="434">
        <f>'Extra deduc'!J14</f>
        <v>0</v>
      </c>
      <c r="P41" s="386"/>
      <c r="Q41" s="386"/>
    </row>
    <row r="42" spans="1:22" s="121" customFormat="1" ht="14.1" customHeight="1">
      <c r="A42" s="627"/>
      <c r="B42" s="617" t="s">
        <v>507</v>
      </c>
      <c r="C42" s="617"/>
      <c r="D42" s="617"/>
      <c r="E42" s="617"/>
      <c r="F42" s="617"/>
      <c r="G42" s="617"/>
      <c r="H42" s="617"/>
      <c r="I42" s="617"/>
      <c r="J42" s="617"/>
      <c r="K42" s="617"/>
      <c r="L42" s="617"/>
      <c r="M42" s="617"/>
      <c r="N42" s="413" t="s">
        <v>160</v>
      </c>
      <c r="O42" s="434">
        <f>IF('Extra deduc'!J15&lt;10001, 'Extra deduc'!J15, 10000)</f>
        <v>0</v>
      </c>
      <c r="P42" s="386"/>
      <c r="Q42" s="386"/>
    </row>
    <row r="43" spans="1:22" ht="15.75">
      <c r="A43" s="627"/>
      <c r="B43" s="617" t="s">
        <v>484</v>
      </c>
      <c r="C43" s="617"/>
      <c r="D43" s="617"/>
      <c r="E43" s="617"/>
      <c r="F43" s="617"/>
      <c r="G43" s="617"/>
      <c r="H43" s="617"/>
      <c r="I43" s="617"/>
      <c r="J43" s="617"/>
      <c r="K43" s="617"/>
      <c r="L43" s="617"/>
      <c r="M43" s="617"/>
      <c r="N43" s="413" t="s">
        <v>160</v>
      </c>
      <c r="O43" s="434">
        <f>'Extra deduc'!J16</f>
        <v>0</v>
      </c>
      <c r="P43" s="386"/>
      <c r="Q43" s="386"/>
    </row>
    <row r="44" spans="1:22" ht="14.25" customHeight="1">
      <c r="A44" s="628"/>
      <c r="B44" s="631" t="s">
        <v>485</v>
      </c>
      <c r="C44" s="631"/>
      <c r="D44" s="631"/>
      <c r="E44" s="631"/>
      <c r="F44" s="631"/>
      <c r="G44" s="631"/>
      <c r="H44" s="631"/>
      <c r="I44" s="631"/>
      <c r="J44" s="631"/>
      <c r="K44" s="631"/>
      <c r="L44" s="631"/>
      <c r="M44" s="631"/>
      <c r="N44" s="413" t="s">
        <v>160</v>
      </c>
      <c r="O44" s="435">
        <f>SUM(O36:O43)</f>
        <v>0</v>
      </c>
      <c r="P44" s="391"/>
      <c r="Q44" s="391"/>
    </row>
    <row r="45" spans="1:22" ht="15.75">
      <c r="A45" s="474">
        <v>13</v>
      </c>
      <c r="B45" s="623" t="s">
        <v>486</v>
      </c>
      <c r="C45" s="623"/>
      <c r="D45" s="623"/>
      <c r="E45" s="623"/>
      <c r="F45" s="623"/>
      <c r="G45" s="623"/>
      <c r="H45" s="623"/>
      <c r="I45" s="623"/>
      <c r="J45" s="623"/>
      <c r="K45" s="623"/>
      <c r="L45" s="623"/>
      <c r="M45" s="623"/>
      <c r="N45" s="413" t="s">
        <v>160</v>
      </c>
      <c r="O45" s="433">
        <f>O34+O44</f>
        <v>56880</v>
      </c>
      <c r="P45" s="386"/>
      <c r="Q45" s="386"/>
    </row>
    <row r="46" spans="1:22" ht="15.75">
      <c r="A46" s="474">
        <v>14</v>
      </c>
      <c r="B46" s="617" t="s">
        <v>487</v>
      </c>
      <c r="C46" s="617"/>
      <c r="D46" s="617"/>
      <c r="E46" s="617"/>
      <c r="F46" s="617"/>
      <c r="G46" s="617"/>
      <c r="H46" s="617"/>
      <c r="I46" s="617"/>
      <c r="J46" s="617"/>
      <c r="K46" s="617"/>
      <c r="L46" s="617"/>
      <c r="M46" s="617"/>
      <c r="N46" s="413" t="s">
        <v>160</v>
      </c>
      <c r="O46" s="433">
        <f>(O17-O45)</f>
        <v>215960</v>
      </c>
      <c r="P46" s="386"/>
      <c r="Q46" s="386"/>
    </row>
    <row r="47" spans="1:22" s="121" customFormat="1" ht="14.1" customHeight="1">
      <c r="A47" s="474">
        <v>15</v>
      </c>
      <c r="B47" s="623" t="s">
        <v>458</v>
      </c>
      <c r="C47" s="623"/>
      <c r="D47" s="623"/>
      <c r="E47" s="623"/>
      <c r="F47" s="623"/>
      <c r="G47" s="623"/>
      <c r="H47" s="623"/>
      <c r="I47" s="623"/>
      <c r="J47" s="623"/>
      <c r="K47" s="623"/>
      <c r="L47" s="623"/>
      <c r="M47" s="623"/>
      <c r="N47" s="413" t="s">
        <v>160</v>
      </c>
      <c r="O47" s="433">
        <f>ROUND(O46,-1)</f>
        <v>215960</v>
      </c>
      <c r="P47" s="388"/>
      <c r="Q47" s="388"/>
    </row>
    <row r="48" spans="1:22" s="121" customFormat="1" ht="14.1" customHeight="1">
      <c r="A48" s="626">
        <v>16</v>
      </c>
      <c r="B48" s="687" t="s">
        <v>187</v>
      </c>
      <c r="C48" s="688"/>
      <c r="D48" s="688"/>
      <c r="E48" s="688"/>
      <c r="F48" s="688"/>
      <c r="G48" s="688"/>
      <c r="H48" s="688"/>
      <c r="I48" s="688"/>
      <c r="J48" s="688"/>
      <c r="K48" s="688"/>
      <c r="L48" s="688"/>
      <c r="M48" s="688"/>
      <c r="N48" s="688"/>
      <c r="O48" s="689"/>
      <c r="P48" s="392"/>
      <c r="Q48" s="392"/>
    </row>
    <row r="49" spans="1:25" s="121" customFormat="1" ht="14.1" customHeight="1">
      <c r="A49" s="627"/>
      <c r="B49" s="690" t="s">
        <v>188</v>
      </c>
      <c r="C49" s="690"/>
      <c r="D49" s="690"/>
      <c r="E49" s="690"/>
      <c r="F49" s="690" t="s">
        <v>189</v>
      </c>
      <c r="G49" s="690"/>
      <c r="H49" s="690"/>
      <c r="I49" s="690"/>
      <c r="J49" s="690" t="s">
        <v>190</v>
      </c>
      <c r="K49" s="690"/>
      <c r="L49" s="690"/>
      <c r="M49" s="690"/>
      <c r="N49" s="398"/>
      <c r="O49" s="404"/>
      <c r="P49" s="393"/>
      <c r="Q49" s="393"/>
    </row>
    <row r="50" spans="1:25" s="121" customFormat="1" ht="14.1" customHeight="1">
      <c r="A50" s="627"/>
      <c r="B50" s="615" t="s">
        <v>545</v>
      </c>
      <c r="C50" s="615"/>
      <c r="D50" s="615"/>
      <c r="E50" s="382" t="s">
        <v>191</v>
      </c>
      <c r="F50" s="615" t="s">
        <v>546</v>
      </c>
      <c r="G50" s="615"/>
      <c r="H50" s="615"/>
      <c r="I50" s="382" t="s">
        <v>191</v>
      </c>
      <c r="J50" s="615"/>
      <c r="K50" s="615"/>
      <c r="L50" s="615"/>
      <c r="M50" s="382"/>
      <c r="N50" s="470" t="s">
        <v>160</v>
      </c>
      <c r="O50" s="436">
        <v>0</v>
      </c>
      <c r="P50" s="394"/>
      <c r="Q50" s="394"/>
      <c r="W50" s="121">
        <f>ROUND(IF(O47&lt;=250000,0,IF(O47&gt;=500000,12500,IF(O47&lt;=500000,0+(O47-250000)*0.05))),0)</f>
        <v>0</v>
      </c>
      <c r="X50" s="121">
        <f>ROUND(IF(O47&lt;=300000,0,IF(O47&gt;=500000,10000,IF(O47&lt;=500000,(O47-300000)*0.05))),0)</f>
        <v>0</v>
      </c>
      <c r="Y50" s="121">
        <v>0</v>
      </c>
    </row>
    <row r="51" spans="1:25" s="121" customFormat="1" ht="14.1" customHeight="1">
      <c r="A51" s="627"/>
      <c r="B51" s="615" t="s">
        <v>192</v>
      </c>
      <c r="C51" s="615"/>
      <c r="D51" s="615"/>
      <c r="E51" s="383">
        <v>0.05</v>
      </c>
      <c r="F51" s="615" t="s">
        <v>193</v>
      </c>
      <c r="G51" s="615"/>
      <c r="H51" s="615"/>
      <c r="I51" s="383">
        <v>0.05</v>
      </c>
      <c r="J51" s="615" t="s">
        <v>547</v>
      </c>
      <c r="K51" s="615"/>
      <c r="L51" s="615"/>
      <c r="M51" s="382" t="s">
        <v>191</v>
      </c>
      <c r="N51" s="470" t="s">
        <v>160</v>
      </c>
      <c r="O51" s="436">
        <f>IF(AND(Master!E3=Master!AB22),W50,IF(AND(Master!E3=Master!AB23),X50,IF(AND(Master!E3=Master!AB24),Y50,"")))</f>
        <v>0</v>
      </c>
      <c r="P51" s="394"/>
      <c r="Q51" s="394"/>
      <c r="W51" s="121">
        <f>ROUND(IF(O47&lt;=500000,0,IF(O47&gt;=1000000,100000,IF(O47&lt;=1000000,(O47-500000)*0.2,"0"))),0)</f>
        <v>0</v>
      </c>
      <c r="X51" s="121">
        <f>ROUND(IF(O47&lt;=500000,0,IF(O47&gt;=1000000,100000,IF(O47&lt;=1000000,(O47-500000)*0.2,"0"))),0)</f>
        <v>0</v>
      </c>
      <c r="Y51" s="121">
        <f>ROUND(IF(O47&lt;=500000,0,IF(O47&gt;=1000000,100000,IF(O47&lt;=1000000,(O47-500000)*0.2,"0"))),0)</f>
        <v>0</v>
      </c>
    </row>
    <row r="52" spans="1:25" s="121" customFormat="1" ht="14.1" customHeight="1">
      <c r="A52" s="627"/>
      <c r="B52" s="615" t="s">
        <v>194</v>
      </c>
      <c r="C52" s="615"/>
      <c r="D52" s="615"/>
      <c r="E52" s="383">
        <v>0.2</v>
      </c>
      <c r="F52" s="615" t="s">
        <v>194</v>
      </c>
      <c r="G52" s="615"/>
      <c r="H52" s="615"/>
      <c r="I52" s="383">
        <v>0.2</v>
      </c>
      <c r="J52" s="615" t="s">
        <v>194</v>
      </c>
      <c r="K52" s="615"/>
      <c r="L52" s="615"/>
      <c r="M52" s="383">
        <v>0.2</v>
      </c>
      <c r="N52" s="470" t="s">
        <v>160</v>
      </c>
      <c r="O52" s="436">
        <f>IF(AND(Master!E3=Master!AB22),W51,IF(AND(Master!E3=Master!AB23),X51,IF(AND(Master!E3=Master!AB24),Y51,"")))</f>
        <v>0</v>
      </c>
      <c r="P52" s="394"/>
      <c r="Q52" s="394"/>
      <c r="W52" s="121">
        <f>ROUND(IF(O47&gt;1000000,(O47-1000000)*0.3,"0"),0)</f>
        <v>0</v>
      </c>
      <c r="X52" s="121">
        <f>ROUND(IF(O47&gt;1000000,(O47-1000000)*0.3,"0"),0)</f>
        <v>0</v>
      </c>
      <c r="Y52" s="121">
        <f>ROUND(IF(O47&gt;1000000,(O47-1000000)*0.3,"0"),0)</f>
        <v>0</v>
      </c>
    </row>
    <row r="53" spans="1:25" s="121" customFormat="1" ht="14.1" customHeight="1">
      <c r="A53" s="627"/>
      <c r="B53" s="691" t="s">
        <v>548</v>
      </c>
      <c r="C53" s="692"/>
      <c r="D53" s="692"/>
      <c r="E53" s="383">
        <v>0.3</v>
      </c>
      <c r="F53" s="615" t="s">
        <v>549</v>
      </c>
      <c r="G53" s="615"/>
      <c r="H53" s="615"/>
      <c r="I53" s="383">
        <v>0.3</v>
      </c>
      <c r="J53" s="615" t="s">
        <v>549</v>
      </c>
      <c r="K53" s="615"/>
      <c r="L53" s="615"/>
      <c r="M53" s="383">
        <v>0.3</v>
      </c>
      <c r="N53" s="470" t="s">
        <v>160</v>
      </c>
      <c r="O53" s="436">
        <f>IF(AND(Master!E3=Master!AB22),W52,IF(AND(Master!E3=Master!AB23),X52,IF(AND(Master!E3=Master!AB24),Y52,"")))</f>
        <v>0</v>
      </c>
      <c r="P53" s="394"/>
      <c r="Q53" s="394"/>
      <c r="W53" s="121">
        <f>ROUND(IF(O47&lt;=250000,0,IF(O47&lt;=500000,(O47-250000)*0.05,IF(O47&lt;=1000000,12500+(O47-500000)*0.2,IF(O47&gt;1000000,112500+(O47-1000000)*0.3,"0")))),0)</f>
        <v>0</v>
      </c>
      <c r="X53" s="121">
        <f>ROUND(IF(O47&lt;=300000,0,IF(O47&lt;=500000,(O47-300000)*0.05,IF(O47&lt;=1000000,10000+(O47-500000)*0.2,IF(O47&gt;1000000,110000+(O47-1000000)*0.3,"0")))),0)</f>
        <v>0</v>
      </c>
      <c r="Y53" s="121">
        <f>ROUND(IF(O47&lt;=250000,0,IF(O47&lt;=500000,(O47-250000)*0.05,IF(O47&lt;=1000000,0+(O47-500000)*0.2,IF(O47&gt;1000000,100000+(O47-1000000)*0.3,"0")))),0)</f>
        <v>0</v>
      </c>
    </row>
    <row r="54" spans="1:25" s="121" customFormat="1" ht="14.1" customHeight="1">
      <c r="A54" s="627"/>
      <c r="B54" s="616" t="s">
        <v>195</v>
      </c>
      <c r="C54" s="616"/>
      <c r="D54" s="616"/>
      <c r="E54" s="616"/>
      <c r="F54" s="616"/>
      <c r="G54" s="616"/>
      <c r="H54" s="616"/>
      <c r="I54" s="616"/>
      <c r="J54" s="616"/>
      <c r="K54" s="616"/>
      <c r="L54" s="616"/>
      <c r="M54" s="616"/>
      <c r="N54" s="470" t="s">
        <v>160</v>
      </c>
      <c r="O54" s="433">
        <f>SUM(O50:O53)</f>
        <v>0</v>
      </c>
      <c r="P54" s="388"/>
      <c r="Q54" s="388"/>
    </row>
    <row r="55" spans="1:25" s="121" customFormat="1" ht="14.1" customHeight="1">
      <c r="A55" s="627"/>
      <c r="B55" s="624" t="s">
        <v>488</v>
      </c>
      <c r="C55" s="624"/>
      <c r="D55" s="624"/>
      <c r="E55" s="624"/>
      <c r="F55" s="624"/>
      <c r="G55" s="624"/>
      <c r="H55" s="624"/>
      <c r="I55" s="624"/>
      <c r="J55" s="624"/>
      <c r="K55" s="624"/>
      <c r="L55" s="624"/>
      <c r="M55" s="624"/>
      <c r="N55" s="470" t="s">
        <v>160</v>
      </c>
      <c r="O55" s="434">
        <f>IF(O47&gt;350000,0,IF(O54&lt;2501,O54,2500))</f>
        <v>0</v>
      </c>
      <c r="P55" s="386"/>
      <c r="Q55" s="386"/>
    </row>
    <row r="56" spans="1:25" s="121" customFormat="1" ht="14.1" customHeight="1">
      <c r="A56" s="627"/>
      <c r="B56" s="616" t="s">
        <v>196</v>
      </c>
      <c r="C56" s="625"/>
      <c r="D56" s="625"/>
      <c r="E56" s="625"/>
      <c r="F56" s="616"/>
      <c r="G56" s="616"/>
      <c r="H56" s="616"/>
      <c r="I56" s="616"/>
      <c r="J56" s="616"/>
      <c r="K56" s="616"/>
      <c r="L56" s="616"/>
      <c r="M56" s="616"/>
      <c r="N56" s="470" t="s">
        <v>160</v>
      </c>
      <c r="O56" s="433">
        <f>O54-O55</f>
        <v>0</v>
      </c>
      <c r="P56" s="388"/>
      <c r="Q56" s="388"/>
      <c r="X56" s="121">
        <f>IF(T59&gt;350000,0,IF(T59&lt;2501,T59,2500))</f>
        <v>0</v>
      </c>
    </row>
    <row r="57" spans="1:25" ht="15" customHeight="1">
      <c r="A57" s="627"/>
      <c r="B57" s="399" t="s">
        <v>489</v>
      </c>
      <c r="C57" s="621" t="s">
        <v>550</v>
      </c>
      <c r="D57" s="621"/>
      <c r="E57" s="621"/>
      <c r="F57" s="621"/>
      <c r="G57" s="621"/>
      <c r="H57" s="621"/>
      <c r="I57" s="621"/>
      <c r="J57" s="621"/>
      <c r="K57" s="621"/>
      <c r="L57" s="621"/>
      <c r="M57" s="622"/>
      <c r="N57" s="470" t="s">
        <v>160</v>
      </c>
      <c r="O57" s="434">
        <f>ROUND((O56*0.04),0)</f>
        <v>0</v>
      </c>
      <c r="P57" s="386"/>
      <c r="Q57" s="386"/>
    </row>
    <row r="58" spans="1:25" ht="15" customHeight="1">
      <c r="A58" s="628"/>
      <c r="B58" s="619" t="s">
        <v>560</v>
      </c>
      <c r="C58" s="620"/>
      <c r="D58" s="620"/>
      <c r="E58" s="620"/>
      <c r="F58" s="619"/>
      <c r="G58" s="619"/>
      <c r="H58" s="619"/>
      <c r="I58" s="619"/>
      <c r="J58" s="619"/>
      <c r="K58" s="619"/>
      <c r="L58" s="619"/>
      <c r="M58" s="619"/>
      <c r="N58" s="470" t="s">
        <v>160</v>
      </c>
      <c r="O58" s="433">
        <f>SUM(O56:O57)</f>
        <v>0</v>
      </c>
      <c r="P58" s="388"/>
      <c r="Q58" s="388"/>
    </row>
    <row r="59" spans="1:25" ht="15" customHeight="1">
      <c r="A59" s="474">
        <v>17</v>
      </c>
      <c r="B59" s="675" t="s">
        <v>551</v>
      </c>
      <c r="C59" s="675"/>
      <c r="D59" s="675"/>
      <c r="E59" s="675"/>
      <c r="F59" s="675"/>
      <c r="G59" s="675"/>
      <c r="H59" s="675"/>
      <c r="I59" s="675"/>
      <c r="J59" s="675"/>
      <c r="K59" s="675"/>
      <c r="L59" s="675"/>
      <c r="M59" s="675"/>
      <c r="N59" s="470" t="s">
        <v>160</v>
      </c>
      <c r="O59" s="403" t="str">
        <f>'Extra deduc'!J17</f>
        <v>0</v>
      </c>
      <c r="P59" s="386"/>
      <c r="Q59" s="386"/>
    </row>
    <row r="60" spans="1:25" ht="16.5" customHeight="1">
      <c r="A60" s="474">
        <v>18</v>
      </c>
      <c r="B60" s="629" t="s">
        <v>197</v>
      </c>
      <c r="C60" s="629"/>
      <c r="D60" s="629"/>
      <c r="E60" s="629"/>
      <c r="F60" s="629"/>
      <c r="G60" s="629"/>
      <c r="H60" s="629"/>
      <c r="I60" s="629"/>
      <c r="J60" s="629"/>
      <c r="K60" s="629"/>
      <c r="L60" s="629"/>
      <c r="M60" s="629"/>
      <c r="N60" s="470" t="s">
        <v>160</v>
      </c>
      <c r="O60" s="433">
        <f>O58-O59</f>
        <v>0</v>
      </c>
      <c r="P60" s="388"/>
      <c r="Q60" s="388"/>
      <c r="Y60" s="4">
        <f>ROUND(IF(Master!E3=Master!AB22,IF(O47&lt;250001,0,IF(O47&gt;500000,12500,((O47-250000)*0.05))),IF(O47&lt;300001,0,IF(O47&gt;500000,10000,((O47-300000)*0.05)))),0)</f>
        <v>0</v>
      </c>
    </row>
    <row r="61" spans="1:25" ht="31.5" customHeight="1">
      <c r="A61" s="626">
        <v>19</v>
      </c>
      <c r="B61" s="683" t="s">
        <v>198</v>
      </c>
      <c r="C61" s="683"/>
      <c r="D61" s="683"/>
      <c r="E61" s="684" t="s">
        <v>459</v>
      </c>
      <c r="F61" s="684"/>
      <c r="G61" s="684"/>
      <c r="H61" s="685" t="s">
        <v>525</v>
      </c>
      <c r="I61" s="685"/>
      <c r="J61" s="469" t="s">
        <v>523</v>
      </c>
      <c r="K61" s="684" t="s">
        <v>524</v>
      </c>
      <c r="L61" s="684"/>
      <c r="M61" s="677" t="s">
        <v>490</v>
      </c>
      <c r="N61" s="678"/>
      <c r="O61" s="476" t="s">
        <v>561</v>
      </c>
      <c r="P61" s="395"/>
      <c r="Q61" s="395"/>
    </row>
    <row r="62" spans="1:25" ht="15.75">
      <c r="A62" s="628"/>
      <c r="B62" s="683"/>
      <c r="C62" s="683"/>
      <c r="D62" s="683"/>
      <c r="E62" s="679">
        <f>SUM('GA55 Summry'!U6:U12)</f>
        <v>0</v>
      </c>
      <c r="F62" s="686"/>
      <c r="G62" s="680"/>
      <c r="H62" s="679">
        <f>SUM('GA55 Summry'!U13:U15)</f>
        <v>0</v>
      </c>
      <c r="I62" s="680"/>
      <c r="J62" s="437">
        <f>SUM('GA55 Summry'!U16)</f>
        <v>0</v>
      </c>
      <c r="K62" s="679">
        <f>SUM('GA55 Summry'!U17)</f>
        <v>0</v>
      </c>
      <c r="L62" s="680"/>
      <c r="M62" s="679">
        <f>SUM('GA55 Summry'!U18:U26)+'Extra deduc'!J20</f>
        <v>0</v>
      </c>
      <c r="N62" s="680"/>
      <c r="O62" s="443">
        <f>'Extra deduc'!J20+'GA55 Summry'!U27</f>
        <v>0</v>
      </c>
      <c r="P62" s="396"/>
      <c r="Q62" s="396"/>
    </row>
    <row r="63" spans="1:25" ht="15.75" customHeight="1" thickBot="1">
      <c r="A63" s="681" t="str">
        <f>IF(O60&gt;O62,"Income Tax Payable",IF(O60&lt;O62,"Income Tax Refundable","Income Tax Payble/Refundable"))</f>
        <v>Income Tax Payble/Refundable</v>
      </c>
      <c r="B63" s="682"/>
      <c r="C63" s="682"/>
      <c r="D63" s="682"/>
      <c r="E63" s="682"/>
      <c r="F63" s="682"/>
      <c r="G63" s="682"/>
      <c r="H63" s="682"/>
      <c r="I63" s="682"/>
      <c r="J63" s="682"/>
      <c r="K63" s="682"/>
      <c r="L63" s="682"/>
      <c r="M63" s="682"/>
      <c r="N63" s="405" t="s">
        <v>160</v>
      </c>
      <c r="O63" s="444">
        <f>IF(O60&gt;O62,O60-O62,O62-O60)</f>
        <v>0</v>
      </c>
      <c r="P63" s="386"/>
      <c r="Q63" s="386"/>
    </row>
    <row r="64" spans="1:25" ht="16.5" thickTop="1">
      <c r="A64" s="406"/>
      <c r="B64" s="406"/>
      <c r="C64" s="406"/>
      <c r="D64" s="406"/>
      <c r="E64" s="406"/>
      <c r="F64" s="406"/>
      <c r="G64" s="406"/>
      <c r="H64" s="406"/>
      <c r="I64" s="406"/>
      <c r="J64" s="406"/>
      <c r="K64" s="406"/>
      <c r="L64" s="406"/>
      <c r="M64" s="406"/>
      <c r="N64" s="407"/>
      <c r="O64" s="386"/>
      <c r="P64" s="386"/>
      <c r="Q64" s="386"/>
    </row>
    <row r="65" spans="1:25" ht="16.5">
      <c r="A65" s="330"/>
      <c r="B65" s="331"/>
      <c r="C65" s="331"/>
      <c r="D65" s="332"/>
      <c r="E65" s="331"/>
      <c r="F65" s="331"/>
      <c r="G65" s="331"/>
      <c r="H65" s="331"/>
      <c r="I65" s="331"/>
      <c r="J65" s="331"/>
      <c r="K65" s="331"/>
      <c r="L65" s="676" t="s">
        <v>199</v>
      </c>
      <c r="M65" s="676"/>
      <c r="N65" s="676"/>
      <c r="O65" s="329"/>
      <c r="P65" s="329"/>
      <c r="Q65" s="329"/>
    </row>
    <row r="66" spans="1:25" ht="16.5">
      <c r="A66" s="330"/>
      <c r="B66" s="331"/>
      <c r="C66" s="331"/>
      <c r="D66" s="332"/>
      <c r="E66" s="331"/>
      <c r="F66" s="331"/>
      <c r="G66" s="331"/>
      <c r="H66" s="331"/>
      <c r="I66" s="331"/>
      <c r="J66" s="331"/>
      <c r="K66" s="331"/>
      <c r="L66" s="333"/>
      <c r="M66" s="334"/>
      <c r="N66" s="335"/>
      <c r="O66" s="329"/>
      <c r="P66" s="329"/>
      <c r="Q66" s="329"/>
    </row>
    <row r="67" spans="1:25" ht="15.75">
      <c r="A67" s="336"/>
      <c r="B67" s="337"/>
      <c r="C67" s="337"/>
      <c r="D67" s="337"/>
      <c r="E67" s="337"/>
      <c r="F67" s="337"/>
      <c r="G67" s="337"/>
      <c r="H67" s="337"/>
      <c r="I67" s="337"/>
      <c r="J67" s="337"/>
      <c r="K67" s="337"/>
      <c r="L67" s="337"/>
      <c r="M67" s="337"/>
      <c r="N67" s="337"/>
      <c r="O67" s="338"/>
      <c r="P67" s="338"/>
      <c r="Q67" s="338"/>
      <c r="R67" s="121"/>
      <c r="S67" s="121"/>
      <c r="T67" s="121"/>
      <c r="U67" s="121"/>
      <c r="V67" s="121"/>
      <c r="W67" s="121"/>
      <c r="X67" s="121"/>
      <c r="Y67" s="121"/>
    </row>
    <row r="68" spans="1:25" ht="15.75">
      <c r="A68" s="339"/>
      <c r="B68" s="337"/>
      <c r="C68" s="337"/>
      <c r="D68" s="337"/>
      <c r="E68" s="337"/>
      <c r="F68" s="337"/>
      <c r="G68" s="337"/>
      <c r="H68" s="337"/>
      <c r="I68" s="337"/>
      <c r="J68" s="337"/>
      <c r="K68" s="337"/>
      <c r="L68" s="337"/>
      <c r="M68" s="337"/>
      <c r="N68" s="337"/>
      <c r="O68" s="338"/>
      <c r="P68" s="338"/>
      <c r="Q68" s="338"/>
      <c r="R68" s="121"/>
      <c r="S68" s="121"/>
      <c r="T68" s="121"/>
      <c r="U68" s="121"/>
      <c r="V68" s="121"/>
      <c r="W68" s="121"/>
      <c r="X68" s="121"/>
      <c r="Y68" s="121"/>
    </row>
    <row r="69" spans="1:25" ht="15.75">
      <c r="A69" s="336"/>
      <c r="B69" s="337"/>
      <c r="C69" s="337"/>
      <c r="D69" s="337"/>
      <c r="E69" s="337"/>
      <c r="F69" s="337"/>
      <c r="G69" s="337"/>
      <c r="H69" s="337"/>
      <c r="I69" s="337"/>
      <c r="J69" s="337"/>
      <c r="K69" s="337"/>
      <c r="L69" s="337"/>
      <c r="M69" s="337"/>
      <c r="N69" s="337"/>
      <c r="O69" s="338"/>
      <c r="P69" s="338"/>
      <c r="Q69" s="338"/>
      <c r="R69" s="121"/>
      <c r="S69" s="121"/>
      <c r="T69" s="121"/>
      <c r="U69" s="121"/>
      <c r="V69" s="121"/>
      <c r="W69" s="121"/>
      <c r="X69" s="121"/>
      <c r="Y69" s="121"/>
    </row>
    <row r="70" spans="1:25" ht="15.75">
      <c r="A70" s="336"/>
      <c r="B70" s="340"/>
      <c r="C70" s="340"/>
      <c r="D70" s="340"/>
      <c r="E70" s="340"/>
      <c r="F70" s="340"/>
      <c r="G70" s="340"/>
      <c r="H70" s="340"/>
      <c r="I70" s="341"/>
      <c r="J70" s="341"/>
      <c r="K70" s="341"/>
      <c r="L70" s="341"/>
      <c r="M70" s="341"/>
      <c r="N70" s="341"/>
      <c r="O70" s="338"/>
      <c r="P70" s="338"/>
      <c r="Q70" s="338"/>
      <c r="R70" s="121"/>
      <c r="S70" s="121"/>
      <c r="T70" s="121"/>
      <c r="U70" s="121"/>
      <c r="V70" s="121"/>
      <c r="W70" s="121"/>
      <c r="X70" s="121"/>
      <c r="Y70" s="121"/>
    </row>
    <row r="71" spans="1:25" ht="15.75">
      <c r="A71" s="336"/>
      <c r="B71" s="340"/>
      <c r="C71" s="340"/>
      <c r="D71" s="340"/>
      <c r="E71" s="340"/>
      <c r="F71" s="340"/>
      <c r="G71" s="340"/>
      <c r="H71" s="340"/>
      <c r="I71" s="341"/>
      <c r="J71" s="341"/>
      <c r="K71" s="341"/>
      <c r="L71" s="341"/>
      <c r="M71" s="341"/>
      <c r="N71" s="341"/>
      <c r="O71" s="338"/>
      <c r="P71" s="338"/>
      <c r="Q71" s="338"/>
      <c r="R71" s="121"/>
      <c r="S71" s="121"/>
      <c r="T71" s="121"/>
      <c r="U71" s="121"/>
      <c r="V71" s="121"/>
      <c r="W71" s="121"/>
      <c r="X71" s="121"/>
      <c r="Y71" s="121"/>
    </row>
    <row r="72" spans="1:25" ht="15.75">
      <c r="A72" s="336"/>
      <c r="B72" s="340"/>
      <c r="C72" s="340"/>
      <c r="D72" s="340"/>
      <c r="E72" s="340"/>
      <c r="F72" s="340"/>
      <c r="G72" s="340"/>
      <c r="H72" s="340"/>
      <c r="I72" s="341"/>
      <c r="J72" s="341"/>
      <c r="K72" s="341"/>
      <c r="L72" s="341"/>
      <c r="M72" s="341"/>
      <c r="N72" s="341"/>
      <c r="O72" s="338"/>
      <c r="P72" s="338"/>
      <c r="Q72" s="338"/>
      <c r="R72" s="121"/>
      <c r="S72" s="121"/>
      <c r="T72" s="121"/>
      <c r="U72" s="121"/>
      <c r="V72" s="121"/>
      <c r="W72" s="121"/>
      <c r="X72" s="121"/>
      <c r="Y72" s="121"/>
    </row>
    <row r="73" spans="1:25" ht="15.75">
      <c r="A73" s="336"/>
      <c r="B73" s="340"/>
      <c r="C73" s="340"/>
      <c r="D73" s="340"/>
      <c r="E73" s="340"/>
      <c r="F73" s="340"/>
      <c r="G73" s="340"/>
      <c r="H73" s="340"/>
      <c r="I73" s="341"/>
      <c r="J73" s="341"/>
      <c r="K73" s="341"/>
      <c r="L73" s="341"/>
      <c r="M73" s="341"/>
      <c r="N73" s="341"/>
      <c r="O73" s="338"/>
      <c r="P73" s="338"/>
      <c r="Q73" s="338"/>
      <c r="R73" s="121"/>
      <c r="S73" s="121"/>
      <c r="T73" s="121"/>
      <c r="U73" s="121"/>
      <c r="V73" s="121"/>
      <c r="W73" s="121"/>
      <c r="X73" s="121"/>
      <c r="Y73" s="121"/>
    </row>
    <row r="74" spans="1:25" ht="15.75">
      <c r="A74" s="336"/>
      <c r="B74" s="340"/>
      <c r="C74" s="340"/>
      <c r="D74" s="340"/>
      <c r="E74" s="340"/>
      <c r="F74" s="340"/>
      <c r="G74" s="340"/>
      <c r="H74" s="340"/>
      <c r="I74" s="341"/>
      <c r="J74" s="341"/>
      <c r="K74" s="341"/>
      <c r="L74" s="341"/>
      <c r="M74" s="341"/>
      <c r="N74" s="341"/>
      <c r="O74" s="338"/>
      <c r="P74" s="338"/>
      <c r="Q74" s="338"/>
      <c r="R74" s="121"/>
      <c r="S74" s="121"/>
      <c r="T74" s="121"/>
      <c r="U74" s="121"/>
      <c r="V74" s="121"/>
      <c r="W74" s="121"/>
      <c r="X74" s="121"/>
      <c r="Y74" s="121"/>
    </row>
    <row r="75" spans="1:25" ht="15.75">
      <c r="A75" s="339"/>
      <c r="B75" s="342"/>
      <c r="C75" s="343"/>
      <c r="D75" s="343"/>
      <c r="E75" s="343"/>
      <c r="F75" s="343"/>
      <c r="G75" s="343"/>
      <c r="H75" s="342"/>
      <c r="I75" s="341"/>
      <c r="J75" s="341"/>
      <c r="K75" s="341"/>
      <c r="L75" s="341"/>
      <c r="M75" s="341"/>
      <c r="N75" s="341"/>
      <c r="O75" s="338"/>
      <c r="P75" s="338"/>
      <c r="Q75" s="338"/>
      <c r="R75" s="121"/>
      <c r="S75" s="121"/>
      <c r="T75" s="121"/>
      <c r="U75" s="121"/>
      <c r="V75" s="121"/>
      <c r="W75" s="121"/>
      <c r="X75" s="121"/>
      <c r="Y75" s="121"/>
    </row>
    <row r="76" spans="1:25" s="123" customFormat="1" ht="15.75">
      <c r="A76" s="344"/>
      <c r="B76" s="345"/>
      <c r="C76" s="345"/>
      <c r="D76" s="345"/>
      <c r="E76" s="345"/>
      <c r="F76" s="345"/>
      <c r="G76" s="345"/>
      <c r="H76" s="345"/>
      <c r="I76" s="341"/>
      <c r="J76" s="341"/>
      <c r="K76" s="341"/>
      <c r="L76" s="341"/>
      <c r="M76" s="341"/>
      <c r="N76" s="341"/>
      <c r="O76" s="346"/>
      <c r="P76" s="346"/>
      <c r="Q76" s="346"/>
      <c r="R76" s="122"/>
      <c r="S76" s="122"/>
      <c r="T76" s="122"/>
      <c r="U76" s="122"/>
      <c r="V76" s="122"/>
      <c r="W76" s="122"/>
      <c r="X76" s="122"/>
      <c r="Y76" s="122"/>
    </row>
    <row r="77" spans="1:25" s="123" customFormat="1" ht="15.75">
      <c r="A77" s="344"/>
      <c r="B77" s="345"/>
      <c r="C77" s="345"/>
      <c r="D77" s="345"/>
      <c r="E77" s="345"/>
      <c r="F77" s="345"/>
      <c r="G77" s="345"/>
      <c r="H77" s="345"/>
      <c r="I77" s="345"/>
      <c r="J77" s="345"/>
      <c r="K77" s="345"/>
      <c r="L77" s="345"/>
      <c r="M77" s="347"/>
      <c r="N77" s="348"/>
      <c r="O77" s="346"/>
      <c r="P77" s="346"/>
      <c r="Q77" s="346"/>
      <c r="R77" s="122"/>
      <c r="S77" s="122"/>
      <c r="T77" s="122"/>
      <c r="U77" s="122"/>
      <c r="V77" s="122"/>
      <c r="W77" s="122"/>
      <c r="X77" s="122"/>
      <c r="Y77" s="122"/>
    </row>
    <row r="78" spans="1:25" s="123" customFormat="1" ht="15.75">
      <c r="A78" s="344"/>
      <c r="B78" s="345"/>
      <c r="C78" s="345"/>
      <c r="D78" s="345"/>
      <c r="E78" s="345"/>
      <c r="F78" s="345"/>
      <c r="G78" s="345"/>
      <c r="H78" s="345"/>
      <c r="I78" s="345"/>
      <c r="J78" s="345"/>
      <c r="K78" s="345"/>
      <c r="L78" s="345"/>
      <c r="M78" s="347"/>
      <c r="N78" s="348"/>
      <c r="O78" s="346"/>
      <c r="P78" s="346"/>
      <c r="Q78" s="346"/>
      <c r="R78" s="122"/>
      <c r="S78" s="122"/>
      <c r="T78" s="122"/>
      <c r="U78" s="122"/>
      <c r="V78" s="122"/>
      <c r="W78" s="122"/>
      <c r="X78" s="122"/>
      <c r="Y78" s="122"/>
    </row>
    <row r="79" spans="1:25" s="123" customFormat="1" ht="15.75">
      <c r="A79" s="344"/>
      <c r="B79" s="345"/>
      <c r="C79" s="345"/>
      <c r="D79" s="345"/>
      <c r="E79" s="345"/>
      <c r="F79" s="345"/>
      <c r="G79" s="345"/>
      <c r="H79" s="345"/>
      <c r="I79" s="345"/>
      <c r="J79" s="345"/>
      <c r="K79" s="345"/>
      <c r="L79" s="345"/>
      <c r="M79" s="347"/>
      <c r="N79" s="348"/>
      <c r="O79" s="346"/>
      <c r="P79" s="346"/>
      <c r="Q79" s="346"/>
      <c r="R79" s="122"/>
      <c r="S79" s="122"/>
      <c r="T79" s="122"/>
      <c r="U79" s="122"/>
      <c r="V79" s="122"/>
      <c r="W79" s="122"/>
      <c r="X79" s="122"/>
      <c r="Y79" s="122"/>
    </row>
    <row r="80" spans="1:25" s="123" customFormat="1" ht="15.75">
      <c r="A80" s="344"/>
      <c r="B80" s="345"/>
      <c r="C80" s="345"/>
      <c r="D80" s="345"/>
      <c r="E80" s="345"/>
      <c r="F80" s="345"/>
      <c r="G80" s="345"/>
      <c r="H80" s="345"/>
      <c r="I80" s="345"/>
      <c r="J80" s="345"/>
      <c r="K80" s="345"/>
      <c r="L80" s="349"/>
      <c r="M80" s="347"/>
      <c r="N80" s="350"/>
      <c r="O80" s="346"/>
      <c r="P80" s="346"/>
      <c r="Q80" s="346"/>
      <c r="R80" s="122"/>
      <c r="S80" s="122"/>
      <c r="T80" s="122"/>
      <c r="U80" s="122"/>
      <c r="V80" s="122"/>
      <c r="W80" s="122"/>
      <c r="X80" s="122"/>
      <c r="Y80" s="122"/>
    </row>
    <row r="81" spans="1:25" ht="15.75">
      <c r="A81" s="351"/>
      <c r="B81" s="352"/>
      <c r="C81" s="352"/>
      <c r="D81" s="352"/>
      <c r="E81" s="352"/>
      <c r="F81" s="352"/>
      <c r="G81" s="352"/>
      <c r="H81" s="352"/>
      <c r="I81" s="352"/>
      <c r="J81" s="352"/>
      <c r="K81" s="352"/>
      <c r="L81" s="352"/>
      <c r="M81" s="353"/>
      <c r="N81" s="354"/>
      <c r="O81" s="329"/>
      <c r="P81" s="329"/>
      <c r="Q81" s="329"/>
      <c r="R81" s="121"/>
      <c r="S81" s="121"/>
      <c r="T81" s="121"/>
      <c r="U81" s="121"/>
      <c r="V81" s="121"/>
      <c r="W81" s="121"/>
      <c r="X81" s="121"/>
      <c r="Y81" s="121"/>
    </row>
    <row r="82" spans="1:25">
      <c r="A82" s="355"/>
      <c r="B82" s="356"/>
      <c r="C82" s="356"/>
      <c r="D82" s="356"/>
      <c r="E82" s="356"/>
      <c r="F82" s="356"/>
      <c r="G82" s="356"/>
      <c r="H82" s="356"/>
      <c r="I82" s="356"/>
      <c r="J82" s="356"/>
      <c r="K82" s="356"/>
      <c r="L82" s="356"/>
      <c r="M82" s="356"/>
      <c r="N82" s="356"/>
      <c r="O82" s="356"/>
      <c r="P82" s="356"/>
      <c r="Q82" s="356"/>
      <c r="R82" s="121"/>
      <c r="S82" s="121"/>
      <c r="T82" s="121"/>
      <c r="U82" s="121"/>
      <c r="V82" s="121"/>
      <c r="W82" s="121"/>
      <c r="X82" s="121"/>
      <c r="Y82" s="121"/>
    </row>
    <row r="83" spans="1:25">
      <c r="A83" s="355"/>
      <c r="B83" s="356"/>
      <c r="C83" s="356"/>
      <c r="D83" s="356"/>
      <c r="E83" s="356"/>
      <c r="F83" s="356"/>
      <c r="G83" s="356"/>
      <c r="H83" s="356"/>
      <c r="I83" s="356"/>
      <c r="J83" s="356"/>
      <c r="K83" s="356"/>
      <c r="L83" s="356"/>
      <c r="M83" s="356"/>
      <c r="N83" s="356"/>
      <c r="O83" s="356"/>
      <c r="P83" s="356"/>
      <c r="Q83" s="356"/>
      <c r="R83" s="121"/>
      <c r="S83" s="121"/>
      <c r="T83" s="121"/>
      <c r="U83" s="121"/>
      <c r="V83" s="121"/>
      <c r="W83" s="121"/>
      <c r="X83" s="121"/>
      <c r="Y83" s="121"/>
    </row>
    <row r="84" spans="1:25">
      <c r="A84" s="355"/>
      <c r="B84" s="356"/>
      <c r="C84" s="356"/>
      <c r="D84" s="356"/>
      <c r="E84" s="356"/>
      <c r="F84" s="356"/>
      <c r="G84" s="356"/>
      <c r="H84" s="356"/>
      <c r="I84" s="356"/>
      <c r="J84" s="356"/>
      <c r="K84" s="356"/>
      <c r="L84" s="356"/>
      <c r="M84" s="356"/>
      <c r="N84" s="356"/>
      <c r="O84" s="356"/>
      <c r="P84" s="356"/>
      <c r="Q84" s="356"/>
      <c r="R84" s="121"/>
      <c r="S84" s="121"/>
      <c r="T84" s="121"/>
      <c r="U84" s="121"/>
      <c r="V84" s="121"/>
      <c r="W84" s="121"/>
      <c r="X84" s="121"/>
      <c r="Y84" s="121"/>
    </row>
    <row r="85" spans="1:25">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Y29"/>
  <sheetViews>
    <sheetView workbookViewId="0">
      <selection activeCell="L9" sqref="L9:N9"/>
    </sheetView>
  </sheetViews>
  <sheetFormatPr defaultColWidth="8.85546875" defaultRowHeight="15"/>
  <cols>
    <col min="1" max="11" width="8.7109375" style="4" customWidth="1"/>
    <col min="12" max="13" width="6.7109375" style="4" customWidth="1"/>
    <col min="14" max="16384" width="8.85546875" style="4"/>
  </cols>
  <sheetData>
    <row r="1" spans="1:25">
      <c r="A1" s="697" t="s">
        <v>401</v>
      </c>
      <c r="B1" s="697"/>
      <c r="C1" s="697"/>
      <c r="D1" s="697"/>
      <c r="E1" s="697"/>
      <c r="F1" s="697"/>
      <c r="G1" s="697"/>
      <c r="H1" s="697"/>
      <c r="I1" s="697"/>
      <c r="J1" s="697"/>
      <c r="K1" s="697"/>
      <c r="L1" s="697"/>
      <c r="M1" s="697"/>
      <c r="N1" s="697"/>
      <c r="O1" s="357"/>
      <c r="P1" s="357"/>
    </row>
    <row r="2" spans="1:25">
      <c r="A2" s="698"/>
      <c r="B2" s="698"/>
      <c r="C2" s="698"/>
      <c r="D2" s="698"/>
      <c r="E2" s="698"/>
      <c r="F2" s="698"/>
      <c r="G2" s="698"/>
      <c r="H2" s="698"/>
      <c r="I2" s="698"/>
      <c r="J2" s="698"/>
      <c r="K2" s="698"/>
      <c r="L2" s="698"/>
      <c r="M2" s="698"/>
      <c r="N2" s="698"/>
      <c r="O2" s="357"/>
      <c r="P2" s="357"/>
    </row>
    <row r="3" spans="1:25" ht="18.75">
      <c r="A3" s="693" t="s">
        <v>402</v>
      </c>
      <c r="B3" s="693"/>
      <c r="C3" s="694" t="str">
        <f>IF(AND(Master!D9=""),"",UPPER(Master!D9))</f>
        <v>ANITA CHOUDHARY</v>
      </c>
      <c r="D3" s="694"/>
      <c r="E3" s="694"/>
      <c r="F3" s="694"/>
      <c r="G3" s="694"/>
      <c r="H3" s="694"/>
      <c r="I3" s="694"/>
      <c r="J3" s="694"/>
      <c r="K3" s="694"/>
      <c r="L3" s="694"/>
      <c r="M3" s="694"/>
      <c r="N3" s="694"/>
      <c r="O3" s="357"/>
      <c r="P3" s="357"/>
    </row>
    <row r="4" spans="1:25" ht="18.75">
      <c r="A4" s="693" t="s">
        <v>403</v>
      </c>
      <c r="B4" s="693"/>
      <c r="C4" s="696"/>
      <c r="D4" s="696"/>
      <c r="E4" s="696"/>
      <c r="F4" s="696"/>
      <c r="G4" s="696"/>
      <c r="H4" s="696"/>
      <c r="I4" s="696"/>
      <c r="J4" s="696"/>
      <c r="K4" s="696"/>
      <c r="L4" s="696"/>
      <c r="M4" s="696"/>
      <c r="N4" s="696"/>
      <c r="O4" s="357"/>
      <c r="P4" s="357"/>
    </row>
    <row r="5" spans="1:25" ht="18.75">
      <c r="A5" s="693" t="s">
        <v>159</v>
      </c>
      <c r="B5" s="693"/>
      <c r="C5" s="694" t="str">
        <f>IF(AND(Master!D12=""),"",UPPER(Master!D12))</f>
        <v>BNUPC2108M</v>
      </c>
      <c r="D5" s="694"/>
      <c r="E5" s="694"/>
      <c r="F5" s="694"/>
      <c r="G5" s="694"/>
      <c r="H5" s="695" t="s">
        <v>404</v>
      </c>
      <c r="I5" s="695"/>
      <c r="J5" s="696" t="s">
        <v>405</v>
      </c>
      <c r="K5" s="696"/>
      <c r="L5" s="696"/>
      <c r="M5" s="696"/>
      <c r="N5" s="696"/>
      <c r="O5" s="357"/>
      <c r="P5" s="357"/>
    </row>
    <row r="6" spans="1:25" ht="18.75">
      <c r="A6" s="358"/>
      <c r="B6" s="358"/>
      <c r="C6" s="358"/>
      <c r="D6" s="358"/>
      <c r="E6" s="358"/>
      <c r="F6" s="358"/>
      <c r="G6" s="358"/>
      <c r="H6" s="358"/>
      <c r="I6" s="358"/>
      <c r="J6" s="358"/>
      <c r="K6" s="358"/>
      <c r="L6" s="358"/>
      <c r="M6" s="358"/>
      <c r="N6" s="358"/>
      <c r="O6" s="357"/>
      <c r="P6" s="357"/>
    </row>
    <row r="7" spans="1:25" ht="18.75">
      <c r="A7" s="704" t="s">
        <v>562</v>
      </c>
      <c r="B7" s="704"/>
      <c r="C7" s="704"/>
      <c r="D7" s="704"/>
      <c r="E7" s="704"/>
      <c r="F7" s="704"/>
      <c r="G7" s="704"/>
      <c r="H7" s="704"/>
      <c r="I7" s="704"/>
      <c r="J7" s="704"/>
      <c r="K7" s="704"/>
      <c r="L7" s="704" t="s">
        <v>406</v>
      </c>
      <c r="M7" s="704"/>
      <c r="N7" s="704"/>
      <c r="O7" s="357"/>
      <c r="P7" s="357"/>
    </row>
    <row r="8" spans="1:25" ht="18.75">
      <c r="A8" s="705" t="s">
        <v>563</v>
      </c>
      <c r="B8" s="706"/>
      <c r="C8" s="706"/>
      <c r="D8" s="706"/>
      <c r="E8" s="706"/>
      <c r="F8" s="706"/>
      <c r="G8" s="706"/>
      <c r="H8" s="706"/>
      <c r="I8" s="706"/>
      <c r="J8" s="706"/>
      <c r="K8" s="707"/>
      <c r="L8" s="702">
        <v>211000</v>
      </c>
      <c r="M8" s="703"/>
      <c r="N8" s="703"/>
      <c r="O8" s="357"/>
      <c r="P8" s="357"/>
    </row>
    <row r="9" spans="1:25" ht="18.75">
      <c r="A9" s="699" t="s">
        <v>564</v>
      </c>
      <c r="B9" s="700"/>
      <c r="C9" s="700"/>
      <c r="D9" s="700"/>
      <c r="E9" s="700"/>
      <c r="F9" s="700"/>
      <c r="G9" s="700"/>
      <c r="H9" s="700"/>
      <c r="I9" s="700"/>
      <c r="J9" s="700"/>
      <c r="K9" s="701"/>
      <c r="L9" s="702">
        <v>37000</v>
      </c>
      <c r="M9" s="703"/>
      <c r="N9" s="703"/>
      <c r="O9" s="357"/>
      <c r="P9" s="357"/>
    </row>
    <row r="10" spans="1:25" ht="18.75">
      <c r="A10" s="704" t="s">
        <v>552</v>
      </c>
      <c r="B10" s="704"/>
      <c r="C10" s="704"/>
      <c r="D10" s="704"/>
      <c r="E10" s="704"/>
      <c r="F10" s="704"/>
      <c r="G10" s="704"/>
      <c r="H10" s="704"/>
      <c r="I10" s="704"/>
      <c r="J10" s="704"/>
      <c r="K10" s="704"/>
      <c r="L10" s="704" t="s">
        <v>406</v>
      </c>
      <c r="M10" s="704"/>
      <c r="N10" s="704"/>
      <c r="O10" s="357"/>
      <c r="P10" s="357"/>
    </row>
    <row r="11" spans="1:25" ht="18.75">
      <c r="A11" s="705" t="s">
        <v>553</v>
      </c>
      <c r="B11" s="706"/>
      <c r="C11" s="706"/>
      <c r="D11" s="706"/>
      <c r="E11" s="706"/>
      <c r="F11" s="706"/>
      <c r="G11" s="706"/>
      <c r="H11" s="706"/>
      <c r="I11" s="706"/>
      <c r="J11" s="706"/>
      <c r="K11" s="707"/>
      <c r="L11" s="702">
        <v>266000</v>
      </c>
      <c r="M11" s="703"/>
      <c r="N11" s="703"/>
      <c r="O11" s="357"/>
      <c r="P11" s="357"/>
    </row>
    <row r="12" spans="1:25" ht="18.75">
      <c r="A12" s="699" t="s">
        <v>554</v>
      </c>
      <c r="B12" s="700"/>
      <c r="C12" s="700"/>
      <c r="D12" s="700"/>
      <c r="E12" s="700"/>
      <c r="F12" s="700"/>
      <c r="G12" s="700"/>
      <c r="H12" s="700"/>
      <c r="I12" s="700"/>
      <c r="J12" s="700"/>
      <c r="K12" s="701"/>
      <c r="L12" s="702">
        <v>41000</v>
      </c>
      <c r="M12" s="703"/>
      <c r="N12" s="703"/>
      <c r="O12" s="357"/>
      <c r="P12" s="357"/>
    </row>
    <row r="13" spans="1:25" ht="19.5" thickBot="1">
      <c r="A13" s="704" t="s">
        <v>407</v>
      </c>
      <c r="B13" s="704"/>
      <c r="C13" s="704"/>
      <c r="D13" s="704"/>
      <c r="E13" s="704"/>
      <c r="F13" s="704"/>
      <c r="G13" s="704"/>
      <c r="H13" s="704"/>
      <c r="I13" s="704"/>
      <c r="J13" s="704"/>
      <c r="K13" s="704"/>
      <c r="L13" s="704" t="s">
        <v>406</v>
      </c>
      <c r="M13" s="704"/>
      <c r="N13" s="704"/>
      <c r="O13" s="357"/>
      <c r="P13" s="357"/>
    </row>
    <row r="14" spans="1:25" ht="21" thickBot="1">
      <c r="A14" s="705" t="s">
        <v>410</v>
      </c>
      <c r="B14" s="706"/>
      <c r="C14" s="706"/>
      <c r="D14" s="706"/>
      <c r="E14" s="706"/>
      <c r="F14" s="706"/>
      <c r="G14" s="706"/>
      <c r="H14" s="706"/>
      <c r="I14" s="706"/>
      <c r="J14" s="706"/>
      <c r="K14" s="707"/>
      <c r="L14" s="702">
        <v>284000</v>
      </c>
      <c r="M14" s="703"/>
      <c r="N14" s="703"/>
      <c r="O14" s="357"/>
      <c r="P14" s="357"/>
      <c r="S14" s="714" t="s">
        <v>556</v>
      </c>
      <c r="T14" s="715"/>
      <c r="U14" s="715"/>
      <c r="V14" s="715"/>
      <c r="W14" s="715"/>
      <c r="X14" s="715"/>
      <c r="Y14" s="716"/>
    </row>
    <row r="15" spans="1:25" ht="18.75">
      <c r="A15" s="699" t="s">
        <v>516</v>
      </c>
      <c r="B15" s="700"/>
      <c r="C15" s="700"/>
      <c r="D15" s="700"/>
      <c r="E15" s="700"/>
      <c r="F15" s="700"/>
      <c r="G15" s="700"/>
      <c r="H15" s="700"/>
      <c r="I15" s="700"/>
      <c r="J15" s="700"/>
      <c r="K15" s="701"/>
      <c r="L15" s="702">
        <v>55000</v>
      </c>
      <c r="M15" s="703"/>
      <c r="N15" s="703"/>
      <c r="O15" s="357"/>
      <c r="P15" s="357"/>
    </row>
    <row r="16" spans="1:25" ht="18.75">
      <c r="A16" s="704" t="s">
        <v>408</v>
      </c>
      <c r="B16" s="704"/>
      <c r="C16" s="704"/>
      <c r="D16" s="704"/>
      <c r="E16" s="704"/>
      <c r="F16" s="704"/>
      <c r="G16" s="704"/>
      <c r="H16" s="704"/>
      <c r="I16" s="704"/>
      <c r="J16" s="704"/>
      <c r="K16" s="704"/>
      <c r="L16" s="704" t="s">
        <v>406</v>
      </c>
      <c r="M16" s="704"/>
      <c r="N16" s="704"/>
      <c r="O16" s="357"/>
      <c r="P16" s="357"/>
    </row>
    <row r="17" spans="1:25" ht="18.75">
      <c r="A17" s="705" t="s">
        <v>411</v>
      </c>
      <c r="B17" s="706"/>
      <c r="C17" s="706"/>
      <c r="D17" s="706"/>
      <c r="E17" s="706"/>
      <c r="F17" s="706"/>
      <c r="G17" s="706"/>
      <c r="H17" s="706"/>
      <c r="I17" s="706"/>
      <c r="J17" s="706"/>
      <c r="K17" s="707"/>
      <c r="L17" s="702">
        <v>353890</v>
      </c>
      <c r="M17" s="703"/>
      <c r="N17" s="703"/>
      <c r="O17" s="357"/>
      <c r="P17" s="357"/>
    </row>
    <row r="18" spans="1:25" ht="18.75">
      <c r="A18" s="699" t="s">
        <v>515</v>
      </c>
      <c r="B18" s="700"/>
      <c r="C18" s="700"/>
      <c r="D18" s="700"/>
      <c r="E18" s="700"/>
      <c r="F18" s="700"/>
      <c r="G18" s="700"/>
      <c r="H18" s="700"/>
      <c r="I18" s="700"/>
      <c r="J18" s="700"/>
      <c r="K18" s="701"/>
      <c r="L18" s="702">
        <v>17590</v>
      </c>
      <c r="M18" s="703"/>
      <c r="N18" s="703"/>
      <c r="O18" s="357"/>
      <c r="P18" s="357"/>
    </row>
    <row r="19" spans="1:25" ht="18.75">
      <c r="A19" s="704" t="s">
        <v>409</v>
      </c>
      <c r="B19" s="704"/>
      <c r="C19" s="704"/>
      <c r="D19" s="704"/>
      <c r="E19" s="704"/>
      <c r="F19" s="704"/>
      <c r="G19" s="704"/>
      <c r="H19" s="704"/>
      <c r="I19" s="704"/>
      <c r="J19" s="704"/>
      <c r="K19" s="704"/>
      <c r="L19" s="704" t="s">
        <v>406</v>
      </c>
      <c r="M19" s="704"/>
      <c r="N19" s="704"/>
      <c r="O19" s="357"/>
      <c r="P19" s="357"/>
    </row>
    <row r="20" spans="1:25" ht="18.75">
      <c r="A20" s="705" t="s">
        <v>519</v>
      </c>
      <c r="B20" s="706"/>
      <c r="C20" s="706"/>
      <c r="D20" s="706"/>
      <c r="E20" s="706"/>
      <c r="F20" s="706"/>
      <c r="G20" s="706"/>
      <c r="H20" s="706"/>
      <c r="I20" s="706"/>
      <c r="J20" s="706"/>
      <c r="K20" s="707"/>
      <c r="L20" s="702">
        <v>425570</v>
      </c>
      <c r="M20" s="703"/>
      <c r="N20" s="703"/>
      <c r="O20" s="357"/>
      <c r="P20" s="357"/>
    </row>
    <row r="21" spans="1:25" ht="18.75">
      <c r="A21" s="699" t="s">
        <v>520</v>
      </c>
      <c r="B21" s="700"/>
      <c r="C21" s="700"/>
      <c r="D21" s="700"/>
      <c r="E21" s="700"/>
      <c r="F21" s="700"/>
      <c r="G21" s="700"/>
      <c r="H21" s="700"/>
      <c r="I21" s="700"/>
      <c r="J21" s="700"/>
      <c r="K21" s="701"/>
      <c r="L21" s="702">
        <v>35580</v>
      </c>
      <c r="M21" s="703"/>
      <c r="N21" s="703"/>
      <c r="O21" s="357"/>
      <c r="P21" s="357"/>
    </row>
    <row r="22" spans="1:25" ht="18.75">
      <c r="A22" s="704" t="s">
        <v>517</v>
      </c>
      <c r="B22" s="704"/>
      <c r="C22" s="704"/>
      <c r="D22" s="704"/>
      <c r="E22" s="704"/>
      <c r="F22" s="704"/>
      <c r="G22" s="704"/>
      <c r="H22" s="704"/>
      <c r="I22" s="704"/>
      <c r="J22" s="704"/>
      <c r="K22" s="704"/>
      <c r="L22" s="704" t="s">
        <v>406</v>
      </c>
      <c r="M22" s="704"/>
      <c r="N22" s="704"/>
      <c r="O22" s="357"/>
      <c r="P22" s="357"/>
    </row>
    <row r="23" spans="1:25" ht="33" customHeight="1">
      <c r="A23" s="708" t="s">
        <v>518</v>
      </c>
      <c r="B23" s="709"/>
      <c r="C23" s="709"/>
      <c r="D23" s="709"/>
      <c r="E23" s="709"/>
      <c r="F23" s="709"/>
      <c r="G23" s="709"/>
      <c r="H23" s="709"/>
      <c r="I23" s="709"/>
      <c r="J23" s="709"/>
      <c r="K23" s="710"/>
      <c r="L23" s="711">
        <f>COMPUTATION!O47</f>
        <v>215960</v>
      </c>
      <c r="M23" s="712"/>
      <c r="N23" s="713"/>
      <c r="O23" s="357"/>
      <c r="P23" s="357"/>
      <c r="Q23" s="359"/>
      <c r="R23" s="359"/>
      <c r="S23" s="359"/>
      <c r="T23" s="359"/>
      <c r="U23" s="359"/>
      <c r="V23" s="359"/>
      <c r="W23" s="359"/>
      <c r="X23" s="359"/>
      <c r="Y23" s="359"/>
    </row>
    <row r="24" spans="1:25">
      <c r="A24" s="357"/>
      <c r="B24" s="357"/>
      <c r="C24" s="357"/>
      <c r="D24" s="357"/>
      <c r="E24" s="357"/>
      <c r="F24" s="357"/>
      <c r="G24" s="357"/>
      <c r="H24" s="357"/>
      <c r="I24" s="357"/>
      <c r="J24" s="357"/>
      <c r="K24" s="357"/>
      <c r="L24" s="357"/>
      <c r="M24" s="357"/>
      <c r="N24" s="357"/>
      <c r="O24" s="357"/>
      <c r="P24" s="357"/>
    </row>
    <row r="25" spans="1:25">
      <c r="A25" s="357"/>
      <c r="B25" s="357"/>
      <c r="C25" s="357"/>
      <c r="D25" s="357"/>
      <c r="E25" s="357"/>
      <c r="F25" s="357"/>
      <c r="G25" s="357"/>
      <c r="H25" s="357"/>
      <c r="I25" s="357"/>
      <c r="J25" s="357"/>
      <c r="K25" s="357"/>
      <c r="L25" s="357"/>
      <c r="M25" s="357"/>
      <c r="N25" s="357"/>
      <c r="O25" s="357"/>
      <c r="P25" s="357"/>
    </row>
    <row r="26" spans="1:25">
      <c r="A26" s="357"/>
      <c r="B26" s="357"/>
      <c r="C26" s="357"/>
      <c r="D26" s="357"/>
      <c r="E26" s="357"/>
      <c r="F26" s="357"/>
      <c r="G26" s="357"/>
      <c r="H26" s="357"/>
      <c r="I26" s="357"/>
      <c r="J26" s="357"/>
      <c r="K26" s="357"/>
      <c r="L26" s="357"/>
      <c r="M26" s="357"/>
      <c r="N26" s="357"/>
      <c r="O26" s="357"/>
      <c r="P26" s="357"/>
    </row>
    <row r="27" spans="1:25">
      <c r="A27" s="357"/>
      <c r="B27" s="357"/>
      <c r="C27" s="357"/>
      <c r="D27" s="357"/>
      <c r="E27" s="357"/>
      <c r="F27" s="357"/>
      <c r="G27" s="357"/>
      <c r="H27" s="357"/>
      <c r="I27" s="357"/>
      <c r="J27" s="357"/>
      <c r="K27" s="357"/>
      <c r="L27" s="357"/>
      <c r="M27" s="357"/>
      <c r="N27" s="357"/>
      <c r="O27" s="357"/>
      <c r="P27" s="357"/>
    </row>
    <row r="28" spans="1:25">
      <c r="A28" s="357"/>
      <c r="B28" s="357"/>
      <c r="C28" s="357"/>
      <c r="D28" s="357"/>
      <c r="E28" s="357"/>
      <c r="F28" s="357"/>
      <c r="G28" s="357"/>
      <c r="H28" s="357"/>
      <c r="I28" s="357"/>
      <c r="J28" s="357"/>
      <c r="K28" s="357"/>
      <c r="L28" s="357"/>
      <c r="M28" s="357"/>
      <c r="N28" s="357"/>
      <c r="O28" s="357"/>
      <c r="P28" s="357"/>
    </row>
    <row r="29" spans="1:25">
      <c r="A29" s="357"/>
      <c r="B29" s="357"/>
      <c r="C29" s="357"/>
      <c r="D29" s="357"/>
      <c r="E29" s="357"/>
      <c r="F29" s="357"/>
      <c r="G29" s="357"/>
      <c r="H29" s="357"/>
      <c r="I29" s="357"/>
      <c r="J29" s="357"/>
      <c r="K29" s="357"/>
      <c r="L29" s="357"/>
      <c r="M29" s="357"/>
      <c r="N29" s="357"/>
      <c r="O29" s="357"/>
      <c r="P29" s="357"/>
    </row>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44">
    <mergeCell ref="A9:K9"/>
    <mergeCell ref="L9:N9"/>
    <mergeCell ref="A10:K10"/>
    <mergeCell ref="L10:N10"/>
    <mergeCell ref="S14:Y14"/>
    <mergeCell ref="A13:K13"/>
    <mergeCell ref="L13:N13"/>
    <mergeCell ref="A14:K14"/>
    <mergeCell ref="L14:N14"/>
    <mergeCell ref="A22:K22"/>
    <mergeCell ref="L22:N22"/>
    <mergeCell ref="A23:K23"/>
    <mergeCell ref="L23:N23"/>
    <mergeCell ref="A19:K19"/>
    <mergeCell ref="L19:N19"/>
    <mergeCell ref="A20:K20"/>
    <mergeCell ref="L20:N20"/>
    <mergeCell ref="A21:K21"/>
    <mergeCell ref="L21:N21"/>
    <mergeCell ref="A18:K18"/>
    <mergeCell ref="L18:N18"/>
    <mergeCell ref="A7:K7"/>
    <mergeCell ref="L7:N7"/>
    <mergeCell ref="A11:K11"/>
    <mergeCell ref="L11:N11"/>
    <mergeCell ref="A12:K12"/>
    <mergeCell ref="L12:N12"/>
    <mergeCell ref="A15:K15"/>
    <mergeCell ref="L15:N15"/>
    <mergeCell ref="A16:K16"/>
    <mergeCell ref="L16:N16"/>
    <mergeCell ref="A17:K17"/>
    <mergeCell ref="L17:N17"/>
    <mergeCell ref="A8:K8"/>
    <mergeCell ref="L8:N8"/>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F38"/>
  <sheetViews>
    <sheetView topLeftCell="A12" workbookViewId="0">
      <selection activeCell="I33" sqref="I33:J33"/>
    </sheetView>
  </sheetViews>
  <sheetFormatPr defaultColWidth="8.85546875" defaultRowHeight="15"/>
  <cols>
    <col min="1" max="1" width="6" style="161" customWidth="1"/>
    <col min="2" max="2" width="5.85546875" style="161" customWidth="1"/>
    <col min="3" max="6" width="6.7109375" style="161" customWidth="1"/>
    <col min="7" max="7" width="7.42578125" style="161" customWidth="1"/>
    <col min="8" max="8" width="8.28515625" style="161" customWidth="1"/>
    <col min="9" max="10" width="6.7109375" style="161" customWidth="1"/>
    <col min="11" max="12" width="6.42578125" style="161" customWidth="1"/>
    <col min="13" max="13" width="6.28515625" style="161" customWidth="1"/>
    <col min="14" max="14" width="6.140625" style="161" customWidth="1"/>
    <col min="15" max="24" width="8.85546875" style="161"/>
    <col min="25" max="25" width="9.140625" style="161" customWidth="1"/>
    <col min="26" max="32" width="8.85546875" style="161" hidden="1" customWidth="1"/>
    <col min="33" max="33" width="8.85546875" style="161" customWidth="1"/>
    <col min="34" max="16384" width="8.85546875" style="161"/>
  </cols>
  <sheetData>
    <row r="1" spans="1:14" ht="18.75" customHeight="1">
      <c r="A1" s="721" t="s">
        <v>412</v>
      </c>
      <c r="B1" s="721"/>
      <c r="C1" s="721"/>
      <c r="D1" s="721"/>
      <c r="E1" s="721"/>
      <c r="F1" s="721"/>
      <c r="G1" s="721"/>
      <c r="H1" s="721"/>
      <c r="I1" s="721"/>
      <c r="J1" s="721"/>
      <c r="K1" s="721"/>
      <c r="L1" s="721"/>
      <c r="M1" s="721"/>
      <c r="N1" s="721"/>
    </row>
    <row r="2" spans="1:14" ht="42" customHeight="1">
      <c r="A2" s="722" t="s">
        <v>413</v>
      </c>
      <c r="B2" s="722"/>
      <c r="C2" s="722"/>
      <c r="D2" s="722"/>
      <c r="E2" s="722"/>
      <c r="F2" s="722"/>
      <c r="G2" s="722"/>
      <c r="H2" s="722"/>
      <c r="I2" s="722"/>
      <c r="J2" s="722"/>
      <c r="K2" s="722"/>
      <c r="L2" s="722"/>
      <c r="M2" s="722"/>
      <c r="N2" s="722"/>
    </row>
    <row r="3" spans="1:14" ht="15.75">
      <c r="A3" s="723" t="s">
        <v>402</v>
      </c>
      <c r="B3" s="723"/>
      <c r="C3" s="724" t="str">
        <f>UPPER(IF('89 (1) Form'!C3="","",'89 (1) Form'!C3))</f>
        <v>ANITA CHOUDHARY</v>
      </c>
      <c r="D3" s="724"/>
      <c r="E3" s="724"/>
      <c r="F3" s="724"/>
      <c r="G3" s="724"/>
      <c r="H3" s="724"/>
      <c r="I3" s="724"/>
      <c r="J3" s="724"/>
      <c r="K3" s="724"/>
      <c r="L3" s="724"/>
      <c r="M3" s="724"/>
      <c r="N3" s="724"/>
    </row>
    <row r="4" spans="1:14" ht="15.75">
      <c r="A4" s="723" t="s">
        <v>403</v>
      </c>
      <c r="B4" s="723"/>
      <c r="C4" s="724" t="str">
        <f>UPPER(IF('89 (1) Form'!C4="","",'89 (1) Form'!C4))</f>
        <v/>
      </c>
      <c r="D4" s="724"/>
      <c r="E4" s="724"/>
      <c r="F4" s="724"/>
      <c r="G4" s="724"/>
      <c r="H4" s="724"/>
      <c r="I4" s="724"/>
      <c r="J4" s="724"/>
      <c r="K4" s="724"/>
      <c r="L4" s="724"/>
      <c r="M4" s="724"/>
      <c r="N4" s="724"/>
    </row>
    <row r="5" spans="1:14" ht="17.25" customHeight="1">
      <c r="A5" s="723" t="s">
        <v>159</v>
      </c>
      <c r="B5" s="723"/>
      <c r="C5" s="724" t="str">
        <f>UPPER(IF('89 (1) Form'!C5="","",'89 (1) Form'!C5))</f>
        <v>BNUPC2108M</v>
      </c>
      <c r="D5" s="724"/>
      <c r="E5" s="724"/>
      <c r="F5" s="724"/>
      <c r="G5" s="724"/>
      <c r="H5" s="725" t="s">
        <v>404</v>
      </c>
      <c r="I5" s="725"/>
      <c r="J5" s="724" t="str">
        <f>UPPER(IF('89 (1) Form'!J5="","",'89 (1) Form'!J5))</f>
        <v xml:space="preserve">INDIAN RESIDENT </v>
      </c>
      <c r="K5" s="724"/>
      <c r="L5" s="724"/>
      <c r="M5" s="724"/>
      <c r="N5" s="724"/>
    </row>
    <row r="6" spans="1:14" ht="28.5" customHeight="1">
      <c r="A6" s="726" t="s">
        <v>414</v>
      </c>
      <c r="B6" s="726"/>
      <c r="C6" s="726"/>
      <c r="D6" s="726"/>
      <c r="E6" s="726"/>
      <c r="F6" s="726"/>
      <c r="G6" s="726"/>
      <c r="H6" s="726"/>
      <c r="I6" s="726"/>
      <c r="J6" s="726"/>
      <c r="K6" s="726"/>
      <c r="L6" s="726"/>
      <c r="M6" s="726"/>
      <c r="N6" s="726"/>
    </row>
    <row r="7" spans="1:14" ht="29.25" customHeight="1">
      <c r="A7" s="717" t="s">
        <v>555</v>
      </c>
      <c r="B7" s="717"/>
      <c r="C7" s="717"/>
      <c r="D7" s="717"/>
      <c r="E7" s="717"/>
      <c r="F7" s="717"/>
      <c r="G7" s="717"/>
      <c r="H7" s="717"/>
      <c r="I7" s="717"/>
      <c r="J7" s="717"/>
      <c r="K7" s="717"/>
      <c r="L7" s="718">
        <f>'89 (1) Form'!L9+'89 (1) Form'!L12+'89 (1) Form'!L15+'89 (1) Form'!L18+'89 (1) Form'!L21</f>
        <v>186170</v>
      </c>
      <c r="M7" s="719"/>
      <c r="N7" s="720"/>
    </row>
    <row r="8" spans="1:14" ht="29.25" customHeight="1">
      <c r="A8" s="717" t="s">
        <v>415</v>
      </c>
      <c r="B8" s="717"/>
      <c r="C8" s="717"/>
      <c r="D8" s="717"/>
      <c r="E8" s="717"/>
      <c r="F8" s="717"/>
      <c r="G8" s="717"/>
      <c r="H8" s="717"/>
      <c r="I8" s="717"/>
      <c r="J8" s="717"/>
      <c r="K8" s="717"/>
      <c r="L8" s="728" t="s">
        <v>416</v>
      </c>
      <c r="M8" s="729"/>
      <c r="N8" s="730"/>
    </row>
    <row r="9" spans="1:14" ht="40.5" customHeight="1">
      <c r="A9" s="717" t="s">
        <v>417</v>
      </c>
      <c r="B9" s="717"/>
      <c r="C9" s="717"/>
      <c r="D9" s="717"/>
      <c r="E9" s="717"/>
      <c r="F9" s="717"/>
      <c r="G9" s="717"/>
      <c r="H9" s="717"/>
      <c r="I9" s="717"/>
      <c r="J9" s="717"/>
      <c r="K9" s="717"/>
      <c r="L9" s="728" t="s">
        <v>416</v>
      </c>
      <c r="M9" s="729"/>
      <c r="N9" s="730"/>
    </row>
    <row r="10" spans="1:14" ht="27.75" customHeight="1">
      <c r="A10" s="717" t="s">
        <v>418</v>
      </c>
      <c r="B10" s="717"/>
      <c r="C10" s="717"/>
      <c r="D10" s="717"/>
      <c r="E10" s="717"/>
      <c r="F10" s="717"/>
      <c r="G10" s="717"/>
      <c r="H10" s="717"/>
      <c r="I10" s="717"/>
      <c r="J10" s="717"/>
      <c r="K10" s="717"/>
      <c r="L10" s="728" t="s">
        <v>416</v>
      </c>
      <c r="M10" s="729"/>
      <c r="N10" s="730"/>
    </row>
    <row r="11" spans="1:14" ht="27.75" customHeight="1">
      <c r="A11" s="717" t="s">
        <v>419</v>
      </c>
      <c r="B11" s="717"/>
      <c r="C11" s="717"/>
      <c r="D11" s="717"/>
      <c r="E11" s="717"/>
      <c r="F11" s="717"/>
      <c r="G11" s="717"/>
      <c r="H11" s="717"/>
      <c r="I11" s="717"/>
      <c r="J11" s="717"/>
      <c r="K11" s="717"/>
      <c r="L11" s="728" t="s">
        <v>420</v>
      </c>
      <c r="M11" s="729"/>
      <c r="N11" s="730"/>
    </row>
    <row r="12" spans="1:14" ht="18" customHeight="1">
      <c r="A12" s="731" t="s">
        <v>421</v>
      </c>
      <c r="B12" s="731"/>
      <c r="C12" s="731"/>
      <c r="D12" s="731"/>
      <c r="E12" s="731"/>
      <c r="F12" s="731"/>
      <c r="G12" s="731"/>
      <c r="H12" s="731"/>
      <c r="I12" s="731"/>
      <c r="J12" s="731"/>
      <c r="K12" s="731"/>
      <c r="L12" s="731"/>
      <c r="M12" s="731"/>
      <c r="N12" s="731"/>
    </row>
    <row r="13" spans="1:14">
      <c r="A13" s="360" t="s">
        <v>422</v>
      </c>
      <c r="B13" s="732" t="str">
        <f>UPPER(IF('89 (1) Form'!C3="","",'89 (1) Form'!C3))</f>
        <v>ANITA CHOUDHARY</v>
      </c>
      <c r="C13" s="732"/>
      <c r="D13" s="732"/>
      <c r="E13" s="732"/>
      <c r="F13" s="727" t="s">
        <v>423</v>
      </c>
      <c r="G13" s="727"/>
      <c r="H13" s="727"/>
      <c r="I13" s="727"/>
      <c r="J13" s="727"/>
      <c r="K13" s="727"/>
      <c r="L13" s="727"/>
      <c r="M13" s="727"/>
      <c r="N13" s="727"/>
    </row>
    <row r="14" spans="1:14">
      <c r="A14" s="727" t="s">
        <v>424</v>
      </c>
      <c r="B14" s="727"/>
      <c r="C14" s="727"/>
      <c r="D14" s="727"/>
    </row>
    <row r="15" spans="1:14">
      <c r="A15" s="736" t="s">
        <v>425</v>
      </c>
      <c r="B15" s="736"/>
      <c r="C15" s="736"/>
      <c r="D15" s="737">
        <f ca="1">TODAY()</f>
        <v>43457</v>
      </c>
      <c r="E15" s="738"/>
    </row>
    <row r="16" spans="1:14">
      <c r="A16" s="161" t="s">
        <v>426</v>
      </c>
      <c r="B16" s="739"/>
      <c r="C16" s="739"/>
    </row>
    <row r="17" spans="1:29">
      <c r="A17" s="161" t="s">
        <v>427</v>
      </c>
      <c r="B17" s="740"/>
      <c r="C17" s="741"/>
      <c r="K17" s="742" t="s">
        <v>428</v>
      </c>
      <c r="L17" s="742"/>
      <c r="M17" s="742"/>
      <c r="N17" s="742"/>
    </row>
    <row r="18" spans="1:29" ht="8.25" customHeight="1"/>
    <row r="19" spans="1:29" ht="15.75">
      <c r="A19" s="743" t="s">
        <v>429</v>
      </c>
      <c r="B19" s="743"/>
      <c r="C19" s="743"/>
      <c r="D19" s="743"/>
      <c r="E19" s="743"/>
      <c r="F19" s="743"/>
      <c r="G19" s="743"/>
      <c r="H19" s="743"/>
      <c r="I19" s="743"/>
      <c r="J19" s="743"/>
      <c r="K19" s="743"/>
      <c r="L19" s="743"/>
      <c r="M19" s="743"/>
      <c r="N19" s="743"/>
      <c r="Z19" s="161">
        <f>ROUND(IF(L23&lt;=250000,0,IF(L23&gt;=500000,12500,IF(L23&lt;=500000,0+(L23-250000)*0.05))),0)</f>
        <v>0</v>
      </c>
      <c r="AC19" s="161">
        <f>ROUND(Z19*3%,0)</f>
        <v>0</v>
      </c>
    </row>
    <row r="20" spans="1:29">
      <c r="A20" s="361"/>
      <c r="B20" s="361"/>
      <c r="C20" s="361"/>
      <c r="D20" s="361"/>
      <c r="E20" s="744" t="s">
        <v>430</v>
      </c>
      <c r="F20" s="744"/>
      <c r="G20" s="744"/>
      <c r="H20" s="744"/>
      <c r="I20" s="744"/>
      <c r="J20" s="744"/>
      <c r="K20" s="361"/>
      <c r="L20" s="361"/>
      <c r="M20" s="361"/>
      <c r="N20" s="361"/>
    </row>
    <row r="21" spans="1:29" ht="18.95" customHeight="1">
      <c r="A21" s="745" t="s">
        <v>431</v>
      </c>
      <c r="B21" s="745"/>
      <c r="C21" s="745"/>
      <c r="D21" s="745"/>
      <c r="E21" s="745"/>
      <c r="F21" s="745"/>
      <c r="G21" s="745"/>
      <c r="H21" s="745"/>
      <c r="I21" s="745"/>
      <c r="J21" s="745"/>
      <c r="K21" s="745"/>
      <c r="L21" s="734">
        <f>L23-L22</f>
        <v>29790</v>
      </c>
      <c r="M21" s="734"/>
      <c r="N21" s="734"/>
      <c r="Z21" s="161">
        <f>ROUND(IF(L23&lt;=500000,0,IF(L23&gt;=1000000,100000,IF(L23&lt;=1000000,(L23-500000)*0.2,"0"))),0)</f>
        <v>0</v>
      </c>
      <c r="AC21" s="161">
        <f>ROUND(Z21*3%,0)</f>
        <v>0</v>
      </c>
    </row>
    <row r="22" spans="1:29" ht="18.95" customHeight="1">
      <c r="A22" s="745" t="s">
        <v>432</v>
      </c>
      <c r="B22" s="745"/>
      <c r="C22" s="745"/>
      <c r="D22" s="745"/>
      <c r="E22" s="745"/>
      <c r="F22" s="745"/>
      <c r="G22" s="745"/>
      <c r="H22" s="745"/>
      <c r="I22" s="745"/>
      <c r="J22" s="745"/>
      <c r="K22" s="745"/>
      <c r="L22" s="746">
        <f>L7</f>
        <v>186170</v>
      </c>
      <c r="M22" s="746"/>
      <c r="N22" s="746"/>
      <c r="Z22" s="161">
        <f>ROUND(IF(L23&gt;1000000,(L23-1000000)*0.3,"0"),0)</f>
        <v>0</v>
      </c>
      <c r="AC22" s="161">
        <f>ROUND(Z22*3%,0)</f>
        <v>0</v>
      </c>
    </row>
    <row r="23" spans="1:29" ht="18.95" customHeight="1">
      <c r="A23" s="733" t="s">
        <v>433</v>
      </c>
      <c r="B23" s="733"/>
      <c r="C23" s="733"/>
      <c r="D23" s="733"/>
      <c r="E23" s="733"/>
      <c r="F23" s="733"/>
      <c r="G23" s="733"/>
      <c r="H23" s="733"/>
      <c r="I23" s="733"/>
      <c r="J23" s="733"/>
      <c r="K23" s="733"/>
      <c r="L23" s="734">
        <f>'89 (1) Form'!L23</f>
        <v>215960</v>
      </c>
      <c r="M23" s="735"/>
      <c r="N23" s="735"/>
      <c r="Z23" s="161">
        <f>ROUND(IF(L23&lt;=250000,0,IF(L23&lt;=500000,(L23-250000)*0.05,IF(L23&lt;=1000000,12500+(L23-500000)*0.2,IF(L23&gt;1000000,112500+(L23-1000000)*0.3,"0")))),0)</f>
        <v>0</v>
      </c>
      <c r="AA23" s="161">
        <f>ROUND(IF(AND(L23&lt;=350000,L23&gt;=275000),Z23-2500,Z23),0)</f>
        <v>0</v>
      </c>
      <c r="AB23" s="161">
        <f>ROUND(IF(AND(AA23&lt;=0),0,AA23),0)</f>
        <v>0</v>
      </c>
      <c r="AC23" s="161">
        <f>ROUND(AB23*4%,0)</f>
        <v>0</v>
      </c>
    </row>
    <row r="24" spans="1:29" ht="18.95" customHeight="1">
      <c r="A24" s="745" t="s">
        <v>434</v>
      </c>
      <c r="B24" s="745"/>
      <c r="C24" s="745"/>
      <c r="D24" s="745"/>
      <c r="E24" s="745"/>
      <c r="F24" s="745"/>
      <c r="G24" s="745"/>
      <c r="H24" s="745"/>
      <c r="I24" s="745"/>
      <c r="J24" s="745"/>
      <c r="K24" s="745"/>
      <c r="L24" s="750">
        <f>AB23+AC23</f>
        <v>0</v>
      </c>
      <c r="M24" s="750"/>
      <c r="N24" s="750"/>
      <c r="Z24" s="161">
        <f>ROUND(IF(L21&lt;=250000,0,IF(L21&lt;=500000,(L21-250000)*0.05,IF(L21&lt;=1000000,12500+(L21-500000)*0.2,IF(L21&gt;1000000,112500+(L21-1000000)*0.3,"0")))),0)</f>
        <v>0</v>
      </c>
      <c r="AA24" s="161">
        <f>ROUND(IF(AND(L21&lt;=350000,L21&gt;=275000),Z24-2500,Z24),0)</f>
        <v>0</v>
      </c>
      <c r="AB24" s="161">
        <f>ROUND(IF(AND(AA24&lt;=0),0,AA24),0)</f>
        <v>0</v>
      </c>
      <c r="AC24" s="161">
        <f>ROUND(AB24*4%,0)</f>
        <v>0</v>
      </c>
    </row>
    <row r="25" spans="1:29" ht="18.95" customHeight="1">
      <c r="A25" s="745" t="s">
        <v>435</v>
      </c>
      <c r="B25" s="745"/>
      <c r="C25" s="745"/>
      <c r="D25" s="745"/>
      <c r="E25" s="745"/>
      <c r="F25" s="745"/>
      <c r="G25" s="745"/>
      <c r="H25" s="745"/>
      <c r="I25" s="745"/>
      <c r="J25" s="745"/>
      <c r="K25" s="745"/>
      <c r="L25" s="735">
        <f>AB24+AC24</f>
        <v>0</v>
      </c>
      <c r="M25" s="735"/>
      <c r="N25" s="735"/>
    </row>
    <row r="26" spans="1:29" ht="18.95" customHeight="1">
      <c r="A26" s="745" t="s">
        <v>436</v>
      </c>
      <c r="B26" s="745"/>
      <c r="C26" s="745"/>
      <c r="D26" s="745"/>
      <c r="E26" s="745"/>
      <c r="F26" s="745"/>
      <c r="G26" s="745"/>
      <c r="H26" s="745"/>
      <c r="I26" s="745"/>
      <c r="J26" s="745"/>
      <c r="K26" s="745"/>
      <c r="L26" s="735">
        <f>L24-L25</f>
        <v>0</v>
      </c>
      <c r="M26" s="735"/>
      <c r="N26" s="735"/>
    </row>
    <row r="27" spans="1:29" ht="18.95" customHeight="1">
      <c r="A27" s="745" t="s">
        <v>437</v>
      </c>
      <c r="B27" s="745"/>
      <c r="C27" s="745"/>
      <c r="D27" s="745"/>
      <c r="E27" s="745"/>
      <c r="F27" s="745"/>
      <c r="G27" s="745"/>
      <c r="H27" s="745"/>
      <c r="I27" s="745"/>
      <c r="J27" s="745"/>
      <c r="K27" s="745"/>
      <c r="L27" s="747">
        <f>M38</f>
        <v>13120</v>
      </c>
      <c r="M27" s="747"/>
      <c r="N27" s="747"/>
    </row>
    <row r="28" spans="1:29" ht="25.5" customHeight="1">
      <c r="A28" s="733" t="s">
        <v>438</v>
      </c>
      <c r="B28" s="733"/>
      <c r="C28" s="733"/>
      <c r="D28" s="733"/>
      <c r="E28" s="733"/>
      <c r="F28" s="733"/>
      <c r="G28" s="733"/>
      <c r="H28" s="733"/>
      <c r="I28" s="733"/>
      <c r="J28" s="733"/>
      <c r="K28" s="733"/>
      <c r="L28" s="748">
        <f>L26-L27</f>
        <v>-13120</v>
      </c>
      <c r="M28" s="748"/>
      <c r="N28" s="748"/>
    </row>
    <row r="29" spans="1:29" ht="6.75" customHeight="1"/>
    <row r="30" spans="1:29">
      <c r="A30" s="749" t="s">
        <v>439</v>
      </c>
      <c r="B30" s="749"/>
      <c r="C30" s="749"/>
      <c r="D30" s="749"/>
      <c r="E30" s="749"/>
      <c r="F30" s="749"/>
      <c r="G30" s="749"/>
      <c r="H30" s="749"/>
      <c r="I30" s="749"/>
      <c r="J30" s="749"/>
      <c r="K30" s="749"/>
      <c r="L30" s="749"/>
      <c r="M30" s="749"/>
      <c r="N30" s="749"/>
    </row>
    <row r="31" spans="1:29" s="362" customFormat="1" ht="108.75" customHeight="1">
      <c r="A31" s="751" t="s">
        <v>440</v>
      </c>
      <c r="B31" s="751"/>
      <c r="C31" s="751" t="s">
        <v>441</v>
      </c>
      <c r="D31" s="751"/>
      <c r="E31" s="751" t="s">
        <v>442</v>
      </c>
      <c r="F31" s="751"/>
      <c r="G31" s="751" t="s">
        <v>443</v>
      </c>
      <c r="H31" s="751"/>
      <c r="I31" s="751" t="s">
        <v>444</v>
      </c>
      <c r="J31" s="751"/>
      <c r="K31" s="751" t="s">
        <v>445</v>
      </c>
      <c r="L31" s="751"/>
      <c r="M31" s="751" t="s">
        <v>446</v>
      </c>
      <c r="N31" s="751"/>
    </row>
    <row r="32" spans="1:29">
      <c r="A32" s="725">
        <v>1</v>
      </c>
      <c r="B32" s="725"/>
      <c r="C32" s="725">
        <v>2</v>
      </c>
      <c r="D32" s="725"/>
      <c r="E32" s="725">
        <v>3</v>
      </c>
      <c r="F32" s="725"/>
      <c r="G32" s="725">
        <v>4</v>
      </c>
      <c r="H32" s="725"/>
      <c r="I32" s="725">
        <v>5</v>
      </c>
      <c r="J32" s="725"/>
      <c r="K32" s="725">
        <v>6</v>
      </c>
      <c r="L32" s="725"/>
      <c r="M32" s="725">
        <v>7</v>
      </c>
      <c r="N32" s="725"/>
    </row>
    <row r="33" spans="1:31" s="156" customFormat="1" ht="18.95" customHeight="1">
      <c r="A33" s="752" t="s">
        <v>565</v>
      </c>
      <c r="B33" s="752"/>
      <c r="C33" s="753">
        <f>ROUND('89 (1) Form'!L8,-1)</f>
        <v>211000</v>
      </c>
      <c r="D33" s="749"/>
      <c r="E33" s="753">
        <f>ROUND('89 (1) Form'!L9,-1)</f>
        <v>37000</v>
      </c>
      <c r="F33" s="749"/>
      <c r="G33" s="753">
        <f>C33+E33</f>
        <v>248000</v>
      </c>
      <c r="H33" s="749"/>
      <c r="I33" s="754"/>
      <c r="J33" s="754"/>
      <c r="K33" s="754">
        <f>AC33+AE33</f>
        <v>0</v>
      </c>
      <c r="L33" s="754"/>
      <c r="M33" s="749">
        <f>K33-I33</f>
        <v>0</v>
      </c>
      <c r="N33" s="749"/>
      <c r="Z33" s="156">
        <f>ROUND(IF(C33&lt;=250000,0,IF(C33&lt;=500000,(C33-250000)*0.1,IF(C33&lt;=1000000,25000+(C33-500000)*0.2,IF(C33&gt;1000000,125000+(C33-1000000)*0.3,"0")))),0)</f>
        <v>0</v>
      </c>
      <c r="AC33" s="156">
        <f>ROUND(IF(G33&lt;=250000,0,IF(G33&lt;=500000,(G33-250000)*0.1,IF(G33&lt;=1000000,25000+(G33-500000)*0.2,IF(G33&gt;1000000,125000+(G33-1000000)*0.3,"0")))),0)</f>
        <v>0</v>
      </c>
      <c r="AD33" s="156">
        <f>ROUND(Z33*3%,0)</f>
        <v>0</v>
      </c>
      <c r="AE33" s="156">
        <f t="shared" ref="AE33" si="0">ROUND(AC33*3%,0)</f>
        <v>0</v>
      </c>
    </row>
    <row r="34" spans="1:31" s="156" customFormat="1" ht="18.95" customHeight="1">
      <c r="A34" s="752" t="s">
        <v>447</v>
      </c>
      <c r="B34" s="752"/>
      <c r="C34" s="753">
        <f>ROUND('89 (1) Form'!L11,-1)</f>
        <v>266000</v>
      </c>
      <c r="D34" s="749"/>
      <c r="E34" s="753">
        <f>ROUND('89 (1) Form'!L12,-1)</f>
        <v>41000</v>
      </c>
      <c r="F34" s="749"/>
      <c r="G34" s="753">
        <f>C34+E34</f>
        <v>307000</v>
      </c>
      <c r="H34" s="749"/>
      <c r="I34" s="754">
        <f>Z34+AD34</f>
        <v>0</v>
      </c>
      <c r="J34" s="754"/>
      <c r="K34" s="754">
        <f>AC34+AE34</f>
        <v>3811</v>
      </c>
      <c r="L34" s="754"/>
      <c r="M34" s="749">
        <f>K34-I34</f>
        <v>3811</v>
      </c>
      <c r="N34" s="749"/>
      <c r="Z34" s="156">
        <f>ROUND(IF(C34&lt;=270000,0,IF(C34&lt;=500000,(C34-270000)*0.1,IF(C34&lt;=1000000,23000+(C34-500000)*0.2,IF(C34&gt;1000000,123000+(C34-1000000)*0.3,"0")))),0)</f>
        <v>0</v>
      </c>
      <c r="AC34" s="156">
        <f>ROUND(IF(G34&lt;=270000,0,IF(G34&lt;=500000,(G34-270000)*0.1,IF(G34&lt;=1000000,23000+(G34-500000)*0.2,IF(G34&gt;1000000,123000+(G34-1000000)*0.3,"0")))),0)</f>
        <v>3700</v>
      </c>
      <c r="AD34" s="156">
        <f>ROUND(Z34*3%,0)</f>
        <v>0</v>
      </c>
      <c r="AE34" s="156">
        <f t="shared" ref="AE34" si="1">ROUND(AC34*3%,0)</f>
        <v>111</v>
      </c>
    </row>
    <row r="35" spans="1:31" s="156" customFormat="1" ht="18.95" customHeight="1">
      <c r="A35" s="752" t="s">
        <v>448</v>
      </c>
      <c r="B35" s="752"/>
      <c r="C35" s="753">
        <f>ROUND('89 (1) Form'!L14,-1)</f>
        <v>284000</v>
      </c>
      <c r="D35" s="749"/>
      <c r="E35" s="753">
        <f>ROUND('89 (1) Form'!L15,-1)</f>
        <v>55000</v>
      </c>
      <c r="F35" s="749"/>
      <c r="G35" s="753">
        <f t="shared" ref="G35:G36" si="2">C35+E35</f>
        <v>339000</v>
      </c>
      <c r="H35" s="749"/>
      <c r="I35" s="754">
        <f>Z35+AD35</f>
        <v>1442</v>
      </c>
      <c r="J35" s="754"/>
      <c r="K35" s="754">
        <f>AC35+AE35</f>
        <v>7107</v>
      </c>
      <c r="L35" s="754"/>
      <c r="M35" s="749">
        <f t="shared" ref="M35:M36" si="3">K35-I35</f>
        <v>5665</v>
      </c>
      <c r="N35" s="749"/>
      <c r="Z35" s="156">
        <f>ROUND(IF(C35&lt;=270000,0,IF(C35&lt;=500000,(C35-270000)*0.1,IF(C35&lt;=1000000,23000+(C35-500000)*0.2,IF(C35&gt;1000000,123000+(C35-1000000)*0.3,"0")))),0)</f>
        <v>1400</v>
      </c>
      <c r="AC35" s="156">
        <f>ROUND(IF(G35&lt;=270000,0,IF(G35&lt;=500000,(G35-270000)*0.1,IF(G35&lt;=1000000,23000+(G35-500000)*0.2,IF(G35&gt;1000000,123000+(G35-1000000)*0.3,"0")))),0)</f>
        <v>6900</v>
      </c>
      <c r="AD35" s="156">
        <f>ROUND(Z35*3%,0)</f>
        <v>42</v>
      </c>
      <c r="AE35" s="156">
        <f>ROUND(AC35*3%,0)</f>
        <v>207</v>
      </c>
    </row>
    <row r="36" spans="1:31" s="156" customFormat="1" ht="18.95" customHeight="1">
      <c r="A36" s="752" t="s">
        <v>449</v>
      </c>
      <c r="B36" s="752"/>
      <c r="C36" s="753">
        <f>ROUND('89 (1) Form'!L17,-1)</f>
        <v>353890</v>
      </c>
      <c r="D36" s="749"/>
      <c r="E36" s="753">
        <f>ROUND('89 (1) Form'!L18,-1)</f>
        <v>17590</v>
      </c>
      <c r="F36" s="753"/>
      <c r="G36" s="753">
        <f t="shared" si="2"/>
        <v>371480</v>
      </c>
      <c r="H36" s="749"/>
      <c r="I36" s="749">
        <f>Z36+AD36</f>
        <v>5551</v>
      </c>
      <c r="J36" s="749"/>
      <c r="K36" s="749">
        <f>AB36+AE36</f>
        <v>7362</v>
      </c>
      <c r="L36" s="749"/>
      <c r="M36" s="749">
        <f t="shared" si="3"/>
        <v>1811</v>
      </c>
      <c r="N36" s="749"/>
      <c r="Z36" s="156">
        <f>ROUND(IF(C36&lt;=300000,0,IF(C36&lt;=500000,(C36-300000)*0.1,IF(C36&lt;=1000000,20000+(C36-500000)*0.2,IF(C36&gt;1000000,120000+(C36-1000000)*0.3,"0")))),0)</f>
        <v>5389</v>
      </c>
      <c r="AA36" s="161"/>
      <c r="AB36" s="156">
        <f>ROUND(IF(G36&lt;=300000,0,IF(G36&lt;=500000,(G36-300000)*0.1,IF(G36&lt;=1000000,20000+(G36-500000)*0.2,IF(G36&gt;1000000,120000+(G36-1000000)*0.3,"0")))),0)</f>
        <v>7148</v>
      </c>
      <c r="AC36" s="161"/>
      <c r="AD36" s="156">
        <f>ROUND(Z36*3%,0)</f>
        <v>162</v>
      </c>
      <c r="AE36" s="156">
        <f>ROUND(AB36*3%,0)</f>
        <v>214</v>
      </c>
    </row>
    <row r="37" spans="1:31" s="156" customFormat="1" ht="18.95" customHeight="1">
      <c r="A37" s="752" t="s">
        <v>557</v>
      </c>
      <c r="B37" s="752"/>
      <c r="C37" s="753">
        <f>ROUND('89 (1) Form'!L20,-1)</f>
        <v>425570</v>
      </c>
      <c r="D37" s="749"/>
      <c r="E37" s="753">
        <f>ROUND('89 (1) Form'!L21,-1)</f>
        <v>35580</v>
      </c>
      <c r="F37" s="753"/>
      <c r="G37" s="753">
        <f t="shared" ref="G37" si="4">C37+E37</f>
        <v>461150</v>
      </c>
      <c r="H37" s="749"/>
      <c r="I37" s="749">
        <f>AA37+AD37</f>
        <v>9042</v>
      </c>
      <c r="J37" s="749"/>
      <c r="K37" s="749">
        <f>AC37+AE37</f>
        <v>10875</v>
      </c>
      <c r="L37" s="749"/>
      <c r="M37" s="749">
        <f>K37-I37</f>
        <v>1833</v>
      </c>
      <c r="N37" s="749"/>
      <c r="Z37" s="161">
        <f>ROUND(IF(C37&lt;=250000,0,IF(C37&lt;=500000,(C37-250000)*0.05,IF(C37&lt;=1000000,12500+(C37-500000)*0.2,IF(C37&gt;1000000,112500+(C37-1000000)*0.3,"0")))),0)</f>
        <v>8779</v>
      </c>
      <c r="AA37" s="161">
        <f>ROUND(IF(AND(C37&lt;=350000,C37&gt;=275000),Z37-2500,Z37),0)</f>
        <v>8779</v>
      </c>
      <c r="AB37" s="161">
        <f>ROUND(IF(G37&lt;=250000,0,IF(G37&lt;=500000,(G37-250000)*0.05,IF(G37&lt;=1000000,12500+(G37-500000)*0.2,IF(G37&gt;1000000,112500+(G37-1000000)*0.3,"0")))),0)</f>
        <v>10558</v>
      </c>
      <c r="AC37" s="161">
        <f>ROUND(IF(AND(G37&lt;=350000,G37&gt;=275000),AB37-2500,AB37),0)</f>
        <v>10558</v>
      </c>
      <c r="AD37" s="156">
        <f>ROUND(AA37*3%,0)</f>
        <v>263</v>
      </c>
      <c r="AE37" s="156">
        <f>ROUND(AC37*3%,0)</f>
        <v>317</v>
      </c>
    </row>
    <row r="38" spans="1:31" ht="21" customHeight="1">
      <c r="A38" s="755" t="s">
        <v>5</v>
      </c>
      <c r="B38" s="756"/>
      <c r="C38" s="757"/>
      <c r="D38" s="758"/>
      <c r="E38" s="757"/>
      <c r="F38" s="758"/>
      <c r="G38" s="757"/>
      <c r="H38" s="758"/>
      <c r="I38" s="757"/>
      <c r="J38" s="758"/>
      <c r="K38" s="757"/>
      <c r="L38" s="758"/>
      <c r="M38" s="759">
        <f>SUM(M33:N37)</f>
        <v>13120</v>
      </c>
      <c r="N38" s="760"/>
    </row>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105">
    <mergeCell ref="A38:B38"/>
    <mergeCell ref="C38:D38"/>
    <mergeCell ref="E38:F38"/>
    <mergeCell ref="G38:H38"/>
    <mergeCell ref="I38:J38"/>
    <mergeCell ref="K38:L38"/>
    <mergeCell ref="M38:N38"/>
    <mergeCell ref="A36:B36"/>
    <mergeCell ref="C36:D36"/>
    <mergeCell ref="E36:F36"/>
    <mergeCell ref="G36:H36"/>
    <mergeCell ref="I36:J36"/>
    <mergeCell ref="K36:L36"/>
    <mergeCell ref="A37:B37"/>
    <mergeCell ref="C37:D37"/>
    <mergeCell ref="E37:F37"/>
    <mergeCell ref="G37:H37"/>
    <mergeCell ref="I37:J37"/>
    <mergeCell ref="K37:L37"/>
    <mergeCell ref="M37:N37"/>
    <mergeCell ref="M36:N36"/>
    <mergeCell ref="M33:N33"/>
    <mergeCell ref="A35:B35"/>
    <mergeCell ref="C35:D35"/>
    <mergeCell ref="E35:F35"/>
    <mergeCell ref="G35:H35"/>
    <mergeCell ref="I35:J35"/>
    <mergeCell ref="K35:L35"/>
    <mergeCell ref="M35:N35"/>
    <mergeCell ref="A33:B33"/>
    <mergeCell ref="C33:D33"/>
    <mergeCell ref="E33:F33"/>
    <mergeCell ref="G33:H33"/>
    <mergeCell ref="I33:J33"/>
    <mergeCell ref="K33:L33"/>
    <mergeCell ref="A34:B34"/>
    <mergeCell ref="C34:D34"/>
    <mergeCell ref="E34:F34"/>
    <mergeCell ref="G34:H34"/>
    <mergeCell ref="I34:J34"/>
    <mergeCell ref="K34:L34"/>
    <mergeCell ref="M34:N34"/>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2018-12-23T14:31:22Z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