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8" windowWidth="14052" windowHeight="7620" activeTab="3"/>
  </bookViews>
  <sheets>
    <sheet name="USE" sheetId="4" r:id="rId1"/>
    <sheet name="BASIC" sheetId="1" r:id="rId2"/>
    <sheet name="SALERY" sheetId="2" r:id="rId3"/>
    <sheet name="SLIP" sheetId="3" r:id="rId4"/>
  </sheets>
  <externalReferences>
    <externalReference r:id="rId5"/>
  </externalReferences>
  <definedNames>
    <definedName name="picture" localSheetId="3">INDEX(Table2[PHOTO],MATCH(SLIP!$D$9,Table2[EMPLOYEE ID],0))</definedName>
    <definedName name="_xlnm.Print_Area" localSheetId="3">SLIP!$A$1:$E$44</definedName>
  </definedNames>
  <calcPr calcId="144525"/>
</workbook>
</file>

<file path=xl/calcChain.xml><?xml version="1.0" encoding="utf-8"?>
<calcChain xmlns="http://schemas.openxmlformats.org/spreadsheetml/2006/main">
  <c r="B5" i="2" l="1"/>
  <c r="C20" i="2"/>
  <c r="E5" i="2"/>
  <c r="A2" i="3" l="1"/>
  <c r="A1" i="2"/>
  <c r="D14" i="3" l="1"/>
  <c r="D13" i="3"/>
  <c r="D12" i="3"/>
  <c r="D11" i="3"/>
  <c r="D15" i="3"/>
  <c r="D10" i="3"/>
  <c r="D7" i="3"/>
  <c r="D6" i="3"/>
  <c r="A6" i="3"/>
  <c r="AA6" i="2"/>
  <c r="AA7" i="2" s="1"/>
  <c r="AA8" i="2" s="1"/>
  <c r="AA9" i="2" s="1"/>
  <c r="AA10" i="2" s="1"/>
  <c r="AA11" i="2" s="1"/>
  <c r="AA12" i="2" s="1"/>
  <c r="AA13" i="2" s="1"/>
  <c r="AA14" i="2" s="1"/>
  <c r="AA15" i="2" s="1"/>
  <c r="AA16" i="2" s="1"/>
  <c r="AA17" i="2" s="1"/>
  <c r="AA18" i="2" s="1"/>
  <c r="AA19" i="2" s="1"/>
  <c r="AA20" i="2" s="1"/>
  <c r="AA21" i="2" s="1"/>
  <c r="AA22" i="2" s="1"/>
  <c r="AA23" i="2" s="1"/>
  <c r="AA24" i="2" s="1"/>
  <c r="AA25" i="2" s="1"/>
  <c r="AA26" i="2" s="1"/>
  <c r="AA27" i="2" s="1"/>
  <c r="AA28" i="2" s="1"/>
  <c r="AA29" i="2" s="1"/>
  <c r="AA30" i="2" s="1"/>
  <c r="AA31" i="2" s="1"/>
  <c r="AA32" i="2" s="1"/>
  <c r="Z6" i="2"/>
  <c r="Z7" i="2" s="1"/>
  <c r="Z8" i="2" s="1"/>
  <c r="Z9" i="2" s="1"/>
  <c r="Z10" i="2" s="1"/>
  <c r="Z11" i="2" s="1"/>
  <c r="Z12" i="2" s="1"/>
  <c r="Z13" i="2" s="1"/>
  <c r="Z14" i="2" s="1"/>
  <c r="Z15" i="2" s="1"/>
  <c r="Z16" i="2" s="1"/>
  <c r="Z17" i="2" s="1"/>
  <c r="Z18" i="2" s="1"/>
  <c r="Z19" i="2" s="1"/>
  <c r="Z20" i="2" s="1"/>
  <c r="Z21" i="2" s="1"/>
  <c r="Z22" i="2" s="1"/>
  <c r="Z23" i="2" s="1"/>
  <c r="Z24" i="2" s="1"/>
  <c r="H35" i="2"/>
  <c r="I35" i="2"/>
  <c r="J35" i="2"/>
  <c r="K35" i="2"/>
  <c r="M35" i="2"/>
  <c r="N35" i="2"/>
  <c r="P35" i="2"/>
  <c r="Q35" i="2"/>
  <c r="R35" i="2"/>
  <c r="S35" i="2"/>
  <c r="T35" i="2"/>
  <c r="U35" i="2"/>
  <c r="V35" i="2"/>
  <c r="W35" i="2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6" i="2"/>
  <c r="E7" i="2"/>
  <c r="E8" i="2"/>
  <c r="E9" i="2"/>
  <c r="E10" i="2"/>
  <c r="E11" i="2"/>
  <c r="E12" i="2"/>
  <c r="D5" i="2"/>
  <c r="O5" i="2" s="1"/>
  <c r="X5" i="2" s="1"/>
  <c r="D6" i="2"/>
  <c r="O6" i="2" s="1"/>
  <c r="X6" i="2" s="1"/>
  <c r="D7" i="2"/>
  <c r="O7" i="2" s="1"/>
  <c r="X7" i="2" s="1"/>
  <c r="D8" i="2"/>
  <c r="O8" i="2" s="1"/>
  <c r="X8" i="2" s="1"/>
  <c r="D9" i="2"/>
  <c r="O9" i="2" s="1"/>
  <c r="X9" i="2" s="1"/>
  <c r="D10" i="2"/>
  <c r="D11" i="2"/>
  <c r="D12" i="2"/>
  <c r="D13" i="2"/>
  <c r="D14" i="2"/>
  <c r="D15" i="2"/>
  <c r="O15" i="2" s="1"/>
  <c r="X15" i="2" s="1"/>
  <c r="D16" i="2"/>
  <c r="D17" i="2"/>
  <c r="O17" i="2" s="1"/>
  <c r="X17" i="2" s="1"/>
  <c r="D18" i="2"/>
  <c r="D19" i="2"/>
  <c r="D20" i="2"/>
  <c r="D21" i="2"/>
  <c r="D22" i="2"/>
  <c r="D23" i="2"/>
  <c r="O23" i="2" s="1"/>
  <c r="X23" i="2" s="1"/>
  <c r="D24" i="2"/>
  <c r="O24" i="2" s="1"/>
  <c r="X24" i="2" s="1"/>
  <c r="D25" i="2"/>
  <c r="O25" i="2" s="1"/>
  <c r="X25" i="2" s="1"/>
  <c r="D26" i="2"/>
  <c r="O26" i="2" s="1"/>
  <c r="X26" i="2" s="1"/>
  <c r="D27" i="2"/>
  <c r="O27" i="2" s="1"/>
  <c r="X27" i="2" s="1"/>
  <c r="D28" i="2"/>
  <c r="O28" i="2" s="1"/>
  <c r="X28" i="2" s="1"/>
  <c r="D29" i="2"/>
  <c r="O29" i="2" s="1"/>
  <c r="X29" i="2" s="1"/>
  <c r="D30" i="2"/>
  <c r="O30" i="2" s="1"/>
  <c r="X30" i="2" s="1"/>
  <c r="D31" i="2"/>
  <c r="O31" i="2" s="1"/>
  <c r="X31" i="2" s="1"/>
  <c r="D32" i="2"/>
  <c r="O32" i="2" s="1"/>
  <c r="X32" i="2" s="1"/>
  <c r="D33" i="2"/>
  <c r="O33" i="2" s="1"/>
  <c r="X33" i="2" s="1"/>
  <c r="D34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O34" i="2" l="1"/>
  <c r="X34" i="2" s="1"/>
  <c r="D29" i="3"/>
  <c r="AA33" i="2"/>
  <c r="AA34" i="2" s="1"/>
  <c r="C43" i="3"/>
  <c r="Z25" i="2"/>
  <c r="Z26" i="2" s="1"/>
  <c r="Z27" i="2" s="1"/>
  <c r="Z28" i="2" s="1"/>
  <c r="Z29" i="2" s="1"/>
  <c r="Z30" i="2" s="1"/>
  <c r="Z31" i="2" s="1"/>
  <c r="Z32" i="2" s="1"/>
  <c r="Z33" i="2" s="1"/>
  <c r="Z34" i="2" s="1"/>
  <c r="D18" i="3"/>
  <c r="D32" i="3"/>
  <c r="D28" i="3"/>
  <c r="D36" i="3"/>
  <c r="D34" i="3"/>
  <c r="D38" i="3"/>
  <c r="D31" i="3"/>
  <c r="D33" i="3"/>
  <c r="D35" i="3"/>
  <c r="D37" i="3"/>
  <c r="D22" i="3"/>
  <c r="D24" i="3"/>
  <c r="D21" i="3"/>
  <c r="D23" i="3"/>
  <c r="G14" i="2"/>
  <c r="L14" i="2" s="1"/>
  <c r="G26" i="2"/>
  <c r="L26" i="2" s="1"/>
  <c r="Y26" i="2" s="1"/>
  <c r="E35" i="2"/>
  <c r="G34" i="2"/>
  <c r="L34" i="2" s="1"/>
  <c r="Y34" i="2" s="1"/>
  <c r="G20" i="2"/>
  <c r="L20" i="2" s="1"/>
  <c r="G30" i="2"/>
  <c r="L30" i="2" s="1"/>
  <c r="Y30" i="2" s="1"/>
  <c r="G22" i="2"/>
  <c r="L22" i="2" s="1"/>
  <c r="G18" i="2"/>
  <c r="L18" i="2" s="1"/>
  <c r="G32" i="2"/>
  <c r="L32" i="2" s="1"/>
  <c r="Y32" i="2" s="1"/>
  <c r="G31" i="2"/>
  <c r="L31" i="2" s="1"/>
  <c r="Y31" i="2" s="1"/>
  <c r="G28" i="2"/>
  <c r="L28" i="2" s="1"/>
  <c r="Y28" i="2" s="1"/>
  <c r="G27" i="2"/>
  <c r="L27" i="2" s="1"/>
  <c r="Y27" i="2" s="1"/>
  <c r="G24" i="2"/>
  <c r="L24" i="2" s="1"/>
  <c r="Y24" i="2" s="1"/>
  <c r="G23" i="2"/>
  <c r="L23" i="2" s="1"/>
  <c r="Y23" i="2" s="1"/>
  <c r="G21" i="2"/>
  <c r="L21" i="2" s="1"/>
  <c r="G19" i="2"/>
  <c r="L19" i="2" s="1"/>
  <c r="G16" i="2"/>
  <c r="L16" i="2" s="1"/>
  <c r="G15" i="2"/>
  <c r="G13" i="2"/>
  <c r="O16" i="2"/>
  <c r="X16" i="2" s="1"/>
  <c r="O22" i="2"/>
  <c r="X22" i="2" s="1"/>
  <c r="O20" i="2"/>
  <c r="X20" i="2" s="1"/>
  <c r="O18" i="2"/>
  <c r="X18" i="2" s="1"/>
  <c r="O14" i="2"/>
  <c r="X14" i="2" s="1"/>
  <c r="G33" i="2"/>
  <c r="L33" i="2" s="1"/>
  <c r="Y33" i="2" s="1"/>
  <c r="G29" i="2"/>
  <c r="G25" i="2"/>
  <c r="L25" i="2" s="1"/>
  <c r="Y25" i="2" s="1"/>
  <c r="O21" i="2"/>
  <c r="X21" i="2" s="1"/>
  <c r="O19" i="2"/>
  <c r="X19" i="2" s="1"/>
  <c r="G17" i="2"/>
  <c r="L17" i="2" s="1"/>
  <c r="Y17" i="2" s="1"/>
  <c r="O13" i="2"/>
  <c r="X13" i="2" s="1"/>
  <c r="L29" i="2"/>
  <c r="Y29" i="2" s="1"/>
  <c r="L13" i="2"/>
  <c r="F11" i="2"/>
  <c r="O11" i="2" s="1"/>
  <c r="X11" i="2" s="1"/>
  <c r="F9" i="2"/>
  <c r="F7" i="2"/>
  <c r="F5" i="2"/>
  <c r="D19" i="3" s="1"/>
  <c r="G11" i="2"/>
  <c r="G9" i="2"/>
  <c r="G7" i="2"/>
  <c r="G5" i="2"/>
  <c r="F12" i="2"/>
  <c r="O12" i="2" s="1"/>
  <c r="X12" i="2" s="1"/>
  <c r="F10" i="2"/>
  <c r="F8" i="2"/>
  <c r="F6" i="2"/>
  <c r="G12" i="2"/>
  <c r="G10" i="2"/>
  <c r="G8" i="2"/>
  <c r="G6" i="2"/>
  <c r="C42" i="3" l="1"/>
  <c r="Y13" i="2"/>
  <c r="D20" i="3"/>
  <c r="D25" i="3" s="1"/>
  <c r="D30" i="3"/>
  <c r="D39" i="3" s="1"/>
  <c r="F35" i="2"/>
  <c r="Y14" i="2"/>
  <c r="L15" i="2"/>
  <c r="G35" i="2"/>
  <c r="Y18" i="2"/>
  <c r="Y21" i="2"/>
  <c r="Y16" i="2"/>
  <c r="Y20" i="2"/>
  <c r="Y19" i="2"/>
  <c r="Y22" i="2"/>
  <c r="L8" i="2"/>
  <c r="Y8" i="2" s="1"/>
  <c r="L7" i="2"/>
  <c r="Y7" i="2" s="1"/>
  <c r="L6" i="2"/>
  <c r="Y6" i="2" s="1"/>
  <c r="L10" i="2"/>
  <c r="L5" i="2"/>
  <c r="L9" i="2"/>
  <c r="Y9" i="2" s="1"/>
  <c r="L12" i="2"/>
  <c r="Y12" i="2" s="1"/>
  <c r="O10" i="2"/>
  <c r="O35" i="2" s="1"/>
  <c r="L11" i="2"/>
  <c r="Y11" i="2" s="1"/>
  <c r="D40" i="3" l="1"/>
  <c r="Y15" i="2"/>
  <c r="L35" i="2"/>
  <c r="X10" i="2"/>
  <c r="X35" i="2" s="1"/>
  <c r="Y5" i="2"/>
  <c r="C41" i="3"/>
  <c r="Y10" i="2" l="1"/>
  <c r="Y35" i="2" s="1"/>
</calcChain>
</file>

<file path=xl/sharedStrings.xml><?xml version="1.0" encoding="utf-8"?>
<sst xmlns="http://schemas.openxmlformats.org/spreadsheetml/2006/main" count="298" uniqueCount="213">
  <si>
    <t>OFFICE OF MHB GOVT.SENIOR SECONDARY SCHOOL PATODI (BARMER)13891</t>
  </si>
  <si>
    <t>EMPLOYEE BASIC DATA</t>
  </si>
  <si>
    <t>SN</t>
  </si>
  <si>
    <t>EMPLOYEE ID</t>
  </si>
  <si>
    <t>GROUP</t>
  </si>
  <si>
    <t>EMPLOYEE NAME</t>
  </si>
  <si>
    <t>DATE OF BIRTH</t>
  </si>
  <si>
    <t>POST</t>
  </si>
  <si>
    <t>PAN NO</t>
  </si>
  <si>
    <t>BANK AC NO</t>
  </si>
  <si>
    <t>GPF NO</t>
  </si>
  <si>
    <t>SI NO</t>
  </si>
  <si>
    <t>CPF/PRAN NO</t>
  </si>
  <si>
    <t>BASIC PAY</t>
  </si>
  <si>
    <t>PHOTO</t>
  </si>
  <si>
    <t>RJDA200113000734</t>
  </si>
  <si>
    <t>NP27</t>
  </si>
  <si>
    <t>MAHESH KUMAR BAIRWA</t>
  </si>
  <si>
    <t>LECTURER</t>
  </si>
  <si>
    <t>AIAPB6096K</t>
  </si>
  <si>
    <t>RJBM198605002403</t>
  </si>
  <si>
    <t>NARNA RAM</t>
  </si>
  <si>
    <t>AAKPC9949E</t>
  </si>
  <si>
    <t>RJJO200325003135</t>
  </si>
  <si>
    <t>VIKASH VAISHNAV</t>
  </si>
  <si>
    <t>ADQPV3826J</t>
  </si>
  <si>
    <t>RJBM198105009670</t>
  </si>
  <si>
    <t>BANSHILAL KUMHAR</t>
  </si>
  <si>
    <t>PEON</t>
  </si>
  <si>
    <t>AHWPL2075R</t>
  </si>
  <si>
    <t>RJBM199205012943</t>
  </si>
  <si>
    <t>MADAN LAL JOSHI</t>
  </si>
  <si>
    <t>BPQPJ3241C</t>
  </si>
  <si>
    <t>RJBM201305010932</t>
  </si>
  <si>
    <t>DHIRENDRA SINGH CHANDAWAT</t>
  </si>
  <si>
    <t>PTI G-2</t>
  </si>
  <si>
    <t>ASHPC2723R</t>
  </si>
  <si>
    <t>RJBM200805015049</t>
  </si>
  <si>
    <t>KISHANA RAM</t>
  </si>
  <si>
    <t>TEACHER L-2</t>
  </si>
  <si>
    <t>ASQPR6361P</t>
  </si>
  <si>
    <t>RJBM201205051994</t>
  </si>
  <si>
    <t>MUKESH KUMAR MEENA</t>
  </si>
  <si>
    <t>BYMPM3859E</t>
  </si>
  <si>
    <t>RJBM200505023019</t>
  </si>
  <si>
    <t>MADAN LAL JINGER</t>
  </si>
  <si>
    <t>TEACHER L-1</t>
  </si>
  <si>
    <t>AHSPJ4035F</t>
  </si>
  <si>
    <t>RJBM201205034190</t>
  </si>
  <si>
    <t>PANKAJ KUMARI</t>
  </si>
  <si>
    <t>DVZPK4646B</t>
  </si>
  <si>
    <t>RJBM198605010753</t>
  </si>
  <si>
    <t>RMSA</t>
  </si>
  <si>
    <t>SHYAM SUNDER KHARWAL</t>
  </si>
  <si>
    <t>SR.TEACER</t>
  </si>
  <si>
    <t>AFEPK1531K</t>
  </si>
  <si>
    <t>RJBM200505019635</t>
  </si>
  <si>
    <t>SANJAYVEER SINGH</t>
  </si>
  <si>
    <t>BGYPS4985F</t>
  </si>
  <si>
    <t>RJBM198905000677</t>
  </si>
  <si>
    <t>SHANKAR LAL SONI</t>
  </si>
  <si>
    <t>AMLPS6461Q</t>
  </si>
  <si>
    <t>RJBM200805015011</t>
  </si>
  <si>
    <t>PLAN</t>
  </si>
  <si>
    <t>REKHA RATHORE</t>
  </si>
  <si>
    <t>AXLPD8239L</t>
  </si>
  <si>
    <t>RJJL201221006049</t>
  </si>
  <si>
    <t>DINESH KUMAR</t>
  </si>
  <si>
    <t>BFQPK8255R</t>
  </si>
  <si>
    <t>RJBM201705010397</t>
  </si>
  <si>
    <t>AVERINDER PAL JEET SINGH</t>
  </si>
  <si>
    <t>HQGPS3106E</t>
  </si>
  <si>
    <t>RJNA201828007733</t>
  </si>
  <si>
    <t>789P</t>
  </si>
  <si>
    <t>SATYA PRAKASH SANKHLA</t>
  </si>
  <si>
    <t>BFOPS9781J</t>
  </si>
  <si>
    <t>RJBM201205004101</t>
  </si>
  <si>
    <t>PEEO</t>
  </si>
  <si>
    <t>INDIRA</t>
  </si>
  <si>
    <t>ACZPI2424H</t>
  </si>
  <si>
    <t>RJJP0000000001</t>
  </si>
  <si>
    <t>RADHEYSHYAM BAIRWA</t>
  </si>
  <si>
    <t>SECERATRY</t>
  </si>
  <si>
    <t>XXXX0000L</t>
  </si>
  <si>
    <t>RJBL120514523652</t>
  </si>
  <si>
    <t>RAM SINGH MEENA</t>
  </si>
  <si>
    <t>MXZLL21546P</t>
  </si>
  <si>
    <t>TYPE</t>
  </si>
  <si>
    <t>GPF</t>
  </si>
  <si>
    <t>NPS</t>
  </si>
  <si>
    <t>EMPLOYEE SALERY CALCULATION</t>
  </si>
  <si>
    <t>MONTH</t>
  </si>
  <si>
    <t>DA@12%</t>
  </si>
  <si>
    <t>HRA@8%</t>
  </si>
  <si>
    <t>TOTAL</t>
  </si>
  <si>
    <t>GPF LOAN</t>
  </si>
  <si>
    <t>SI</t>
  </si>
  <si>
    <t>SI LOAN</t>
  </si>
  <si>
    <t>RPMF</t>
  </si>
  <si>
    <t>LIC</t>
  </si>
  <si>
    <t>I.TAX</t>
  </si>
  <si>
    <t>DEDUCATION</t>
  </si>
  <si>
    <t>NET PAY</t>
  </si>
  <si>
    <t>WASHING ALLOW.</t>
  </si>
  <si>
    <t>HANDICAP ALLOW.</t>
  </si>
  <si>
    <t>SPECIAL PAY</t>
  </si>
  <si>
    <t>OTHERS</t>
  </si>
  <si>
    <t>Allowances</t>
  </si>
  <si>
    <t>GPA</t>
  </si>
  <si>
    <t>HOUSING LOAN</t>
  </si>
  <si>
    <t>Deductions</t>
  </si>
  <si>
    <t>BILL NO/DATE</t>
  </si>
  <si>
    <t>TV NO/DATE</t>
  </si>
  <si>
    <t>H.L.INTEREST</t>
  </si>
  <si>
    <t>EMPLOYEE BASICS</t>
  </si>
  <si>
    <t>Government Of Rajasthan</t>
  </si>
  <si>
    <t>Pay Certificate</t>
  </si>
  <si>
    <t xml:space="preserve">This is to certify that emoluments drawn by Mr./Mrs./Miss </t>
  </si>
  <si>
    <t>for the month of</t>
  </si>
  <si>
    <t>Allowances (Amount in Rs.)</t>
  </si>
  <si>
    <t>S.No.:</t>
  </si>
  <si>
    <t xml:space="preserve"> Allowance Name </t>
  </si>
  <si>
    <t>Allowance Amount</t>
  </si>
  <si>
    <t>Basic Pay</t>
  </si>
  <si>
    <t xml:space="preserve"> Dearness Allowances</t>
  </si>
  <si>
    <t xml:space="preserve">HRA </t>
  </si>
  <si>
    <t>Others</t>
  </si>
  <si>
    <t>Gross Amount :</t>
  </si>
  <si>
    <t>Deductions (Amount in Rs.)</t>
  </si>
  <si>
    <t xml:space="preserve">S.No.:  </t>
  </si>
  <si>
    <t>Deduction Name</t>
  </si>
  <si>
    <t>Deduction Amount</t>
  </si>
  <si>
    <t>GPF Contribution</t>
  </si>
  <si>
    <t xml:space="preserve">GPF Loan </t>
  </si>
  <si>
    <t>NPS/cpf</t>
  </si>
  <si>
    <t xml:space="preserve">SI Premium </t>
  </si>
  <si>
    <t xml:space="preserve">SI Loan </t>
  </si>
  <si>
    <t xml:space="preserve"> RPMF </t>
  </si>
  <si>
    <t xml:space="preserve"> LIC </t>
  </si>
  <si>
    <t xml:space="preserve">Group Insurance </t>
  </si>
  <si>
    <t>Income tax</t>
  </si>
  <si>
    <t xml:space="preserve">Total Deduction : </t>
  </si>
  <si>
    <t xml:space="preserve">Net Amount : </t>
  </si>
  <si>
    <t>DDO Signature with Seal</t>
  </si>
  <si>
    <t>Employee Basic Details</t>
  </si>
  <si>
    <t>Employee I.D.No.</t>
  </si>
  <si>
    <t>Date of Birth</t>
  </si>
  <si>
    <t>Pan No.</t>
  </si>
  <si>
    <t>Bank Ac No.</t>
  </si>
  <si>
    <t>GPF No.</t>
  </si>
  <si>
    <t>SI No.</t>
  </si>
  <si>
    <t>NPS/Pran No.</t>
  </si>
  <si>
    <t>Washing Allowances</t>
  </si>
  <si>
    <t>Handicap Allowances</t>
  </si>
  <si>
    <t>Special Allowances</t>
  </si>
  <si>
    <t>Housing Loan</t>
  </si>
  <si>
    <t>Housing Loan Interest</t>
  </si>
  <si>
    <t>Bill No./Date</t>
  </si>
  <si>
    <t>Tv No./Date</t>
  </si>
  <si>
    <t>in words</t>
  </si>
  <si>
    <t>RJBL120514523653</t>
  </si>
  <si>
    <t>RJBL120514523745</t>
  </si>
  <si>
    <t>RJBL120514524123</t>
  </si>
  <si>
    <t>RJBL12051451592</t>
  </si>
  <si>
    <t>RJBL120514523963</t>
  </si>
  <si>
    <t>RJBL12051452123</t>
  </si>
  <si>
    <t>RJBL120514523458</t>
  </si>
  <si>
    <t>RJBL120514523789</t>
  </si>
  <si>
    <t>RJBL120514523741</t>
  </si>
  <si>
    <t>12/07-06-19</t>
  </si>
  <si>
    <t>05/09-06-19</t>
  </si>
  <si>
    <t>HOW CAN WE USE THIS EXCEL PROGRAMME</t>
  </si>
  <si>
    <r>
      <t xml:space="preserve">bl </t>
    </r>
    <r>
      <rPr>
        <sz val="11"/>
        <color theme="1"/>
        <rFont val="Harlow Solid Italic"/>
        <family val="5"/>
      </rPr>
      <t>excel programme</t>
    </r>
    <r>
      <rPr>
        <sz val="11"/>
        <color theme="1"/>
        <rFont val="Kruti Dev 010"/>
      </rPr>
      <t xml:space="preserve"> dk mn~ns'; </t>
    </r>
    <r>
      <rPr>
        <sz val="11"/>
        <color theme="1"/>
        <rFont val="Harlow Solid Italic"/>
        <family val="5"/>
      </rPr>
      <t xml:space="preserve">paymanger </t>
    </r>
    <r>
      <rPr>
        <sz val="11"/>
        <color theme="1"/>
        <rFont val="Kruti Dev 010"/>
      </rPr>
      <t>ij osru fcy rS;kj djus ls iwoZ rS;kjh djuk gSA</t>
    </r>
  </si>
  <si>
    <r>
      <t xml:space="preserve"> muds osru lEcU/kh MkVk ¼HkRrs@dVkSrh ½ vkfn dh tkap gsrq </t>
    </r>
    <r>
      <rPr>
        <sz val="10"/>
        <color theme="1"/>
        <rFont val="Harlow Solid Italic"/>
        <family val="5"/>
      </rPr>
      <t xml:space="preserve"> salery sheet</t>
    </r>
    <r>
      <rPr>
        <sz val="10"/>
        <color theme="1"/>
        <rFont val="Kruti Dev 010"/>
      </rPr>
      <t xml:space="preserve"> dk fizUV ysdj muds gLrk{kj djokuk gSA </t>
    </r>
  </si>
  <si>
    <r>
      <t xml:space="preserve">bl izksxzke esa 30 dkWfeZdksa dk osru MkVk fy;k tk ldrk gSA </t>
    </r>
    <r>
      <rPr>
        <sz val="11"/>
        <color theme="1"/>
        <rFont val="Harlow Solid Italic"/>
        <family val="5"/>
      </rPr>
      <t>entry</t>
    </r>
    <r>
      <rPr>
        <sz val="11"/>
        <color theme="1"/>
        <rFont val="Kruti Dev 010"/>
      </rPr>
      <t xml:space="preserve"> dsoy </t>
    </r>
    <r>
      <rPr>
        <sz val="11"/>
        <color theme="1"/>
        <rFont val="Harlow Solid Italic"/>
        <family val="5"/>
      </rPr>
      <t xml:space="preserve">basic sheet </t>
    </r>
    <r>
      <rPr>
        <sz val="11"/>
        <color theme="1"/>
        <rFont val="Kruti Dev 010"/>
      </rPr>
      <t>ij gh dh tkosxhA</t>
    </r>
  </si>
  <si>
    <r>
      <t xml:space="preserve">fo|ky; @vkWfQl dk uke </t>
    </r>
    <r>
      <rPr>
        <sz val="11"/>
        <color theme="1"/>
        <rFont val="Harlow Solid Italic"/>
        <family val="5"/>
      </rPr>
      <t>Basic sheet</t>
    </r>
    <r>
      <rPr>
        <sz val="11"/>
        <color theme="1"/>
        <rFont val="Kruti Dev 010"/>
      </rPr>
      <t xml:space="preserve"> dh </t>
    </r>
    <r>
      <rPr>
        <sz val="11"/>
        <color theme="1"/>
        <rFont val="Harlow Solid Italic"/>
        <family val="5"/>
      </rPr>
      <t>Top Row</t>
    </r>
    <r>
      <rPr>
        <sz val="11"/>
        <color theme="1"/>
        <rFont val="Kruti Dev 010"/>
      </rPr>
      <t xml:space="preserve"> esa djsaA vU; 'khV ij vius vki ifjofrZr gks tkosxkA</t>
    </r>
  </si>
  <si>
    <r>
      <rPr>
        <sz val="11"/>
        <color theme="1"/>
        <rFont val="Harlow Solid Italic"/>
        <family val="5"/>
      </rPr>
      <t>salery sheet</t>
    </r>
    <r>
      <rPr>
        <sz val="11"/>
        <color theme="1"/>
        <rFont val="Kruti Dev 010"/>
      </rPr>
      <t xml:space="preserve"> esa dsoy vfrfjDr HkRrksa ,oa dVkSfr;ksa dk bUnzkt gh djuk gSA</t>
    </r>
    <r>
      <rPr>
        <sz val="11"/>
        <color theme="1"/>
        <rFont val="Harrington"/>
        <family val="5"/>
      </rPr>
      <t xml:space="preserve"> da/hra/NPS</t>
    </r>
    <r>
      <rPr>
        <sz val="11"/>
        <color theme="1"/>
        <rFont val="Kruti Dev 010"/>
      </rPr>
      <t xml:space="preserve"> dVkSfr;k¡ </t>
    </r>
  </si>
  <si>
    <t xml:space="preserve">dk bUnzkt QkeZwyk ls Lor% gh gks tkosxk A ;ksx vkfn Hkh Lor% gh gksxkA </t>
  </si>
  <si>
    <r>
      <t>blds</t>
    </r>
    <r>
      <rPr>
        <sz val="11"/>
        <color theme="1"/>
        <rFont val="Harlow Solid Italic"/>
        <family val="5"/>
      </rPr>
      <t xml:space="preserve"> basic sheet</t>
    </r>
    <r>
      <rPr>
        <sz val="11"/>
        <color theme="1"/>
        <rFont val="Kruti Dev 010"/>
      </rPr>
      <t xml:space="preserve"> ij ,d ckj vkids vkWfQl ds lHkh dkWfeZdksa ds MkVk QhM dj ysosA lHkh dkWfeZdksa dks</t>
    </r>
  </si>
  <si>
    <t xml:space="preserve">vkids vkWfQl@fo|ky; ds dkWfeZdksa dks xqzi ds vk/kkj ij lksVZ dj ldrs gSA </t>
  </si>
  <si>
    <t>mlds ckn vkWu ykbZu osru fcy cukus esa lqfo/kk gksxhA blls vki dkWfeZd dks QksVks ;qDr osru izek.k i= Hkh tkjh dj ldrs gSA</t>
  </si>
  <si>
    <r>
      <t>bl izksxzke dh</t>
    </r>
    <r>
      <rPr>
        <sz val="11"/>
        <color theme="1"/>
        <rFont val="Harlow Solid Italic"/>
        <family val="5"/>
      </rPr>
      <t xml:space="preserve"> salery sheet</t>
    </r>
    <r>
      <rPr>
        <sz val="11"/>
        <color theme="1"/>
        <rFont val="Kruti Dev 010"/>
      </rPr>
      <t xml:space="preserve"> ds </t>
    </r>
    <r>
      <rPr>
        <sz val="11"/>
        <color theme="1"/>
        <rFont val="Harlow Solid Italic"/>
        <family val="5"/>
      </rPr>
      <t>group cell</t>
    </r>
    <r>
      <rPr>
        <sz val="11"/>
        <color theme="1"/>
        <rFont val="Kruti Dev 010"/>
      </rPr>
      <t xml:space="preserve"> lasa vki vkids vkfQl ds lHkh xzqi ds dkWfeZdksa dks fQYVj dj ldrs gSA</t>
    </r>
  </si>
  <si>
    <t xml:space="preserve">vkSj muds fcy dk ;ksx bR;kfn ns[k ldrs ]vyx vyx xzqiokj fizUV ys ldrs gSA </t>
  </si>
  <si>
    <r>
      <t>osru fcy ds ekg dh ,sUVªh</t>
    </r>
    <r>
      <rPr>
        <sz val="11"/>
        <color theme="1"/>
        <rFont val="Harlow Solid Italic"/>
        <family val="5"/>
      </rPr>
      <t xml:space="preserve"> salery sheet</t>
    </r>
    <r>
      <rPr>
        <sz val="11"/>
        <color theme="1"/>
        <rFont val="Kruti Dev 010"/>
      </rPr>
      <t xml:space="preserve"> dh dkWye la[;k </t>
    </r>
    <r>
      <rPr>
        <sz val="11"/>
        <color theme="1"/>
        <rFont val="Harlow Solid Italic"/>
        <family val="5"/>
      </rPr>
      <t>AA</t>
    </r>
    <r>
      <rPr>
        <sz val="11"/>
        <color theme="1"/>
        <rFont val="Kruti Dev 010"/>
      </rPr>
      <t xml:space="preserve"> o lsy u-</t>
    </r>
    <r>
      <rPr>
        <sz val="11"/>
        <color theme="1"/>
        <rFont val="Harlow Solid Italic"/>
        <family val="5"/>
      </rPr>
      <t xml:space="preserve"> AA3</t>
    </r>
    <r>
      <rPr>
        <sz val="11"/>
        <color theme="1"/>
        <rFont val="Kruti Dev 010"/>
      </rPr>
      <t xml:space="preserve"> esa dh tkosA</t>
    </r>
  </si>
  <si>
    <t xml:space="preserve">osru izek.k i= dk fizUV fy;k tk ldrk gSA </t>
  </si>
  <si>
    <r>
      <rPr>
        <sz val="12"/>
        <color theme="1"/>
        <rFont val="Harlow Solid Italic"/>
        <family val="5"/>
      </rPr>
      <t xml:space="preserve">Slip sheet  ke employee i.d no. </t>
    </r>
    <r>
      <rPr>
        <sz val="12"/>
        <color theme="1"/>
        <rFont val="Kruti Dev 010"/>
      </rPr>
      <t xml:space="preserve">ds lkeus ds Mªki Mkmu esU;w }kjk fdlh Hkh dkWfeZd ds </t>
    </r>
  </si>
  <si>
    <r>
      <t xml:space="preserve">dkWfeZd dk QksVks viyksM djrs le; /;ku j[ks dh QksVks dh lkbZt </t>
    </r>
    <r>
      <rPr>
        <sz val="11"/>
        <color theme="1"/>
        <rFont val="Harlow Solid Italic"/>
        <family val="5"/>
      </rPr>
      <t>Cell</t>
    </r>
    <r>
      <rPr>
        <sz val="11"/>
        <color theme="1"/>
        <rFont val="Kruti Dev 010"/>
      </rPr>
      <t xml:space="preserve"> ls ckgj u jgsaaA </t>
    </r>
    <r>
      <rPr>
        <sz val="11"/>
        <color theme="1"/>
        <rFont val="Garamond"/>
        <family val="1"/>
      </rPr>
      <t xml:space="preserve">JPG </t>
    </r>
    <r>
      <rPr>
        <sz val="11"/>
        <color theme="1"/>
        <rFont val="Kruti Dev 010"/>
      </rPr>
      <t>QkWesZV esa ysosA</t>
    </r>
  </si>
  <si>
    <t>SIGN</t>
  </si>
  <si>
    <r>
      <t xml:space="preserve">bl izksxzke dks dEI;wVj ij vPNs ifj.kke ds lkFk iz;ksx djus gsrq </t>
    </r>
    <r>
      <rPr>
        <sz val="11"/>
        <color theme="1"/>
        <rFont val="Harlow Solid Italic"/>
        <family val="5"/>
      </rPr>
      <t>Excel MicroEnabled</t>
    </r>
    <r>
      <rPr>
        <sz val="11"/>
        <color theme="1"/>
        <rFont val="Kruti Dev 010"/>
      </rPr>
      <t xml:space="preserve"> t:j dj ysosaA </t>
    </r>
  </si>
  <si>
    <r>
      <t xml:space="preserve">izksxzke </t>
    </r>
    <r>
      <rPr>
        <sz val="11"/>
        <color theme="1"/>
        <rFont val="Harlow Solid Italic"/>
        <family val="5"/>
      </rPr>
      <t xml:space="preserve">formula based </t>
    </r>
    <r>
      <rPr>
        <sz val="11"/>
        <color theme="1"/>
        <rFont val="Kruti Dev 010"/>
      </rPr>
      <t xml:space="preserve">gksus ds dkj.k lko/kkuh iwoZd iz;ksx djsA vPNk yxs rks Qksu o esy ij </t>
    </r>
    <r>
      <rPr>
        <sz val="11"/>
        <color theme="1"/>
        <rFont val="Harlow Solid Italic"/>
        <family val="5"/>
      </rPr>
      <t>Comment</t>
    </r>
    <r>
      <rPr>
        <sz val="11"/>
        <color theme="1"/>
        <rFont val="Kruti Dev 010"/>
      </rPr>
      <t xml:space="preserve"> djsaA</t>
    </r>
  </si>
  <si>
    <t>vkSj csgrj djus ds fy, vkids lq&gt;ko ------------------------</t>
  </si>
  <si>
    <t xml:space="preserve">xzke ykylksV ftyk nkSlk </t>
  </si>
  <si>
    <t>RAJU LAL VERMA</t>
  </si>
  <si>
    <t>SUNITA DEVI SHARMA</t>
  </si>
  <si>
    <t>MOTI LAL MEENA</t>
  </si>
  <si>
    <t>SURESH CHAND VIJAY</t>
  </si>
  <si>
    <t>RADHAMOHAN JANGID</t>
  </si>
  <si>
    <t>PRABHATI LAL SONY</t>
  </si>
  <si>
    <t xml:space="preserve">MANJU BALA </t>
  </si>
  <si>
    <t>VINOD KUMAR YADAV</t>
  </si>
  <si>
    <t>RAJA RAM RAIGAR</t>
  </si>
  <si>
    <t>MONIKA MEENA</t>
  </si>
  <si>
    <t>LAB AST.</t>
  </si>
  <si>
    <t>LIBRARIAN</t>
  </si>
  <si>
    <t>TEACHER</t>
  </si>
  <si>
    <t>LDC</t>
  </si>
  <si>
    <t>UDC</t>
  </si>
  <si>
    <t>PSXFR15678L</t>
  </si>
  <si>
    <t>PRINCIPAL</t>
  </si>
  <si>
    <t>HEADMASTER</t>
  </si>
  <si>
    <t xml:space="preserve">TEACHER </t>
  </si>
  <si>
    <t>ACCOUNT</t>
  </si>
  <si>
    <t>RJBL12051454952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</si>
</sst>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Arial Black"/>
      <family val="2"/>
    </font>
    <font>
      <sz val="9"/>
      <color theme="1"/>
      <name val="Times New Roman"/>
      <family val="1"/>
    </font>
    <font>
      <b/>
      <sz val="9"/>
      <color rgb="FFC00000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7030A0"/>
      <name val="Calibri"/>
      <family val="2"/>
      <scheme val="minor"/>
    </font>
    <font>
      <sz val="12"/>
      <color theme="1"/>
      <name val="Algerian"/>
      <family val="5"/>
    </font>
    <font>
      <sz val="12"/>
      <color theme="1"/>
      <name val="Arial Black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2"/>
      <color theme="1"/>
      <name val="Arial Black"/>
      <family val="2"/>
    </font>
    <font>
      <u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0"/>
      <color theme="1"/>
      <name val="Narkisim"/>
      <family val="2"/>
      <charset val="177"/>
    </font>
    <font>
      <b/>
      <sz val="11"/>
      <color rgb="FF0070C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1"/>
      <name val="Kruti Dev 010"/>
    </font>
    <font>
      <sz val="11"/>
      <color theme="1"/>
      <name val="Harlow Solid Italic"/>
      <family val="5"/>
    </font>
    <font>
      <sz val="11"/>
      <color theme="1"/>
      <name val="Harrington"/>
      <family val="5"/>
    </font>
    <font>
      <sz val="10"/>
      <color theme="1"/>
      <name val="Kruti Dev 010"/>
    </font>
    <font>
      <sz val="10"/>
      <color theme="1"/>
      <name val="Harlow Solid Italic"/>
      <family val="5"/>
    </font>
    <font>
      <sz val="12"/>
      <color theme="1"/>
      <name val="Kruti Dev 010"/>
    </font>
    <font>
      <sz val="12"/>
      <color theme="1"/>
      <name val="Harlow Solid Italic"/>
      <family val="5"/>
    </font>
    <font>
      <sz val="11"/>
      <color theme="1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14" fontId="6" fillId="0" borderId="6" xfId="0" applyNumberFormat="1" applyFont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horizontal="center"/>
      <protection locked="0"/>
    </xf>
    <xf numFmtId="17" fontId="5" fillId="3" borderId="6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0" fontId="9" fillId="0" borderId="6" xfId="0" applyFont="1" applyBorder="1" applyProtection="1">
      <protection locked="0"/>
    </xf>
    <xf numFmtId="0" fontId="9" fillId="0" borderId="7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7" fillId="4" borderId="12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textRotation="90" wrapText="1"/>
    </xf>
    <xf numFmtId="0" fontId="7" fillId="4" borderId="3" xfId="0" applyFont="1" applyFill="1" applyBorder="1" applyAlignment="1" applyProtection="1">
      <alignment horizontal="center" vertical="center" textRotation="90" wrapText="1"/>
    </xf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9" xfId="0" applyFont="1" applyBorder="1" applyAlignment="1" applyProtection="1">
      <alignment horizontal="center"/>
    </xf>
    <xf numFmtId="0" fontId="4" fillId="0" borderId="9" xfId="0" applyFont="1" applyBorder="1" applyProtection="1"/>
    <xf numFmtId="0" fontId="3" fillId="0" borderId="9" xfId="0" applyFont="1" applyBorder="1" applyProtection="1"/>
    <xf numFmtId="0" fontId="10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3" fillId="0" borderId="9" xfId="0" applyFont="1" applyBorder="1" applyAlignment="1" applyProtection="1">
      <alignment horizontal="right"/>
    </xf>
    <xf numFmtId="0" fontId="11" fillId="0" borderId="6" xfId="0" applyFont="1" applyBorder="1" applyProtection="1"/>
    <xf numFmtId="0" fontId="17" fillId="0" borderId="6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</xf>
    <xf numFmtId="0" fontId="17" fillId="0" borderId="6" xfId="0" applyFont="1" applyBorder="1" applyAlignment="1" applyProtection="1">
      <alignment horizontal="center"/>
    </xf>
    <xf numFmtId="14" fontId="14" fillId="0" borderId="6" xfId="0" applyNumberFormat="1" applyFont="1" applyBorder="1" applyAlignment="1" applyProtection="1">
      <alignment horizontal="center" vertical="center"/>
    </xf>
    <xf numFmtId="164" fontId="14" fillId="0" borderId="6" xfId="0" applyNumberFormat="1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</xf>
    <xf numFmtId="0" fontId="17" fillId="0" borderId="6" xfId="0" applyFont="1" applyBorder="1" applyAlignment="1" applyProtection="1">
      <alignment horizontal="center" vertical="center"/>
    </xf>
    <xf numFmtId="0" fontId="19" fillId="0" borderId="0" xfId="0" applyFont="1" applyProtection="1"/>
    <xf numFmtId="0" fontId="0" fillId="0" borderId="0" xfId="0" applyProtection="1"/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3" fillId="0" borderId="6" xfId="0" applyFont="1" applyBorder="1" applyProtection="1"/>
    <xf numFmtId="0" fontId="0" fillId="0" borderId="0" xfId="0" applyFont="1" applyProtection="1"/>
    <xf numFmtId="0" fontId="0" fillId="0" borderId="0" xfId="0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25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3" fillId="9" borderId="0" xfId="0" applyFont="1" applyFill="1" applyAlignment="1">
      <alignment horizontal="center"/>
    </xf>
    <xf numFmtId="0" fontId="22" fillId="8" borderId="0" xfId="0" applyFont="1" applyFill="1" applyAlignment="1">
      <alignment horizontal="center"/>
    </xf>
    <xf numFmtId="0" fontId="0" fillId="3" borderId="6" xfId="0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17" fontId="14" fillId="0" borderId="8" xfId="0" applyNumberFormat="1" applyFont="1" applyBorder="1" applyAlignment="1" applyProtection="1">
      <alignment horizontal="center"/>
    </xf>
    <xf numFmtId="17" fontId="14" fillId="0" borderId="12" xfId="0" applyNumberFormat="1" applyFont="1" applyBorder="1" applyAlignment="1" applyProtection="1">
      <alignment horizontal="center"/>
    </xf>
    <xf numFmtId="17" fontId="14" fillId="0" borderId="2" xfId="0" applyNumberFormat="1" applyFont="1" applyBorder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17" fillId="0" borderId="7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/>
    </xf>
    <xf numFmtId="0" fontId="17" fillId="0" borderId="6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</xf>
    <xf numFmtId="2" fontId="16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5" fillId="0" borderId="0" xfId="0" applyFont="1" applyBorder="1" applyAlignment="1" applyProtection="1">
      <alignment horizontal="right"/>
    </xf>
    <xf numFmtId="0" fontId="20" fillId="7" borderId="0" xfId="0" applyFont="1" applyFill="1" applyBorder="1" applyAlignment="1" applyProtection="1">
      <alignment horizontal="center"/>
    </xf>
    <xf numFmtId="17" fontId="20" fillId="0" borderId="0" xfId="0" applyNumberFormat="1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  <protection locked="0"/>
    </xf>
    <xf numFmtId="17" fontId="14" fillId="5" borderId="13" xfId="0" applyNumberFormat="1" applyFont="1" applyFill="1" applyBorder="1" applyAlignment="1" applyProtection="1">
      <alignment horizontal="center"/>
      <protection locked="0"/>
    </xf>
    <xf numFmtId="17" fontId="14" fillId="5" borderId="5" xfId="0" applyNumberFormat="1" applyFont="1" applyFill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</xf>
    <xf numFmtId="2" fontId="16" fillId="0" borderId="11" xfId="0" applyNumberFormat="1" applyFont="1" applyBorder="1" applyAlignment="1" applyProtection="1">
      <alignment horizontal="center"/>
    </xf>
    <xf numFmtId="0" fontId="17" fillId="0" borderId="6" xfId="0" applyFont="1" applyBorder="1" applyAlignment="1" applyProtection="1">
      <alignment horizontal="center"/>
    </xf>
    <xf numFmtId="0" fontId="17" fillId="0" borderId="7" xfId="0" applyFont="1" applyBorder="1" applyAlignment="1" applyProtection="1">
      <alignment horizontal="center"/>
    </xf>
    <xf numFmtId="0" fontId="17" fillId="0" borderId="5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20" fillId="6" borderId="0" xfId="0" applyFont="1" applyFill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</cellXfs>
  <cellStyles count="1">
    <cellStyle name="Normal" xfId="0" builtinId="0"/>
  </cellStyles>
  <dxfs count="50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C00000"/>
        <name val="Calibri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4" formatCode="0;[Red]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64" formatCode="0;[Red]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SLIP!A1"/><Relationship Id="rId2" Type="http://schemas.openxmlformats.org/officeDocument/2006/relationships/hyperlink" Target="#SALERY!A1"/><Relationship Id="rId1" Type="http://schemas.openxmlformats.org/officeDocument/2006/relationships/hyperlink" Target="#BASIC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hyperlink" Target="#SALERY!A1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hyperlink" Target="#USE!A1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hyperlink" Target="#SLIP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USE!A1"/><Relationship Id="rId2" Type="http://schemas.openxmlformats.org/officeDocument/2006/relationships/hyperlink" Target="#BASIC!A1"/><Relationship Id="rId1" Type="http://schemas.openxmlformats.org/officeDocument/2006/relationships/hyperlink" Target="#SLIP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SALERY!A1"/><Relationship Id="rId2" Type="http://schemas.openxmlformats.org/officeDocument/2006/relationships/hyperlink" Target="#BASIC!A1"/><Relationship Id="rId1" Type="http://schemas.openxmlformats.org/officeDocument/2006/relationships/image" Target="../media/image29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0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287357</xdr:colOff>
      <xdr:row>21</xdr:row>
      <xdr:rowOff>68395</xdr:rowOff>
    </xdr:from>
    <xdr:ext cx="3012103" cy="374141"/>
    <xdr:sp macro="" textlink="">
      <xdr:nvSpPr>
        <xdr:cNvPr id="2" name="Rectangle 1"/>
        <xdr:cNvSpPr/>
      </xdr:nvSpPr>
      <xdr:spPr>
        <a:xfrm>
          <a:off x="1148417" y="3802195"/>
          <a:ext cx="3012103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MAHESH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KUMAR BAIRWA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4</xdr:col>
      <xdr:colOff>41049</xdr:colOff>
      <xdr:row>22</xdr:row>
      <xdr:rowOff>182695</xdr:rowOff>
    </xdr:from>
    <xdr:ext cx="938975" cy="311496"/>
    <xdr:sp macro="" textlink="">
      <xdr:nvSpPr>
        <xdr:cNvPr id="3" name="Rectangle 2"/>
        <xdr:cNvSpPr/>
      </xdr:nvSpPr>
      <xdr:spPr>
        <a:xfrm>
          <a:off x="2121309" y="4099375"/>
          <a:ext cx="938975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LECTURER</a:t>
          </a:r>
        </a:p>
      </xdr:txBody>
    </xdr:sp>
    <xdr:clientData/>
  </xdr:oneCellAnchor>
  <xdr:oneCellAnchor>
    <xdr:from>
      <xdr:col>2</xdr:col>
      <xdr:colOff>466316</xdr:colOff>
      <xdr:row>24</xdr:row>
      <xdr:rowOff>98875</xdr:rowOff>
    </xdr:from>
    <xdr:ext cx="2389692" cy="311496"/>
    <xdr:sp macro="" textlink="">
      <xdr:nvSpPr>
        <xdr:cNvPr id="4" name="Rectangle 3"/>
        <xdr:cNvSpPr/>
      </xdr:nvSpPr>
      <xdr:spPr>
        <a:xfrm>
          <a:off x="1327376" y="4381315"/>
          <a:ext cx="2389692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MHB</a:t>
          </a:r>
          <a:r>
            <a:rPr lang="en-US" sz="1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GSSS PATODI (BARMER)</a:t>
          </a:r>
          <a:endParaRPr lang="en-US" sz="1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1</xdr:col>
      <xdr:colOff>284981</xdr:colOff>
      <xdr:row>25</xdr:row>
      <xdr:rowOff>182695</xdr:rowOff>
    </xdr:from>
    <xdr:ext cx="3849644" cy="374141"/>
    <xdr:sp macro="" textlink="">
      <xdr:nvSpPr>
        <xdr:cNvPr id="5" name="Rectangle 4"/>
        <xdr:cNvSpPr/>
      </xdr:nvSpPr>
      <xdr:spPr>
        <a:xfrm>
          <a:off x="536441" y="4648015"/>
          <a:ext cx="3849644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8440992186/mkb61177@gmail.com</a:t>
          </a:r>
        </a:p>
      </xdr:txBody>
    </xdr:sp>
    <xdr:clientData/>
  </xdr:oneCellAnchor>
  <xdr:twoCellAnchor>
    <xdr:from>
      <xdr:col>0</xdr:col>
      <xdr:colOff>144780</xdr:colOff>
      <xdr:row>1</xdr:row>
      <xdr:rowOff>22860</xdr:rowOff>
    </xdr:from>
    <xdr:to>
      <xdr:col>2</xdr:col>
      <xdr:colOff>480060</xdr:colOff>
      <xdr:row>2</xdr:row>
      <xdr:rowOff>129540</xdr:rowOff>
    </xdr:to>
    <xdr:sp macro="" textlink="">
      <xdr:nvSpPr>
        <xdr:cNvPr id="6" name="Right Arrow 5">
          <a:hlinkClick xmlns:r="http://schemas.openxmlformats.org/officeDocument/2006/relationships" r:id="rId1"/>
        </xdr:cNvPr>
        <xdr:cNvSpPr/>
      </xdr:nvSpPr>
      <xdr:spPr>
        <a:xfrm>
          <a:off x="144780" y="251460"/>
          <a:ext cx="1196340" cy="335280"/>
        </a:xfrm>
        <a:prstGeom prst="rightArrow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BASIC SHEET</a:t>
          </a:r>
        </a:p>
      </xdr:txBody>
    </xdr:sp>
    <xdr:clientData/>
  </xdr:twoCellAnchor>
  <xdr:twoCellAnchor>
    <xdr:from>
      <xdr:col>3</xdr:col>
      <xdr:colOff>533400</xdr:colOff>
      <xdr:row>1</xdr:row>
      <xdr:rowOff>22860</xdr:rowOff>
    </xdr:from>
    <xdr:to>
      <xdr:col>5</xdr:col>
      <xdr:colOff>510540</xdr:colOff>
      <xdr:row>2</xdr:row>
      <xdr:rowOff>129540</xdr:rowOff>
    </xdr:to>
    <xdr:sp macro="" textlink="">
      <xdr:nvSpPr>
        <xdr:cNvPr id="9" name="Right Arrow 8">
          <a:hlinkClick xmlns:r="http://schemas.openxmlformats.org/officeDocument/2006/relationships" r:id="rId2"/>
        </xdr:cNvPr>
        <xdr:cNvSpPr/>
      </xdr:nvSpPr>
      <xdr:spPr>
        <a:xfrm>
          <a:off x="2004060" y="251460"/>
          <a:ext cx="1196340" cy="335280"/>
        </a:xfrm>
        <a:prstGeom prst="rightArrow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SALERY SHEET</a:t>
          </a:r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8</xdr:col>
      <xdr:colOff>586740</xdr:colOff>
      <xdr:row>2</xdr:row>
      <xdr:rowOff>106680</xdr:rowOff>
    </xdr:to>
    <xdr:sp macro="" textlink="">
      <xdr:nvSpPr>
        <xdr:cNvPr id="10" name="Right Arrow 9">
          <a:hlinkClick xmlns:r="http://schemas.openxmlformats.org/officeDocument/2006/relationships" r:id="rId3"/>
        </xdr:cNvPr>
        <xdr:cNvSpPr/>
      </xdr:nvSpPr>
      <xdr:spPr>
        <a:xfrm>
          <a:off x="3909060" y="228600"/>
          <a:ext cx="1196340" cy="335280"/>
        </a:xfrm>
        <a:prstGeom prst="rightArrow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SLIP</a:t>
          </a:r>
          <a:r>
            <a:rPr lang="en-US" sz="1100" b="1" baseline="0"/>
            <a:t> SHEET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78591</xdr:colOff>
      <xdr:row>4</xdr:row>
      <xdr:rowOff>33866</xdr:rowOff>
    </xdr:from>
    <xdr:to>
      <xdr:col>13</xdr:col>
      <xdr:colOff>464527</xdr:colOff>
      <xdr:row>4</xdr:row>
      <xdr:rowOff>495724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2858" y="1371599"/>
          <a:ext cx="385936" cy="461858"/>
        </a:xfrm>
        <a:prstGeom prst="rect">
          <a:avLst/>
        </a:prstGeom>
      </xdr:spPr>
    </xdr:pic>
    <xdr:clientData/>
  </xdr:twoCellAnchor>
  <xdr:twoCellAnchor>
    <xdr:from>
      <xdr:col>13</xdr:col>
      <xdr:colOff>60820</xdr:colOff>
      <xdr:row>5</xdr:row>
      <xdr:rowOff>59268</xdr:rowOff>
    </xdr:from>
    <xdr:to>
      <xdr:col>13</xdr:col>
      <xdr:colOff>413996</xdr:colOff>
      <xdr:row>5</xdr:row>
      <xdr:rowOff>461288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2620" y="1896535"/>
          <a:ext cx="353176" cy="402020"/>
        </a:xfrm>
        <a:prstGeom prst="rect">
          <a:avLst/>
        </a:prstGeom>
      </xdr:spPr>
    </xdr:pic>
    <xdr:clientData/>
  </xdr:twoCellAnchor>
  <xdr:twoCellAnchor>
    <xdr:from>
      <xdr:col>13</xdr:col>
      <xdr:colOff>77466</xdr:colOff>
      <xdr:row>6</xdr:row>
      <xdr:rowOff>59266</xdr:rowOff>
    </xdr:from>
    <xdr:to>
      <xdr:col>13</xdr:col>
      <xdr:colOff>448733</xdr:colOff>
      <xdr:row>6</xdr:row>
      <xdr:rowOff>448733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9266" y="2396066"/>
          <a:ext cx="371267" cy="389467"/>
        </a:xfrm>
        <a:prstGeom prst="rect">
          <a:avLst/>
        </a:prstGeom>
      </xdr:spPr>
    </xdr:pic>
    <xdr:clientData/>
  </xdr:twoCellAnchor>
  <xdr:twoCellAnchor>
    <xdr:from>
      <xdr:col>13</xdr:col>
      <xdr:colOff>8466</xdr:colOff>
      <xdr:row>7</xdr:row>
      <xdr:rowOff>25400</xdr:rowOff>
    </xdr:from>
    <xdr:to>
      <xdr:col>13</xdr:col>
      <xdr:colOff>516466</xdr:colOff>
      <xdr:row>7</xdr:row>
      <xdr:rowOff>465510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2733" y="2861733"/>
          <a:ext cx="508000" cy="440110"/>
        </a:xfrm>
        <a:prstGeom prst="rect">
          <a:avLst/>
        </a:prstGeom>
      </xdr:spPr>
    </xdr:pic>
    <xdr:clientData/>
  </xdr:twoCellAnchor>
  <xdr:twoCellAnchor>
    <xdr:from>
      <xdr:col>13</xdr:col>
      <xdr:colOff>37734</xdr:colOff>
      <xdr:row>8</xdr:row>
      <xdr:rowOff>6725</xdr:rowOff>
    </xdr:from>
    <xdr:to>
      <xdr:col>13</xdr:col>
      <xdr:colOff>508000</xdr:colOff>
      <xdr:row>8</xdr:row>
      <xdr:rowOff>474132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2001" y="3342592"/>
          <a:ext cx="470266" cy="467407"/>
        </a:xfrm>
        <a:prstGeom prst="rect">
          <a:avLst/>
        </a:prstGeom>
      </xdr:spPr>
    </xdr:pic>
    <xdr:clientData/>
  </xdr:twoCellAnchor>
  <xdr:twoCellAnchor>
    <xdr:from>
      <xdr:col>13</xdr:col>
      <xdr:colOff>53334</xdr:colOff>
      <xdr:row>9</xdr:row>
      <xdr:rowOff>25399</xdr:rowOff>
    </xdr:from>
    <xdr:to>
      <xdr:col>13</xdr:col>
      <xdr:colOff>491066</xdr:colOff>
      <xdr:row>9</xdr:row>
      <xdr:rowOff>457200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7601" y="3860799"/>
          <a:ext cx="437732" cy="431801"/>
        </a:xfrm>
        <a:prstGeom prst="rect">
          <a:avLst/>
        </a:prstGeom>
      </xdr:spPr>
    </xdr:pic>
    <xdr:clientData/>
  </xdr:twoCellAnchor>
  <xdr:twoCellAnchor>
    <xdr:from>
      <xdr:col>13</xdr:col>
      <xdr:colOff>33866</xdr:colOff>
      <xdr:row>10</xdr:row>
      <xdr:rowOff>41383</xdr:rowOff>
    </xdr:from>
    <xdr:to>
      <xdr:col>13</xdr:col>
      <xdr:colOff>499533</xdr:colOff>
      <xdr:row>10</xdr:row>
      <xdr:rowOff>454890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8133" y="4376316"/>
          <a:ext cx="465667" cy="413507"/>
        </a:xfrm>
        <a:prstGeom prst="rect">
          <a:avLst/>
        </a:prstGeom>
      </xdr:spPr>
    </xdr:pic>
    <xdr:clientData/>
  </xdr:twoCellAnchor>
  <xdr:twoCellAnchor>
    <xdr:from>
      <xdr:col>13</xdr:col>
      <xdr:colOff>25400</xdr:colOff>
      <xdr:row>11</xdr:row>
      <xdr:rowOff>32296</xdr:rowOff>
    </xdr:from>
    <xdr:to>
      <xdr:col>13</xdr:col>
      <xdr:colOff>507999</xdr:colOff>
      <xdr:row>11</xdr:row>
      <xdr:rowOff>484354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9667" y="4866763"/>
          <a:ext cx="482599" cy="452058"/>
        </a:xfrm>
        <a:prstGeom prst="rect">
          <a:avLst/>
        </a:prstGeom>
      </xdr:spPr>
    </xdr:pic>
    <xdr:clientData/>
  </xdr:twoCellAnchor>
  <xdr:twoCellAnchor>
    <xdr:from>
      <xdr:col>13</xdr:col>
      <xdr:colOff>43734</xdr:colOff>
      <xdr:row>13</xdr:row>
      <xdr:rowOff>11181</xdr:rowOff>
    </xdr:from>
    <xdr:to>
      <xdr:col>13</xdr:col>
      <xdr:colOff>508001</xdr:colOff>
      <xdr:row>13</xdr:row>
      <xdr:rowOff>440266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5534" y="5844714"/>
          <a:ext cx="464267" cy="429085"/>
        </a:xfrm>
        <a:prstGeom prst="rect">
          <a:avLst/>
        </a:prstGeom>
      </xdr:spPr>
    </xdr:pic>
    <xdr:clientData/>
  </xdr:twoCellAnchor>
  <xdr:twoCellAnchor>
    <xdr:from>
      <xdr:col>13</xdr:col>
      <xdr:colOff>49799</xdr:colOff>
      <xdr:row>14</xdr:row>
      <xdr:rowOff>50801</xdr:rowOff>
    </xdr:from>
    <xdr:to>
      <xdr:col>13</xdr:col>
      <xdr:colOff>503486</xdr:colOff>
      <xdr:row>14</xdr:row>
      <xdr:rowOff>457200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1599" y="6383868"/>
          <a:ext cx="453687" cy="406399"/>
        </a:xfrm>
        <a:prstGeom prst="rect">
          <a:avLst/>
        </a:prstGeom>
      </xdr:spPr>
    </xdr:pic>
    <xdr:clientData/>
  </xdr:twoCellAnchor>
  <xdr:twoCellAnchor>
    <xdr:from>
      <xdr:col>13</xdr:col>
      <xdr:colOff>33866</xdr:colOff>
      <xdr:row>16</xdr:row>
      <xdr:rowOff>8467</xdr:rowOff>
    </xdr:from>
    <xdr:to>
      <xdr:col>13</xdr:col>
      <xdr:colOff>516465</xdr:colOff>
      <xdr:row>16</xdr:row>
      <xdr:rowOff>491067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8133" y="7340600"/>
          <a:ext cx="482599" cy="482600"/>
        </a:xfrm>
        <a:prstGeom prst="rect">
          <a:avLst/>
        </a:prstGeom>
      </xdr:spPr>
    </xdr:pic>
    <xdr:clientData/>
  </xdr:twoCellAnchor>
  <xdr:twoCellAnchor>
    <xdr:from>
      <xdr:col>13</xdr:col>
      <xdr:colOff>51386</xdr:colOff>
      <xdr:row>17</xdr:row>
      <xdr:rowOff>42334</xdr:rowOff>
    </xdr:from>
    <xdr:to>
      <xdr:col>13</xdr:col>
      <xdr:colOff>513614</xdr:colOff>
      <xdr:row>17</xdr:row>
      <xdr:rowOff>448733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5653" y="7874001"/>
          <a:ext cx="462228" cy="406399"/>
        </a:xfrm>
        <a:prstGeom prst="rect">
          <a:avLst/>
        </a:prstGeom>
      </xdr:spPr>
    </xdr:pic>
    <xdr:clientData/>
  </xdr:twoCellAnchor>
  <xdr:twoCellAnchor>
    <xdr:from>
      <xdr:col>13</xdr:col>
      <xdr:colOff>50801</xdr:colOff>
      <xdr:row>18</xdr:row>
      <xdr:rowOff>25401</xdr:rowOff>
    </xdr:from>
    <xdr:to>
      <xdr:col>13</xdr:col>
      <xdr:colOff>516466</xdr:colOff>
      <xdr:row>18</xdr:row>
      <xdr:rowOff>483591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5068" y="8356601"/>
          <a:ext cx="465665" cy="458190"/>
        </a:xfrm>
        <a:prstGeom prst="rect">
          <a:avLst/>
        </a:prstGeom>
      </xdr:spPr>
    </xdr:pic>
    <xdr:clientData/>
  </xdr:twoCellAnchor>
  <xdr:twoCellAnchor>
    <xdr:from>
      <xdr:col>13</xdr:col>
      <xdr:colOff>26800</xdr:colOff>
      <xdr:row>19</xdr:row>
      <xdr:rowOff>36581</xdr:rowOff>
    </xdr:from>
    <xdr:to>
      <xdr:col>13</xdr:col>
      <xdr:colOff>491067</xdr:colOff>
      <xdr:row>19</xdr:row>
      <xdr:rowOff>465666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8600" y="8867314"/>
          <a:ext cx="464267" cy="429085"/>
        </a:xfrm>
        <a:prstGeom prst="rect">
          <a:avLst/>
        </a:prstGeom>
      </xdr:spPr>
    </xdr:pic>
    <xdr:clientData/>
  </xdr:twoCellAnchor>
  <xdr:twoCellAnchor>
    <xdr:from>
      <xdr:col>13</xdr:col>
      <xdr:colOff>59265</xdr:colOff>
      <xdr:row>20</xdr:row>
      <xdr:rowOff>42334</xdr:rowOff>
    </xdr:from>
    <xdr:to>
      <xdr:col>13</xdr:col>
      <xdr:colOff>511952</xdr:colOff>
      <xdr:row>20</xdr:row>
      <xdr:rowOff>493341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3532" y="9372601"/>
          <a:ext cx="452687" cy="451007"/>
        </a:xfrm>
        <a:prstGeom prst="rect">
          <a:avLst/>
        </a:prstGeom>
      </xdr:spPr>
    </xdr:pic>
    <xdr:clientData/>
  </xdr:twoCellAnchor>
  <xdr:twoCellAnchor>
    <xdr:from>
      <xdr:col>13</xdr:col>
      <xdr:colOff>50801</xdr:colOff>
      <xdr:row>21</xdr:row>
      <xdr:rowOff>32916</xdr:rowOff>
    </xdr:from>
    <xdr:to>
      <xdr:col>13</xdr:col>
      <xdr:colOff>499533</xdr:colOff>
      <xdr:row>21</xdr:row>
      <xdr:rowOff>482600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5068" y="9862716"/>
          <a:ext cx="448732" cy="449684"/>
        </a:xfrm>
        <a:prstGeom prst="rect">
          <a:avLst/>
        </a:prstGeom>
      </xdr:spPr>
    </xdr:pic>
    <xdr:clientData/>
  </xdr:twoCellAnchor>
  <xdr:twoCellAnchor>
    <xdr:from>
      <xdr:col>13</xdr:col>
      <xdr:colOff>50800</xdr:colOff>
      <xdr:row>22</xdr:row>
      <xdr:rowOff>40083</xdr:rowOff>
    </xdr:from>
    <xdr:to>
      <xdr:col>13</xdr:col>
      <xdr:colOff>482600</xdr:colOff>
      <xdr:row>22</xdr:row>
      <xdr:rowOff>483448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5067" y="10369416"/>
          <a:ext cx="431800" cy="443365"/>
        </a:xfrm>
        <a:prstGeom prst="rect">
          <a:avLst/>
        </a:prstGeom>
      </xdr:spPr>
    </xdr:pic>
    <xdr:clientData/>
  </xdr:twoCellAnchor>
  <xdr:twoCellAnchor>
    <xdr:from>
      <xdr:col>13</xdr:col>
      <xdr:colOff>50801</xdr:colOff>
      <xdr:row>23</xdr:row>
      <xdr:rowOff>41986</xdr:rowOff>
    </xdr:from>
    <xdr:to>
      <xdr:col>13</xdr:col>
      <xdr:colOff>508001</xdr:colOff>
      <xdr:row>23</xdr:row>
      <xdr:rowOff>475123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5068" y="10870853"/>
          <a:ext cx="457200" cy="433137"/>
        </a:xfrm>
        <a:prstGeom prst="rect">
          <a:avLst/>
        </a:prstGeom>
      </xdr:spPr>
    </xdr:pic>
    <xdr:clientData/>
  </xdr:twoCellAnchor>
  <xdr:twoCellAnchor>
    <xdr:from>
      <xdr:col>13</xdr:col>
      <xdr:colOff>52200</xdr:colOff>
      <xdr:row>24</xdr:row>
      <xdr:rowOff>19648</xdr:rowOff>
    </xdr:from>
    <xdr:to>
      <xdr:col>13</xdr:col>
      <xdr:colOff>516467</xdr:colOff>
      <xdr:row>24</xdr:row>
      <xdr:rowOff>448733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4000" y="11348048"/>
          <a:ext cx="464267" cy="429085"/>
        </a:xfrm>
        <a:prstGeom prst="rect">
          <a:avLst/>
        </a:prstGeom>
      </xdr:spPr>
    </xdr:pic>
    <xdr:clientData/>
  </xdr:twoCellAnchor>
  <xdr:twoCellAnchor>
    <xdr:from>
      <xdr:col>13</xdr:col>
      <xdr:colOff>49799</xdr:colOff>
      <xdr:row>25</xdr:row>
      <xdr:rowOff>50801</xdr:rowOff>
    </xdr:from>
    <xdr:to>
      <xdr:col>13</xdr:col>
      <xdr:colOff>503486</xdr:colOff>
      <xdr:row>25</xdr:row>
      <xdr:rowOff>457200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1599" y="11878734"/>
          <a:ext cx="453687" cy="406399"/>
        </a:xfrm>
        <a:prstGeom prst="rect">
          <a:avLst/>
        </a:prstGeom>
      </xdr:spPr>
    </xdr:pic>
    <xdr:clientData/>
  </xdr:twoCellAnchor>
  <xdr:twoCellAnchor>
    <xdr:from>
      <xdr:col>13</xdr:col>
      <xdr:colOff>50800</xdr:colOff>
      <xdr:row>12</xdr:row>
      <xdr:rowOff>32530</xdr:rowOff>
    </xdr:from>
    <xdr:to>
      <xdr:col>13</xdr:col>
      <xdr:colOff>508000</xdr:colOff>
      <xdr:row>12</xdr:row>
      <xdr:rowOff>465668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5067" y="5366530"/>
          <a:ext cx="457200" cy="433138"/>
        </a:xfrm>
        <a:prstGeom prst="rect">
          <a:avLst/>
        </a:prstGeom>
      </xdr:spPr>
    </xdr:pic>
    <xdr:clientData/>
  </xdr:twoCellAnchor>
  <xdr:twoCellAnchor>
    <xdr:from>
      <xdr:col>13</xdr:col>
      <xdr:colOff>33866</xdr:colOff>
      <xdr:row>15</xdr:row>
      <xdr:rowOff>25400</xdr:rowOff>
    </xdr:from>
    <xdr:to>
      <xdr:col>13</xdr:col>
      <xdr:colOff>491066</xdr:colOff>
      <xdr:row>15</xdr:row>
      <xdr:rowOff>476264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618133" y="6858000"/>
          <a:ext cx="457200" cy="450864"/>
        </a:xfrm>
        <a:prstGeom prst="rect">
          <a:avLst/>
        </a:prstGeom>
      </xdr:spPr>
    </xdr:pic>
    <xdr:clientData/>
  </xdr:twoCellAnchor>
  <xdr:twoCellAnchor>
    <xdr:from>
      <xdr:col>13</xdr:col>
      <xdr:colOff>59267</xdr:colOff>
      <xdr:row>26</xdr:row>
      <xdr:rowOff>33868</xdr:rowOff>
    </xdr:from>
    <xdr:to>
      <xdr:col>13</xdr:col>
      <xdr:colOff>476902</xdr:colOff>
      <xdr:row>26</xdr:row>
      <xdr:rowOff>465667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1067" y="12361335"/>
          <a:ext cx="417635" cy="431799"/>
        </a:xfrm>
        <a:prstGeom prst="rect">
          <a:avLst/>
        </a:prstGeom>
      </xdr:spPr>
    </xdr:pic>
    <xdr:clientData/>
  </xdr:twoCellAnchor>
  <xdr:twoCellAnchor>
    <xdr:from>
      <xdr:col>13</xdr:col>
      <xdr:colOff>42334</xdr:colOff>
      <xdr:row>27</xdr:row>
      <xdr:rowOff>19806</xdr:rowOff>
    </xdr:from>
    <xdr:to>
      <xdr:col>13</xdr:col>
      <xdr:colOff>491066</xdr:colOff>
      <xdr:row>27</xdr:row>
      <xdr:rowOff>474133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6601" y="12846806"/>
          <a:ext cx="448732" cy="454327"/>
        </a:xfrm>
        <a:prstGeom prst="rect">
          <a:avLst/>
        </a:prstGeom>
      </xdr:spPr>
    </xdr:pic>
    <xdr:clientData/>
  </xdr:twoCellAnchor>
  <xdr:twoCellAnchor>
    <xdr:from>
      <xdr:col>13</xdr:col>
      <xdr:colOff>16936</xdr:colOff>
      <xdr:row>28</xdr:row>
      <xdr:rowOff>17371</xdr:rowOff>
    </xdr:from>
    <xdr:to>
      <xdr:col>13</xdr:col>
      <xdr:colOff>482600</xdr:colOff>
      <xdr:row>28</xdr:row>
      <xdr:rowOff>478219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1203" y="13343904"/>
          <a:ext cx="465664" cy="460848"/>
        </a:xfrm>
        <a:prstGeom prst="rect">
          <a:avLst/>
        </a:prstGeom>
      </xdr:spPr>
    </xdr:pic>
    <xdr:clientData/>
  </xdr:twoCellAnchor>
  <xdr:twoCellAnchor>
    <xdr:from>
      <xdr:col>13</xdr:col>
      <xdr:colOff>25401</xdr:colOff>
      <xdr:row>29</xdr:row>
      <xdr:rowOff>50800</xdr:rowOff>
    </xdr:from>
    <xdr:to>
      <xdr:col>13</xdr:col>
      <xdr:colOff>491066</xdr:colOff>
      <xdr:row>29</xdr:row>
      <xdr:rowOff>474133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9668" y="13876867"/>
          <a:ext cx="465665" cy="423333"/>
        </a:xfrm>
        <a:prstGeom prst="rect">
          <a:avLst/>
        </a:prstGeom>
      </xdr:spPr>
    </xdr:pic>
    <xdr:clientData/>
  </xdr:twoCellAnchor>
  <xdr:twoCellAnchor>
    <xdr:from>
      <xdr:col>13</xdr:col>
      <xdr:colOff>50799</xdr:colOff>
      <xdr:row>30</xdr:row>
      <xdr:rowOff>25400</xdr:rowOff>
    </xdr:from>
    <xdr:to>
      <xdr:col>13</xdr:col>
      <xdr:colOff>499533</xdr:colOff>
      <xdr:row>30</xdr:row>
      <xdr:rowOff>457200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5066" y="14351000"/>
          <a:ext cx="448734" cy="431800"/>
        </a:xfrm>
        <a:prstGeom prst="rect">
          <a:avLst/>
        </a:prstGeom>
      </xdr:spPr>
    </xdr:pic>
    <xdr:clientData/>
  </xdr:twoCellAnchor>
  <xdr:twoCellAnchor>
    <xdr:from>
      <xdr:col>13</xdr:col>
      <xdr:colOff>33867</xdr:colOff>
      <xdr:row>30</xdr:row>
      <xdr:rowOff>491067</xdr:rowOff>
    </xdr:from>
    <xdr:to>
      <xdr:col>13</xdr:col>
      <xdr:colOff>499533</xdr:colOff>
      <xdr:row>31</xdr:row>
      <xdr:rowOff>487097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8134" y="14816667"/>
          <a:ext cx="465666" cy="495563"/>
        </a:xfrm>
        <a:prstGeom prst="rect">
          <a:avLst/>
        </a:prstGeom>
      </xdr:spPr>
    </xdr:pic>
    <xdr:clientData/>
  </xdr:twoCellAnchor>
  <xdr:twoCellAnchor>
    <xdr:from>
      <xdr:col>13</xdr:col>
      <xdr:colOff>33866</xdr:colOff>
      <xdr:row>32</xdr:row>
      <xdr:rowOff>25398</xdr:rowOff>
    </xdr:from>
    <xdr:to>
      <xdr:col>13</xdr:col>
      <xdr:colOff>508001</xdr:colOff>
      <xdr:row>32</xdr:row>
      <xdr:rowOff>477739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8133" y="15350065"/>
          <a:ext cx="474135" cy="452341"/>
        </a:xfrm>
        <a:prstGeom prst="rect">
          <a:avLst/>
        </a:prstGeom>
      </xdr:spPr>
    </xdr:pic>
    <xdr:clientData/>
  </xdr:twoCellAnchor>
  <xdr:twoCellAnchor>
    <xdr:from>
      <xdr:col>13</xdr:col>
      <xdr:colOff>43886</xdr:colOff>
      <xdr:row>5</xdr:row>
      <xdr:rowOff>50800</xdr:rowOff>
    </xdr:from>
    <xdr:to>
      <xdr:col>13</xdr:col>
      <xdr:colOff>516465</xdr:colOff>
      <xdr:row>5</xdr:row>
      <xdr:rowOff>486688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8153" y="1888067"/>
          <a:ext cx="472579" cy="435888"/>
        </a:xfrm>
        <a:prstGeom prst="rect">
          <a:avLst/>
        </a:prstGeom>
      </xdr:spPr>
    </xdr:pic>
    <xdr:clientData/>
  </xdr:twoCellAnchor>
  <xdr:twoCellAnchor>
    <xdr:from>
      <xdr:col>13</xdr:col>
      <xdr:colOff>35133</xdr:colOff>
      <xdr:row>6</xdr:row>
      <xdr:rowOff>22910</xdr:rowOff>
    </xdr:from>
    <xdr:to>
      <xdr:col>13</xdr:col>
      <xdr:colOff>508001</xdr:colOff>
      <xdr:row>7</xdr:row>
      <xdr:rowOff>0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9400" y="2359710"/>
          <a:ext cx="472868" cy="476623"/>
        </a:xfrm>
        <a:prstGeom prst="rect">
          <a:avLst/>
        </a:prstGeom>
      </xdr:spPr>
    </xdr:pic>
    <xdr:clientData/>
  </xdr:twoCellAnchor>
  <xdr:twoCellAnchor editAs="oneCell">
    <xdr:from>
      <xdr:col>13</xdr:col>
      <xdr:colOff>33867</xdr:colOff>
      <xdr:row>3</xdr:row>
      <xdr:rowOff>33867</xdr:rowOff>
    </xdr:from>
    <xdr:to>
      <xdr:col>14</xdr:col>
      <xdr:colOff>0</xdr:colOff>
      <xdr:row>3</xdr:row>
      <xdr:rowOff>482600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8134" y="872067"/>
          <a:ext cx="499533" cy="448733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0</xdr:row>
      <xdr:rowOff>8467</xdr:rowOff>
    </xdr:from>
    <xdr:to>
      <xdr:col>1</xdr:col>
      <xdr:colOff>872067</xdr:colOff>
      <xdr:row>1</xdr:row>
      <xdr:rowOff>177801</xdr:rowOff>
    </xdr:to>
    <xdr:sp macro="" textlink="">
      <xdr:nvSpPr>
        <xdr:cNvPr id="2" name="Right Arrow 1">
          <a:hlinkClick xmlns:r="http://schemas.openxmlformats.org/officeDocument/2006/relationships" r:id="rId29"/>
        </xdr:cNvPr>
        <xdr:cNvSpPr/>
      </xdr:nvSpPr>
      <xdr:spPr>
        <a:xfrm>
          <a:off x="76200" y="8467"/>
          <a:ext cx="1143000" cy="355601"/>
        </a:xfrm>
        <a:prstGeom prst="rightArrow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SALERY SHEET</a:t>
          </a:r>
        </a:p>
      </xdr:txBody>
    </xdr:sp>
    <xdr:clientData/>
  </xdr:twoCellAnchor>
  <xdr:twoCellAnchor>
    <xdr:from>
      <xdr:col>1</xdr:col>
      <xdr:colOff>956734</xdr:colOff>
      <xdr:row>0</xdr:row>
      <xdr:rowOff>16934</xdr:rowOff>
    </xdr:from>
    <xdr:to>
      <xdr:col>3</xdr:col>
      <xdr:colOff>397933</xdr:colOff>
      <xdr:row>1</xdr:row>
      <xdr:rowOff>160866</xdr:rowOff>
    </xdr:to>
    <xdr:sp macro="" textlink="">
      <xdr:nvSpPr>
        <xdr:cNvPr id="42" name="Right Arrow 41">
          <a:hlinkClick xmlns:r="http://schemas.openxmlformats.org/officeDocument/2006/relationships" r:id="rId30"/>
        </xdr:cNvPr>
        <xdr:cNvSpPr/>
      </xdr:nvSpPr>
      <xdr:spPr>
        <a:xfrm>
          <a:off x="1303867" y="16934"/>
          <a:ext cx="982133" cy="330199"/>
        </a:xfrm>
        <a:prstGeom prst="rightArrow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SLIP SHEET</a:t>
          </a:r>
        </a:p>
      </xdr:txBody>
    </xdr:sp>
    <xdr:clientData/>
  </xdr:twoCellAnchor>
  <xdr:twoCellAnchor>
    <xdr:from>
      <xdr:col>10</xdr:col>
      <xdr:colOff>397934</xdr:colOff>
      <xdr:row>0</xdr:row>
      <xdr:rowOff>0</xdr:rowOff>
    </xdr:from>
    <xdr:to>
      <xdr:col>12</xdr:col>
      <xdr:colOff>287867</xdr:colOff>
      <xdr:row>1</xdr:row>
      <xdr:rowOff>101601</xdr:rowOff>
    </xdr:to>
    <xdr:sp macro="" textlink="">
      <xdr:nvSpPr>
        <xdr:cNvPr id="11" name="Left Arrow 10">
          <a:hlinkClick xmlns:r="http://schemas.openxmlformats.org/officeDocument/2006/relationships" r:id="rId31"/>
        </xdr:cNvPr>
        <xdr:cNvSpPr/>
      </xdr:nvSpPr>
      <xdr:spPr>
        <a:xfrm>
          <a:off x="8060267" y="0"/>
          <a:ext cx="1219200" cy="287868"/>
        </a:xfrm>
        <a:prstGeom prst="leftArrow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USE SHEET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152400</xdr:colOff>
      <xdr:row>2</xdr:row>
      <xdr:rowOff>60960</xdr:rowOff>
    </xdr:from>
    <xdr:to>
      <xdr:col>24</xdr:col>
      <xdr:colOff>441960</xdr:colOff>
      <xdr:row>2</xdr:row>
      <xdr:rowOff>182880</xdr:rowOff>
    </xdr:to>
    <xdr:sp macro="" textlink="">
      <xdr:nvSpPr>
        <xdr:cNvPr id="4" name="Right Arrow 3"/>
        <xdr:cNvSpPr/>
      </xdr:nvSpPr>
      <xdr:spPr>
        <a:xfrm>
          <a:off x="10942320" y="502920"/>
          <a:ext cx="723900" cy="121920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160867</xdr:colOff>
      <xdr:row>0</xdr:row>
      <xdr:rowOff>84667</xdr:rowOff>
    </xdr:from>
    <xdr:to>
      <xdr:col>1</xdr:col>
      <xdr:colOff>804333</xdr:colOff>
      <xdr:row>1</xdr:row>
      <xdr:rowOff>143934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60867" y="84667"/>
          <a:ext cx="846666" cy="27940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/>
            <a:t>SLIP</a:t>
          </a:r>
        </a:p>
      </xdr:txBody>
    </xdr:sp>
    <xdr:clientData/>
  </xdr:twoCellAnchor>
  <xdr:twoCellAnchor>
    <xdr:from>
      <xdr:col>1</xdr:col>
      <xdr:colOff>1354665</xdr:colOff>
      <xdr:row>0</xdr:row>
      <xdr:rowOff>84667</xdr:rowOff>
    </xdr:from>
    <xdr:to>
      <xdr:col>3</xdr:col>
      <xdr:colOff>245532</xdr:colOff>
      <xdr:row>1</xdr:row>
      <xdr:rowOff>143934</xdr:rowOff>
    </xdr:to>
    <xdr:sp macro="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1557865" y="84667"/>
          <a:ext cx="999067" cy="27940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/>
            <a:t>BASIC</a:t>
          </a:r>
        </a:p>
      </xdr:txBody>
    </xdr:sp>
    <xdr:clientData/>
  </xdr:twoCellAnchor>
  <xdr:twoCellAnchor>
    <xdr:from>
      <xdr:col>21</xdr:col>
      <xdr:colOff>448734</xdr:colOff>
      <xdr:row>0</xdr:row>
      <xdr:rowOff>84666</xdr:rowOff>
    </xdr:from>
    <xdr:to>
      <xdr:col>24</xdr:col>
      <xdr:colOff>59266</xdr:colOff>
      <xdr:row>1</xdr:row>
      <xdr:rowOff>143933</xdr:rowOff>
    </xdr:to>
    <xdr:sp macro="" textlink="">
      <xdr:nvSpPr>
        <xdr:cNvPr id="7" name="Rounded Rectangle 6">
          <a:hlinkClick xmlns:r="http://schemas.openxmlformats.org/officeDocument/2006/relationships" r:id="rId3"/>
        </xdr:cNvPr>
        <xdr:cNvSpPr/>
      </xdr:nvSpPr>
      <xdr:spPr>
        <a:xfrm>
          <a:off x="10320867" y="84666"/>
          <a:ext cx="846666" cy="27940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/>
            <a:t>USE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1645919</xdr:colOff>
          <xdr:row>9</xdr:row>
          <xdr:rowOff>0</xdr:rowOff>
        </xdr:from>
        <xdr:to>
          <xdr:col>5</xdr:col>
          <xdr:colOff>22860</xdr:colOff>
          <xdr:row>15</xdr:row>
          <xdr:rowOff>7620</xdr:rowOff>
        </xdr:to>
        <xdr:pic>
          <xdr:nvPicPr>
            <xdr:cNvPr id="3" name="Picture 2"/>
            <xdr:cNvPicPr>
              <a:picLocks noChangeAspect="1" noChangeArrowheads="1"/>
              <a:extLst>
                <a:ext uri="{84589F7E-364E-4C9E-8A38-B11213B215E9}">
                  <a14:cameraTool cellRange="picture" spid="_x0000_s213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122419" y="1882140"/>
              <a:ext cx="1089661" cy="11963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5</xdr:col>
      <xdr:colOff>205740</xdr:colOff>
      <xdr:row>0</xdr:row>
      <xdr:rowOff>175260</xdr:rowOff>
    </xdr:from>
    <xdr:to>
      <xdr:col>7</xdr:col>
      <xdr:colOff>434340</xdr:colOff>
      <xdr:row>3</xdr:row>
      <xdr:rowOff>190500</xdr:rowOff>
    </xdr:to>
    <xdr:sp macro="" textlink="">
      <xdr:nvSpPr>
        <xdr:cNvPr id="2" name="Left Arrow 1">
          <a:hlinkClick xmlns:r="http://schemas.openxmlformats.org/officeDocument/2006/relationships" r:id="rId2"/>
        </xdr:cNvPr>
        <xdr:cNvSpPr/>
      </xdr:nvSpPr>
      <xdr:spPr>
        <a:xfrm>
          <a:off x="5394960" y="175260"/>
          <a:ext cx="1447800" cy="640080"/>
        </a:xfrm>
        <a:prstGeom prst="leftArrow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/>
            <a:t>BASIC</a:t>
          </a:r>
        </a:p>
      </xdr:txBody>
    </xdr:sp>
    <xdr:clientData/>
  </xdr:twoCellAnchor>
  <xdr:twoCellAnchor>
    <xdr:from>
      <xdr:col>5</xdr:col>
      <xdr:colOff>198120</xdr:colOff>
      <xdr:row>5</xdr:row>
      <xdr:rowOff>30480</xdr:rowOff>
    </xdr:from>
    <xdr:to>
      <xdr:col>7</xdr:col>
      <xdr:colOff>426720</xdr:colOff>
      <xdr:row>8</xdr:row>
      <xdr:rowOff>45720</xdr:rowOff>
    </xdr:to>
    <xdr:sp macro="" textlink="">
      <xdr:nvSpPr>
        <xdr:cNvPr id="5" name="Left Arrow 4">
          <a:hlinkClick xmlns:r="http://schemas.openxmlformats.org/officeDocument/2006/relationships" r:id="rId3"/>
        </xdr:cNvPr>
        <xdr:cNvSpPr/>
      </xdr:nvSpPr>
      <xdr:spPr>
        <a:xfrm>
          <a:off x="5387340" y="1089660"/>
          <a:ext cx="1447800" cy="640080"/>
        </a:xfrm>
        <a:prstGeom prst="leftArrow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/>
            <a:t>SALERY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mal/AppData/Roaming/Microsoft/AddIns/SpellNumber%20By%20DEEPAK%20EDUWORLD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SpellNumber"/>
    </defined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e2" displayName="Table2" ref="A3:N33" totalsRowShown="0" headerRowDxfId="49" dataDxfId="47" headerRowBorderDxfId="48" tableBorderDxfId="46" totalsRowBorderDxfId="45">
  <autoFilter ref="A3:N33"/>
  <tableColumns count="14">
    <tableColumn id="1" name="SN" dataDxfId="44"/>
    <tableColumn id="2" name="EMPLOYEE ID" dataDxfId="43"/>
    <tableColumn id="3" name="GROUP" dataDxfId="42"/>
    <tableColumn id="4" name="TYPE" dataDxfId="41"/>
    <tableColumn id="5" name="EMPLOYEE NAME" dataDxfId="40"/>
    <tableColumn id="6" name="DATE OF BIRTH" dataDxfId="39"/>
    <tableColumn id="7" name="POST" dataDxfId="38"/>
    <tableColumn id="8" name="PAN NO" dataDxfId="37"/>
    <tableColumn id="9" name="BANK AC NO" dataDxfId="36"/>
    <tableColumn id="10" name="GPF NO" dataDxfId="35"/>
    <tableColumn id="11" name="SI NO" dataDxfId="34"/>
    <tableColumn id="12" name="CPF/PRAN NO" dataDxfId="33"/>
    <tableColumn id="13" name="BASIC PAY" dataDxfId="32"/>
    <tableColumn id="14" name="PHOTO" dataDxfId="3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4:AB35" totalsRowShown="0" headerRowDxfId="30" dataDxfId="29" tableBorderDxfId="28">
  <autoFilter ref="A4:AB35"/>
  <tableColumns count="28">
    <tableColumn id="1" name="SN" dataDxfId="27"/>
    <tableColumn id="2" name="EMPLOYEE NAME" dataDxfId="26">
      <calculatedColumnFormula>VLOOKUP(Table5[[#This Row],[SN]],Table2[#All],2,0)</calculatedColumnFormula>
    </tableColumn>
    <tableColumn id="3" name="GROUP" dataDxfId="25">
      <calculatedColumnFormula>VLOOKUP(Table5[[#This Row],[SN]],Table2[#All],3,0)</calculatedColumnFormula>
    </tableColumn>
    <tableColumn id="4" name="TYPE" dataDxfId="24">
      <calculatedColumnFormula>VLOOKUP(Table5[[#This Row],[SN]],Table2[#All],4,0)</calculatedColumnFormula>
    </tableColumn>
    <tableColumn id="5" name="BASIC PAY" dataDxfId="23">
      <calculatedColumnFormula>VLOOKUP(Table5[[#This Row],[SN]],Table2[#All],13,0)</calculatedColumnFormula>
    </tableColumn>
    <tableColumn id="6" name="DA@12%" dataDxfId="22">
      <calculatedColumnFormula>ROUND(Table5[[#This Row],[BASIC PAY]]*12%,0)</calculatedColumnFormula>
    </tableColumn>
    <tableColumn id="7" name="HRA@8%" dataDxfId="21">
      <calculatedColumnFormula>ROUND(Table5[[#This Row],[BASIC PAY]]*8%,0)</calculatedColumnFormula>
    </tableColumn>
    <tableColumn id="8" name="WASHING ALLOW." dataDxfId="20"/>
    <tableColumn id="9" name="HANDICAP ALLOW." dataDxfId="19"/>
    <tableColumn id="10" name="SPECIAL PAY" dataDxfId="18"/>
    <tableColumn id="11" name="OTHERS" dataDxfId="17"/>
    <tableColumn id="12" name="TOTAL" dataDxfId="16">
      <calculatedColumnFormula>SUM(Table5[[#This Row],[BASIC PAY]:[OTHERS]])</calculatedColumnFormula>
    </tableColumn>
    <tableColumn id="13" name="GPF" dataDxfId="15"/>
    <tableColumn id="14" name="GPF LOAN" dataDxfId="14"/>
    <tableColumn id="15" name="NPS" dataDxfId="13">
      <calculatedColumnFormula>IF(Table5[[#This Row],[TYPE]]="NPS",ROUND((Table5[[#This Row],[BASIC PAY]]+Table5[[#This Row],[DA@12%]])*10%,0),"0")</calculatedColumnFormula>
    </tableColumn>
    <tableColumn id="16" name="SI" dataDxfId="12"/>
    <tableColumn id="17" name="SI LOAN" dataDxfId="11"/>
    <tableColumn id="18" name="RPMF" dataDxfId="10"/>
    <tableColumn id="19" name="LIC" dataDxfId="9"/>
    <tableColumn id="20" name="I.TAX" dataDxfId="8"/>
    <tableColumn id="21" name="GPA" dataDxfId="7"/>
    <tableColumn id="22" name="HOUSING LOAN" dataDxfId="6"/>
    <tableColumn id="27" name="H.L.INTEREST" dataDxfId="5"/>
    <tableColumn id="23" name="DEDUCATION" dataDxfId="4">
      <calculatedColumnFormula>SUM(Table5[[#This Row],[GPF]:[HOUSING LOAN]])</calculatedColumnFormula>
    </tableColumn>
    <tableColumn id="24" name="NET PAY" dataDxfId="3">
      <calculatedColumnFormula>Table5[[#This Row],[TOTAL]]-Table5[[#This Row],[DEDUCATION]]</calculatedColumnFormula>
    </tableColumn>
    <tableColumn id="25" name="BILL NO/DATE" dataDxfId="2"/>
    <tableColumn id="26" name="TV NO/DATE" dataDxfId="1"/>
    <tableColumn id="28" name="SIGN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64"/>
  <sheetViews>
    <sheetView showGridLines="0" topLeftCell="A10" workbookViewId="0">
      <selection activeCell="B12" sqref="B12:I12"/>
    </sheetView>
  </sheetViews>
  <sheetFormatPr defaultRowHeight="14.4" x14ac:dyDescent="0.3"/>
  <cols>
    <col min="1" max="1" width="3.6640625" style="51" customWidth="1"/>
    <col min="9" max="9" width="16.33203125" customWidth="1"/>
  </cols>
  <sheetData>
    <row r="1" spans="1:9" ht="18" x14ac:dyDescent="0.35">
      <c r="A1" s="63" t="s">
        <v>171</v>
      </c>
      <c r="B1" s="63"/>
      <c r="C1" s="63"/>
      <c r="D1" s="63"/>
      <c r="E1" s="63"/>
      <c r="F1" s="63"/>
      <c r="G1" s="63"/>
      <c r="H1" s="63"/>
      <c r="I1" s="63"/>
    </row>
    <row r="2" spans="1:9" ht="18" x14ac:dyDescent="0.35">
      <c r="A2" s="57"/>
      <c r="B2" s="57"/>
      <c r="C2" s="57"/>
      <c r="D2" s="57"/>
      <c r="E2" s="57"/>
      <c r="F2" s="57"/>
      <c r="G2" s="57"/>
      <c r="H2" s="57"/>
      <c r="I2" s="57"/>
    </row>
    <row r="3" spans="1:9" ht="18" x14ac:dyDescent="0.35">
      <c r="A3" s="57"/>
      <c r="B3" s="57"/>
      <c r="C3" s="57"/>
      <c r="D3" s="57"/>
      <c r="E3" s="57"/>
      <c r="F3" s="57"/>
      <c r="G3" s="57"/>
      <c r="H3" s="57"/>
      <c r="I3" s="57"/>
    </row>
    <row r="4" spans="1:9" ht="15.6" x14ac:dyDescent="0.4">
      <c r="A4" s="56">
        <v>1</v>
      </c>
      <c r="B4" s="64" t="s">
        <v>172</v>
      </c>
      <c r="C4" s="64"/>
      <c r="D4" s="64"/>
      <c r="E4" s="64"/>
      <c r="F4" s="64"/>
      <c r="G4" s="64"/>
      <c r="H4" s="64"/>
      <c r="I4" s="64"/>
    </row>
    <row r="5" spans="1:9" ht="15.6" x14ac:dyDescent="0.4">
      <c r="A5" s="53"/>
      <c r="B5" s="59" t="s">
        <v>178</v>
      </c>
      <c r="C5" s="59"/>
      <c r="D5" s="59"/>
      <c r="E5" s="59"/>
      <c r="F5" s="59"/>
      <c r="G5" s="59"/>
      <c r="H5" s="59"/>
      <c r="I5" s="59"/>
    </row>
    <row r="6" spans="1:9" ht="15.6" x14ac:dyDescent="0.4">
      <c r="A6" s="53"/>
      <c r="B6" s="61" t="s">
        <v>173</v>
      </c>
      <c r="C6" s="61"/>
      <c r="D6" s="61"/>
      <c r="E6" s="61"/>
      <c r="F6" s="61"/>
      <c r="G6" s="61"/>
      <c r="H6" s="61"/>
      <c r="I6" s="61"/>
    </row>
    <row r="7" spans="1:9" x14ac:dyDescent="0.3">
      <c r="A7" s="53"/>
      <c r="B7" s="62" t="s">
        <v>180</v>
      </c>
      <c r="C7" s="62"/>
      <c r="D7" s="62"/>
      <c r="E7" s="62"/>
      <c r="F7" s="62"/>
      <c r="G7" s="62"/>
      <c r="H7" s="62"/>
      <c r="I7" s="62"/>
    </row>
    <row r="8" spans="1:9" x14ac:dyDescent="0.3">
      <c r="A8" s="53"/>
      <c r="B8" s="61" t="s">
        <v>179</v>
      </c>
      <c r="C8" s="61"/>
      <c r="D8" s="61"/>
      <c r="E8" s="61"/>
      <c r="F8" s="61"/>
      <c r="G8" s="61"/>
      <c r="H8" s="61"/>
      <c r="I8" s="61"/>
    </row>
    <row r="9" spans="1:9" ht="15.6" x14ac:dyDescent="0.4">
      <c r="A9" s="53">
        <v>2</v>
      </c>
      <c r="B9" s="59" t="s">
        <v>174</v>
      </c>
      <c r="C9" s="59"/>
      <c r="D9" s="59"/>
      <c r="E9" s="59"/>
      <c r="F9" s="59"/>
      <c r="G9" s="59"/>
      <c r="H9" s="59"/>
      <c r="I9" s="59"/>
    </row>
    <row r="10" spans="1:9" ht="15.6" x14ac:dyDescent="0.4">
      <c r="A10" s="53"/>
      <c r="B10" s="59" t="s">
        <v>183</v>
      </c>
      <c r="C10" s="59"/>
      <c r="D10" s="59"/>
      <c r="E10" s="59"/>
      <c r="F10" s="59"/>
      <c r="G10" s="59"/>
      <c r="H10" s="59"/>
      <c r="I10" s="59"/>
    </row>
    <row r="11" spans="1:9" ht="15.6" x14ac:dyDescent="0.4">
      <c r="A11" s="53">
        <v>3</v>
      </c>
      <c r="B11" s="59" t="s">
        <v>175</v>
      </c>
      <c r="C11" s="59"/>
      <c r="D11" s="59"/>
      <c r="E11" s="59"/>
      <c r="F11" s="59"/>
      <c r="G11" s="59"/>
      <c r="H11" s="59"/>
      <c r="I11" s="59"/>
    </row>
    <row r="12" spans="1:9" ht="15.6" x14ac:dyDescent="0.4">
      <c r="A12" s="53">
        <v>4</v>
      </c>
      <c r="B12" s="59" t="s">
        <v>176</v>
      </c>
      <c r="C12" s="59"/>
      <c r="D12" s="59"/>
      <c r="E12" s="59"/>
      <c r="F12" s="59"/>
      <c r="G12" s="59"/>
      <c r="H12" s="59"/>
      <c r="I12" s="59"/>
    </row>
    <row r="13" spans="1:9" x14ac:dyDescent="0.3">
      <c r="A13" s="53"/>
      <c r="B13" s="61" t="s">
        <v>177</v>
      </c>
      <c r="C13" s="61"/>
      <c r="D13" s="61"/>
      <c r="E13" s="61"/>
      <c r="F13" s="61"/>
      <c r="G13" s="61"/>
      <c r="H13" s="61"/>
      <c r="I13" s="61"/>
    </row>
    <row r="14" spans="1:9" ht="15.6" x14ac:dyDescent="0.4">
      <c r="A14" s="53">
        <v>5</v>
      </c>
      <c r="B14" s="58" t="s">
        <v>181</v>
      </c>
      <c r="C14" s="58"/>
      <c r="D14" s="58"/>
      <c r="E14" s="58"/>
      <c r="F14" s="58"/>
      <c r="G14" s="58"/>
      <c r="H14" s="58"/>
      <c r="I14" s="58"/>
    </row>
    <row r="15" spans="1:9" x14ac:dyDescent="0.3">
      <c r="A15" s="53"/>
      <c r="B15" s="59" t="s">
        <v>182</v>
      </c>
      <c r="C15" s="59"/>
      <c r="D15" s="59"/>
      <c r="E15" s="59"/>
      <c r="F15" s="59"/>
      <c r="G15" s="59"/>
      <c r="H15" s="59"/>
      <c r="I15" s="59"/>
    </row>
    <row r="16" spans="1:9" ht="15.6" x14ac:dyDescent="0.4">
      <c r="A16" s="53">
        <v>6</v>
      </c>
      <c r="B16" s="59" t="s">
        <v>186</v>
      </c>
      <c r="C16" s="59"/>
      <c r="D16" s="59"/>
      <c r="E16" s="59"/>
      <c r="F16" s="59"/>
      <c r="G16" s="59"/>
      <c r="H16" s="59"/>
      <c r="I16" s="59"/>
    </row>
    <row r="17" spans="1:9" ht="17.399999999999999" x14ac:dyDescent="0.45">
      <c r="A17" s="53">
        <v>7</v>
      </c>
      <c r="B17" s="60" t="s">
        <v>185</v>
      </c>
      <c r="C17" s="60"/>
      <c r="D17" s="60"/>
      <c r="E17" s="60"/>
      <c r="F17" s="60"/>
      <c r="G17" s="60"/>
      <c r="H17" s="60"/>
      <c r="I17" s="60"/>
    </row>
    <row r="18" spans="1:9" x14ac:dyDescent="0.3">
      <c r="A18" s="53"/>
      <c r="B18" s="52" t="s">
        <v>184</v>
      </c>
      <c r="C18" s="52"/>
      <c r="D18" s="52"/>
      <c r="E18" s="52"/>
      <c r="F18" s="52"/>
      <c r="G18" s="52"/>
      <c r="H18" s="52"/>
      <c r="I18" s="52"/>
    </row>
    <row r="19" spans="1:9" ht="15.6" x14ac:dyDescent="0.4">
      <c r="A19" s="53">
        <v>8</v>
      </c>
      <c r="B19" s="59" t="s">
        <v>188</v>
      </c>
      <c r="C19" s="59"/>
      <c r="D19" s="59"/>
      <c r="E19" s="59"/>
      <c r="F19" s="59"/>
      <c r="G19" s="59"/>
      <c r="H19" s="59"/>
      <c r="I19" s="59"/>
    </row>
    <row r="20" spans="1:9" ht="15.6" x14ac:dyDescent="0.4">
      <c r="A20" s="53">
        <v>9</v>
      </c>
      <c r="B20" s="58" t="s">
        <v>189</v>
      </c>
      <c r="C20" s="58"/>
      <c r="D20" s="58"/>
      <c r="E20" s="58"/>
      <c r="F20" s="58"/>
      <c r="G20" s="58"/>
      <c r="H20" s="58"/>
      <c r="I20" s="58"/>
    </row>
    <row r="21" spans="1:9" x14ac:dyDescent="0.3">
      <c r="A21" s="53"/>
      <c r="B21" s="58" t="s">
        <v>190</v>
      </c>
      <c r="C21" s="58"/>
      <c r="D21" s="58"/>
      <c r="E21" s="58"/>
      <c r="F21" s="58"/>
      <c r="G21" s="58"/>
      <c r="H21" s="58"/>
      <c r="I21" s="58"/>
    </row>
    <row r="22" spans="1:9" x14ac:dyDescent="0.3">
      <c r="A22" s="53"/>
      <c r="B22" s="52"/>
      <c r="C22" s="52"/>
      <c r="D22" s="52"/>
      <c r="E22" s="52"/>
      <c r="F22" s="52"/>
      <c r="G22" s="52"/>
      <c r="H22" s="52"/>
      <c r="I22" s="52"/>
    </row>
    <row r="23" spans="1:9" x14ac:dyDescent="0.3">
      <c r="A23" s="53"/>
      <c r="B23" s="52"/>
      <c r="C23" s="52"/>
      <c r="D23" s="52"/>
      <c r="E23" s="52"/>
      <c r="F23" s="52"/>
      <c r="G23" s="52"/>
      <c r="H23" s="52"/>
      <c r="I23" s="52"/>
    </row>
    <row r="24" spans="1:9" x14ac:dyDescent="0.3">
      <c r="A24" s="53"/>
      <c r="B24" s="52"/>
      <c r="C24" s="52"/>
      <c r="D24" s="52"/>
      <c r="E24" s="52"/>
      <c r="F24" s="52"/>
      <c r="G24" s="52"/>
      <c r="H24" s="52"/>
      <c r="I24" s="52"/>
    </row>
    <row r="25" spans="1:9" x14ac:dyDescent="0.3">
      <c r="A25" s="53"/>
      <c r="B25" s="52"/>
      <c r="C25" s="52"/>
      <c r="D25" s="52"/>
      <c r="E25" s="52"/>
      <c r="F25" s="52"/>
      <c r="G25" s="52"/>
      <c r="H25" s="52"/>
      <c r="I25" s="52"/>
    </row>
    <row r="26" spans="1:9" x14ac:dyDescent="0.3">
      <c r="A26" s="53"/>
      <c r="B26" s="52"/>
      <c r="C26" s="52"/>
      <c r="D26" s="52"/>
      <c r="E26" s="52"/>
      <c r="F26" s="52"/>
      <c r="G26" s="52"/>
      <c r="H26" s="52"/>
      <c r="I26" s="52"/>
    </row>
    <row r="27" spans="1:9" x14ac:dyDescent="0.3">
      <c r="A27" s="53"/>
      <c r="B27" s="52"/>
      <c r="C27" s="52"/>
      <c r="D27" s="52"/>
      <c r="E27" s="52"/>
      <c r="F27" s="52"/>
      <c r="G27" s="52"/>
      <c r="H27" s="52"/>
      <c r="I27" s="52"/>
    </row>
    <row r="28" spans="1:9" x14ac:dyDescent="0.3">
      <c r="A28" s="53"/>
      <c r="B28" s="52"/>
      <c r="C28" s="52"/>
      <c r="D28" s="52"/>
      <c r="E28" s="52"/>
      <c r="F28" s="52"/>
      <c r="G28" s="52"/>
      <c r="H28" s="52"/>
      <c r="I28" s="52"/>
    </row>
    <row r="29" spans="1:9" x14ac:dyDescent="0.3">
      <c r="A29" s="53"/>
      <c r="B29" s="58" t="s">
        <v>191</v>
      </c>
      <c r="C29" s="58"/>
      <c r="D29" s="58"/>
      <c r="E29" s="58"/>
      <c r="F29" s="58"/>
      <c r="G29" s="58"/>
      <c r="H29" s="58"/>
      <c r="I29" s="52"/>
    </row>
    <row r="30" spans="1:9" x14ac:dyDescent="0.3">
      <c r="A30" s="53"/>
      <c r="B30" s="52"/>
      <c r="C30" s="52"/>
      <c r="D30" s="52"/>
      <c r="E30" s="52"/>
      <c r="F30" s="52"/>
      <c r="G30" s="52"/>
      <c r="H30" s="52"/>
      <c r="I30" s="52"/>
    </row>
    <row r="31" spans="1:9" x14ac:dyDescent="0.3">
      <c r="A31" s="53"/>
      <c r="B31" s="52"/>
      <c r="C31" s="52"/>
      <c r="D31" s="52"/>
      <c r="E31" s="52"/>
      <c r="F31" s="52"/>
      <c r="G31" s="52"/>
      <c r="H31" s="52"/>
      <c r="I31" s="52"/>
    </row>
    <row r="32" spans="1:9" x14ac:dyDescent="0.3">
      <c r="A32" s="53"/>
      <c r="B32" s="52"/>
      <c r="C32" s="52"/>
      <c r="D32" s="52"/>
      <c r="E32" s="52"/>
      <c r="F32" s="52"/>
      <c r="G32" s="52"/>
      <c r="H32" s="52"/>
      <c r="I32" s="52"/>
    </row>
    <row r="33" spans="1:9" x14ac:dyDescent="0.3">
      <c r="A33" s="53"/>
      <c r="B33" s="52"/>
      <c r="C33" s="52"/>
      <c r="D33" s="52"/>
      <c r="E33" s="52"/>
      <c r="F33" s="52"/>
      <c r="G33" s="52"/>
      <c r="H33" s="52"/>
      <c r="I33" s="52"/>
    </row>
    <row r="34" spans="1:9" x14ac:dyDescent="0.3">
      <c r="A34" s="53"/>
      <c r="B34" s="52"/>
      <c r="C34" s="52"/>
      <c r="D34" s="52"/>
      <c r="E34" s="52"/>
      <c r="F34" s="52"/>
      <c r="G34" s="52"/>
      <c r="H34" s="52"/>
      <c r="I34" s="52"/>
    </row>
    <row r="35" spans="1:9" x14ac:dyDescent="0.3">
      <c r="A35" s="53"/>
      <c r="B35" s="52"/>
      <c r="C35" s="52"/>
      <c r="D35" s="52"/>
      <c r="E35" s="52"/>
      <c r="F35" s="52"/>
      <c r="G35" s="52"/>
      <c r="H35" s="52"/>
      <c r="I35" s="52"/>
    </row>
    <row r="36" spans="1:9" x14ac:dyDescent="0.3">
      <c r="A36" s="53"/>
      <c r="B36" s="52"/>
      <c r="C36" s="52"/>
      <c r="D36" s="52"/>
      <c r="E36" s="52"/>
      <c r="F36" s="52"/>
      <c r="G36" s="52"/>
      <c r="H36" s="52"/>
      <c r="I36" s="52"/>
    </row>
    <row r="37" spans="1:9" x14ac:dyDescent="0.3">
      <c r="A37" s="53"/>
      <c r="B37" s="52"/>
      <c r="C37" s="52"/>
      <c r="D37" s="52"/>
      <c r="E37" s="52"/>
      <c r="F37" s="52"/>
      <c r="G37" s="52"/>
      <c r="H37" s="52"/>
      <c r="I37" s="52"/>
    </row>
    <row r="38" spans="1:9" x14ac:dyDescent="0.3">
      <c r="A38" s="53"/>
      <c r="B38" s="52"/>
      <c r="C38" s="52"/>
      <c r="D38" s="52"/>
      <c r="E38" s="52"/>
      <c r="F38" s="52"/>
      <c r="G38" s="52"/>
      <c r="H38" s="52"/>
      <c r="I38" s="52"/>
    </row>
    <row r="39" spans="1:9" x14ac:dyDescent="0.3">
      <c r="A39" s="53"/>
      <c r="B39" s="52"/>
      <c r="C39" s="52"/>
      <c r="D39" s="52"/>
      <c r="E39" s="52"/>
      <c r="F39" s="52"/>
      <c r="G39" s="52"/>
      <c r="H39" s="52"/>
      <c r="I39" s="52"/>
    </row>
    <row r="40" spans="1:9" x14ac:dyDescent="0.3">
      <c r="A40" s="53"/>
      <c r="B40" s="52"/>
      <c r="C40" s="52"/>
      <c r="D40" s="52"/>
      <c r="E40" s="52"/>
      <c r="F40" s="52"/>
      <c r="G40" s="52"/>
      <c r="H40" s="52"/>
      <c r="I40" s="52"/>
    </row>
    <row r="41" spans="1:9" x14ac:dyDescent="0.3">
      <c r="A41" s="53"/>
      <c r="B41" s="52"/>
      <c r="C41" s="52"/>
      <c r="D41" s="52"/>
      <c r="E41" s="52"/>
      <c r="F41" s="52"/>
      <c r="G41" s="52"/>
      <c r="H41" s="52"/>
      <c r="I41" s="52"/>
    </row>
    <row r="42" spans="1:9" x14ac:dyDescent="0.3">
      <c r="A42" s="53"/>
      <c r="B42" s="52"/>
      <c r="C42" s="52"/>
      <c r="D42" s="52"/>
      <c r="E42" s="52"/>
      <c r="F42" s="52"/>
      <c r="G42" s="52"/>
      <c r="H42" s="52"/>
      <c r="I42" s="52"/>
    </row>
    <row r="43" spans="1:9" x14ac:dyDescent="0.3">
      <c r="A43" s="53"/>
      <c r="B43" s="52"/>
      <c r="C43" s="52"/>
      <c r="D43" s="52"/>
      <c r="E43" s="52"/>
      <c r="F43" s="52"/>
      <c r="G43" s="52"/>
      <c r="H43" s="52"/>
      <c r="I43" s="52"/>
    </row>
    <row r="44" spans="1:9" x14ac:dyDescent="0.3">
      <c r="A44" s="53"/>
      <c r="B44" s="52"/>
      <c r="C44" s="52"/>
      <c r="D44" s="52"/>
      <c r="E44" s="52"/>
      <c r="F44" s="52"/>
      <c r="G44" s="52"/>
      <c r="H44" s="52"/>
      <c r="I44" s="52"/>
    </row>
    <row r="45" spans="1:9" x14ac:dyDescent="0.3">
      <c r="A45" s="53"/>
      <c r="B45" s="52"/>
      <c r="C45" s="52"/>
      <c r="D45" s="52"/>
      <c r="E45" s="52"/>
      <c r="F45" s="52"/>
      <c r="G45" s="52"/>
      <c r="H45" s="52"/>
      <c r="I45" s="52"/>
    </row>
    <row r="46" spans="1:9" x14ac:dyDescent="0.3">
      <c r="A46" s="53"/>
      <c r="B46" s="52"/>
      <c r="C46" s="52"/>
      <c r="D46" s="52"/>
      <c r="E46" s="52"/>
      <c r="F46" s="52"/>
      <c r="G46" s="52"/>
      <c r="H46" s="52"/>
      <c r="I46" s="52"/>
    </row>
    <row r="47" spans="1:9" x14ac:dyDescent="0.3">
      <c r="A47" s="53"/>
      <c r="B47" s="52"/>
      <c r="C47" s="52"/>
      <c r="D47" s="52"/>
      <c r="E47" s="52"/>
      <c r="F47" s="52"/>
      <c r="G47" s="52"/>
      <c r="H47" s="52"/>
      <c r="I47" s="52"/>
    </row>
    <row r="48" spans="1:9" x14ac:dyDescent="0.3">
      <c r="A48" s="53"/>
      <c r="B48" s="52"/>
      <c r="C48" s="52"/>
      <c r="D48" s="52"/>
      <c r="E48" s="52"/>
      <c r="F48" s="52"/>
      <c r="G48" s="52"/>
      <c r="H48" s="52"/>
      <c r="I48" s="52"/>
    </row>
    <row r="49" spans="1:9" x14ac:dyDescent="0.3">
      <c r="A49" s="53"/>
      <c r="B49" s="52"/>
      <c r="C49" s="52"/>
      <c r="D49" s="52"/>
      <c r="E49" s="52"/>
      <c r="F49" s="52"/>
      <c r="G49" s="52"/>
      <c r="H49" s="52"/>
      <c r="I49" s="52"/>
    </row>
    <row r="50" spans="1:9" x14ac:dyDescent="0.3">
      <c r="A50" s="53"/>
      <c r="B50" s="52"/>
      <c r="C50" s="52"/>
      <c r="D50" s="52"/>
      <c r="E50" s="52"/>
      <c r="F50" s="52"/>
      <c r="G50" s="52"/>
      <c r="H50" s="52"/>
      <c r="I50" s="52"/>
    </row>
    <row r="51" spans="1:9" x14ac:dyDescent="0.3">
      <c r="A51" s="53"/>
      <c r="B51" s="52"/>
      <c r="C51" s="52"/>
      <c r="D51" s="52"/>
      <c r="E51" s="52"/>
      <c r="F51" s="52"/>
      <c r="G51" s="52"/>
      <c r="H51" s="52"/>
      <c r="I51" s="52"/>
    </row>
    <row r="52" spans="1:9" x14ac:dyDescent="0.3">
      <c r="A52" s="53"/>
      <c r="B52" s="52"/>
      <c r="C52" s="52"/>
      <c r="D52" s="52"/>
      <c r="E52" s="52"/>
      <c r="F52" s="52"/>
      <c r="G52" s="52"/>
      <c r="H52" s="52"/>
      <c r="I52" s="52"/>
    </row>
    <row r="53" spans="1:9" x14ac:dyDescent="0.3">
      <c r="A53" s="53"/>
      <c r="B53" s="52"/>
      <c r="C53" s="52"/>
      <c r="D53" s="52"/>
      <c r="E53" s="52"/>
      <c r="F53" s="52"/>
      <c r="G53" s="52"/>
      <c r="H53" s="52"/>
      <c r="I53" s="52"/>
    </row>
    <row r="54" spans="1:9" x14ac:dyDescent="0.3">
      <c r="A54" s="53"/>
      <c r="B54" s="52"/>
      <c r="C54" s="52"/>
      <c r="D54" s="52"/>
      <c r="E54" s="52"/>
      <c r="F54" s="52"/>
      <c r="G54" s="52"/>
      <c r="H54" s="52"/>
      <c r="I54" s="52"/>
    </row>
    <row r="55" spans="1:9" x14ac:dyDescent="0.3">
      <c r="A55" s="53"/>
      <c r="B55" s="52"/>
      <c r="C55" s="52"/>
      <c r="D55" s="52"/>
      <c r="E55" s="52"/>
      <c r="F55" s="52"/>
      <c r="G55" s="52"/>
      <c r="H55" s="52"/>
      <c r="I55" s="52"/>
    </row>
    <row r="56" spans="1:9" x14ac:dyDescent="0.3">
      <c r="A56" s="53"/>
      <c r="B56" s="52"/>
      <c r="C56" s="52"/>
      <c r="D56" s="52"/>
      <c r="E56" s="52"/>
      <c r="F56" s="52"/>
      <c r="G56" s="52"/>
      <c r="H56" s="52"/>
      <c r="I56" s="52"/>
    </row>
    <row r="57" spans="1:9" x14ac:dyDescent="0.3">
      <c r="A57" s="53"/>
      <c r="B57" s="52"/>
      <c r="C57" s="52"/>
      <c r="D57" s="52"/>
      <c r="E57" s="52"/>
      <c r="F57" s="52"/>
      <c r="G57" s="52"/>
      <c r="H57" s="52"/>
      <c r="I57" s="52"/>
    </row>
    <row r="58" spans="1:9" x14ac:dyDescent="0.3">
      <c r="A58" s="53"/>
      <c r="B58" s="52"/>
      <c r="C58" s="52"/>
      <c r="D58" s="52"/>
      <c r="E58" s="52"/>
      <c r="F58" s="52"/>
      <c r="G58" s="52"/>
      <c r="H58" s="52"/>
      <c r="I58" s="52"/>
    </row>
    <row r="59" spans="1:9" x14ac:dyDescent="0.3">
      <c r="A59" s="53"/>
      <c r="B59" s="52"/>
      <c r="C59" s="52"/>
      <c r="D59" s="52"/>
      <c r="E59" s="52"/>
      <c r="F59" s="52"/>
      <c r="G59" s="52"/>
      <c r="H59" s="52"/>
      <c r="I59" s="52"/>
    </row>
    <row r="60" spans="1:9" x14ac:dyDescent="0.3">
      <c r="A60" s="53"/>
      <c r="B60" s="52"/>
      <c r="C60" s="52"/>
      <c r="D60" s="52"/>
      <c r="E60" s="52"/>
      <c r="F60" s="52"/>
      <c r="G60" s="52"/>
      <c r="H60" s="52"/>
      <c r="I60" s="52"/>
    </row>
    <row r="61" spans="1:9" x14ac:dyDescent="0.3">
      <c r="A61" s="53"/>
      <c r="B61" s="52"/>
      <c r="C61" s="52"/>
      <c r="D61" s="52"/>
      <c r="E61" s="52"/>
      <c r="F61" s="52"/>
      <c r="G61" s="52"/>
      <c r="H61" s="52"/>
      <c r="I61" s="52"/>
    </row>
    <row r="62" spans="1:9" x14ac:dyDescent="0.3">
      <c r="A62" s="53"/>
      <c r="B62" s="52"/>
      <c r="C62" s="52"/>
      <c r="D62" s="52"/>
      <c r="E62" s="52"/>
      <c r="F62" s="52"/>
      <c r="G62" s="52"/>
      <c r="H62" s="52"/>
      <c r="I62" s="52"/>
    </row>
    <row r="63" spans="1:9" x14ac:dyDescent="0.3">
      <c r="A63" s="53"/>
      <c r="B63" s="52"/>
      <c r="C63" s="52"/>
      <c r="D63" s="52"/>
      <c r="E63" s="52"/>
      <c r="F63" s="52"/>
      <c r="G63" s="52"/>
      <c r="H63" s="52"/>
      <c r="I63" s="52"/>
    </row>
    <row r="64" spans="1:9" x14ac:dyDescent="0.3">
      <c r="A64" s="53"/>
      <c r="B64" s="52"/>
      <c r="C64" s="52"/>
      <c r="D64" s="52"/>
      <c r="E64" s="52"/>
      <c r="F64" s="52"/>
      <c r="G64" s="52"/>
      <c r="H64" s="52"/>
      <c r="I64" s="52"/>
    </row>
  </sheetData>
  <sheetProtection password="CDEE" sheet="1" objects="1" scenarios="1"/>
  <mergeCells count="19">
    <mergeCell ref="B9:I9"/>
    <mergeCell ref="B7:I7"/>
    <mergeCell ref="B8:I8"/>
    <mergeCell ref="A1:I1"/>
    <mergeCell ref="B4:I4"/>
    <mergeCell ref="B5:I5"/>
    <mergeCell ref="B6:I6"/>
    <mergeCell ref="B21:I21"/>
    <mergeCell ref="B29:H29"/>
    <mergeCell ref="B15:I15"/>
    <mergeCell ref="B16:I16"/>
    <mergeCell ref="B10:I10"/>
    <mergeCell ref="B17:I17"/>
    <mergeCell ref="B19:I19"/>
    <mergeCell ref="B20:I20"/>
    <mergeCell ref="B11:I11"/>
    <mergeCell ref="B12:I12"/>
    <mergeCell ref="B13:I13"/>
    <mergeCell ref="B14:I1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3"/>
  <sheetViews>
    <sheetView showGridLines="0" topLeftCell="A13" zoomScale="90" zoomScaleNormal="90" workbookViewId="0">
      <selection activeCell="E23" sqref="E23"/>
    </sheetView>
  </sheetViews>
  <sheetFormatPr defaultRowHeight="14.4" x14ac:dyDescent="0.3"/>
  <cols>
    <col min="1" max="1" width="5" customWidth="1"/>
    <col min="2" max="2" width="15.33203125" customWidth="1"/>
    <col min="3" max="3" width="7.109375" customWidth="1"/>
    <col min="4" max="4" width="6.44140625" customWidth="1"/>
    <col min="5" max="5" width="27.33203125" customWidth="1"/>
    <col min="6" max="6" width="9" customWidth="1"/>
    <col min="7" max="7" width="9.5546875" customWidth="1"/>
    <col min="8" max="8" width="12.44140625" customWidth="1"/>
    <col min="9" max="9" width="11.88671875" customWidth="1"/>
    <col min="10" max="10" width="7.6640625" customWidth="1"/>
    <col min="11" max="11" width="8" customWidth="1"/>
    <col min="12" max="12" width="11.33203125" customWidth="1"/>
    <col min="13" max="13" width="8.6640625" customWidth="1"/>
    <col min="14" max="14" width="7.77734375" customWidth="1"/>
  </cols>
  <sheetData>
    <row r="1" spans="1:14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x14ac:dyDescent="0.3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s="3" customFormat="1" ht="36.6" customHeight="1" x14ac:dyDescent="0.3">
      <c r="A3" s="14" t="s">
        <v>2</v>
      </c>
      <c r="B3" s="15" t="s">
        <v>3</v>
      </c>
      <c r="C3" s="15" t="s">
        <v>4</v>
      </c>
      <c r="D3" s="15" t="s">
        <v>87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15" t="s">
        <v>12</v>
      </c>
      <c r="M3" s="15" t="s">
        <v>13</v>
      </c>
      <c r="N3" s="16" t="s">
        <v>14</v>
      </c>
    </row>
    <row r="4" spans="1:14" s="3" customFormat="1" ht="40.049999999999997" customHeight="1" x14ac:dyDescent="0.3">
      <c r="A4" s="4">
        <v>1</v>
      </c>
      <c r="B4" s="5" t="s">
        <v>15</v>
      </c>
      <c r="C4" s="5" t="s">
        <v>16</v>
      </c>
      <c r="D4" s="5" t="s">
        <v>88</v>
      </c>
      <c r="E4" s="12" t="s">
        <v>17</v>
      </c>
      <c r="F4" s="1">
        <v>28435</v>
      </c>
      <c r="G4" s="5" t="s">
        <v>18</v>
      </c>
      <c r="H4" s="5" t="s">
        <v>19</v>
      </c>
      <c r="I4" s="6">
        <v>51079619974</v>
      </c>
      <c r="J4" s="5">
        <v>989024</v>
      </c>
      <c r="K4" s="5">
        <v>997065</v>
      </c>
      <c r="L4" s="6"/>
      <c r="M4" s="5">
        <v>63100</v>
      </c>
      <c r="N4" s="7"/>
    </row>
    <row r="5" spans="1:14" s="3" customFormat="1" ht="40.049999999999997" customHeight="1" x14ac:dyDescent="0.3">
      <c r="A5" s="4">
        <v>2</v>
      </c>
      <c r="B5" s="5" t="s">
        <v>20</v>
      </c>
      <c r="C5" s="5" t="s">
        <v>16</v>
      </c>
      <c r="D5" s="5" t="s">
        <v>88</v>
      </c>
      <c r="E5" s="12" t="s">
        <v>21</v>
      </c>
      <c r="F5" s="1">
        <v>23715</v>
      </c>
      <c r="G5" s="5" t="s">
        <v>18</v>
      </c>
      <c r="H5" s="5" t="s">
        <v>22</v>
      </c>
      <c r="I5" s="6">
        <v>51082533159</v>
      </c>
      <c r="J5" s="5">
        <v>582328</v>
      </c>
      <c r="K5" s="5">
        <v>551826</v>
      </c>
      <c r="L5" s="6"/>
      <c r="M5" s="5">
        <v>71300</v>
      </c>
      <c r="N5" s="7"/>
    </row>
    <row r="6" spans="1:14" s="3" customFormat="1" ht="40.049999999999997" customHeight="1" x14ac:dyDescent="0.3">
      <c r="A6" s="4">
        <v>3</v>
      </c>
      <c r="B6" s="5" t="s">
        <v>23</v>
      </c>
      <c r="C6" s="5" t="s">
        <v>16</v>
      </c>
      <c r="D6" s="5" t="s">
        <v>88</v>
      </c>
      <c r="E6" s="12" t="s">
        <v>24</v>
      </c>
      <c r="F6" s="1">
        <v>27651</v>
      </c>
      <c r="G6" s="5" t="s">
        <v>18</v>
      </c>
      <c r="H6" s="5" t="s">
        <v>25</v>
      </c>
      <c r="I6" s="6">
        <v>51041014530</v>
      </c>
      <c r="J6" s="5">
        <v>1039516</v>
      </c>
      <c r="K6" s="5">
        <v>946620</v>
      </c>
      <c r="L6" s="6"/>
      <c r="M6" s="5">
        <v>50800</v>
      </c>
      <c r="N6" s="7"/>
    </row>
    <row r="7" spans="1:14" s="3" customFormat="1" ht="40.049999999999997" customHeight="1" x14ac:dyDescent="0.3">
      <c r="A7" s="4">
        <v>4</v>
      </c>
      <c r="B7" s="5" t="s">
        <v>26</v>
      </c>
      <c r="C7" s="5" t="s">
        <v>16</v>
      </c>
      <c r="D7" s="5" t="s">
        <v>88</v>
      </c>
      <c r="E7" s="12" t="s">
        <v>27</v>
      </c>
      <c r="F7" s="1">
        <v>22671</v>
      </c>
      <c r="G7" s="5" t="s">
        <v>28</v>
      </c>
      <c r="H7" s="5" t="s">
        <v>29</v>
      </c>
      <c r="I7" s="6">
        <v>51076659681</v>
      </c>
      <c r="J7" s="5">
        <v>889628</v>
      </c>
      <c r="K7" s="5">
        <v>726859</v>
      </c>
      <c r="L7" s="6"/>
      <c r="M7" s="5">
        <v>33700</v>
      </c>
      <c r="N7" s="7"/>
    </row>
    <row r="8" spans="1:14" s="3" customFormat="1" ht="40.049999999999997" customHeight="1" x14ac:dyDescent="0.3">
      <c r="A8" s="4">
        <v>5</v>
      </c>
      <c r="B8" s="5" t="s">
        <v>30</v>
      </c>
      <c r="C8" s="5" t="s">
        <v>16</v>
      </c>
      <c r="D8" s="5" t="s">
        <v>88</v>
      </c>
      <c r="E8" s="12" t="s">
        <v>31</v>
      </c>
      <c r="F8" s="1">
        <v>22433</v>
      </c>
      <c r="G8" s="5" t="s">
        <v>28</v>
      </c>
      <c r="H8" s="5" t="s">
        <v>32</v>
      </c>
      <c r="I8" s="6">
        <v>51076670343</v>
      </c>
      <c r="J8" s="5">
        <v>710178</v>
      </c>
      <c r="K8" s="5">
        <v>742765</v>
      </c>
      <c r="L8" s="6"/>
      <c r="M8" s="5">
        <v>31100</v>
      </c>
      <c r="N8" s="7"/>
    </row>
    <row r="9" spans="1:14" s="3" customFormat="1" ht="40.049999999999997" customHeight="1" x14ac:dyDescent="0.3">
      <c r="A9" s="4">
        <v>6</v>
      </c>
      <c r="B9" s="5" t="s">
        <v>33</v>
      </c>
      <c r="C9" s="5" t="s">
        <v>16</v>
      </c>
      <c r="D9" s="5" t="s">
        <v>89</v>
      </c>
      <c r="E9" s="12" t="s">
        <v>34</v>
      </c>
      <c r="F9" s="1">
        <v>31088</v>
      </c>
      <c r="G9" s="5" t="s">
        <v>35</v>
      </c>
      <c r="H9" s="5" t="s">
        <v>36</v>
      </c>
      <c r="I9" s="6">
        <v>51106308530</v>
      </c>
      <c r="J9" s="5"/>
      <c r="K9" s="5">
        <v>1189129</v>
      </c>
      <c r="L9" s="6">
        <v>110014826155</v>
      </c>
      <c r="M9" s="5">
        <v>41300</v>
      </c>
      <c r="N9" s="7"/>
    </row>
    <row r="10" spans="1:14" s="3" customFormat="1" ht="40.049999999999997" customHeight="1" x14ac:dyDescent="0.3">
      <c r="A10" s="4">
        <v>7</v>
      </c>
      <c r="B10" s="5" t="s">
        <v>37</v>
      </c>
      <c r="C10" s="5" t="s">
        <v>16</v>
      </c>
      <c r="D10" s="5" t="s">
        <v>89</v>
      </c>
      <c r="E10" s="12" t="s">
        <v>38</v>
      </c>
      <c r="F10" s="1">
        <v>29954</v>
      </c>
      <c r="G10" s="5" t="s">
        <v>39</v>
      </c>
      <c r="H10" s="5" t="s">
        <v>40</v>
      </c>
      <c r="I10" s="6">
        <v>61038781780</v>
      </c>
      <c r="J10" s="5"/>
      <c r="K10" s="5">
        <v>1078881</v>
      </c>
      <c r="L10" s="6">
        <v>110061587390</v>
      </c>
      <c r="M10" s="5">
        <v>42500</v>
      </c>
      <c r="N10" s="7"/>
    </row>
    <row r="11" spans="1:14" s="3" customFormat="1" ht="40.049999999999997" customHeight="1" x14ac:dyDescent="0.3">
      <c r="A11" s="4">
        <v>8</v>
      </c>
      <c r="B11" s="5" t="s">
        <v>41</v>
      </c>
      <c r="C11" s="5" t="s">
        <v>16</v>
      </c>
      <c r="D11" s="5" t="s">
        <v>89</v>
      </c>
      <c r="E11" s="12" t="s">
        <v>42</v>
      </c>
      <c r="F11" s="1">
        <v>30926</v>
      </c>
      <c r="G11" s="5" t="s">
        <v>39</v>
      </c>
      <c r="H11" s="5" t="s">
        <v>43</v>
      </c>
      <c r="I11" s="6">
        <v>61167879676</v>
      </c>
      <c r="J11" s="5"/>
      <c r="K11" s="5">
        <v>1274041</v>
      </c>
      <c r="L11" s="6">
        <v>110077154303</v>
      </c>
      <c r="M11" s="5">
        <v>38000</v>
      </c>
      <c r="N11" s="7"/>
    </row>
    <row r="12" spans="1:14" s="3" customFormat="1" ht="40.049999999999997" customHeight="1" x14ac:dyDescent="0.3">
      <c r="A12" s="4">
        <v>9</v>
      </c>
      <c r="B12" s="5" t="s">
        <v>44</v>
      </c>
      <c r="C12" s="5" t="s">
        <v>16</v>
      </c>
      <c r="D12" s="5" t="s">
        <v>89</v>
      </c>
      <c r="E12" s="12" t="s">
        <v>45</v>
      </c>
      <c r="F12" s="1">
        <v>28656</v>
      </c>
      <c r="G12" s="5" t="s">
        <v>46</v>
      </c>
      <c r="H12" s="5" t="s">
        <v>47</v>
      </c>
      <c r="I12" s="6">
        <v>51076671223</v>
      </c>
      <c r="J12" s="5"/>
      <c r="K12" s="5">
        <v>1050491</v>
      </c>
      <c r="L12" s="6">
        <v>110051586507</v>
      </c>
      <c r="M12" s="5">
        <v>49300</v>
      </c>
      <c r="N12" s="7"/>
    </row>
    <row r="13" spans="1:14" s="3" customFormat="1" ht="40.049999999999997" customHeight="1" x14ac:dyDescent="0.3">
      <c r="A13" s="4">
        <v>10</v>
      </c>
      <c r="B13" s="5" t="s">
        <v>48</v>
      </c>
      <c r="C13" s="5" t="s">
        <v>16</v>
      </c>
      <c r="D13" s="5" t="s">
        <v>89</v>
      </c>
      <c r="E13" s="12" t="s">
        <v>49</v>
      </c>
      <c r="F13" s="1">
        <v>34267</v>
      </c>
      <c r="G13" s="5" t="s">
        <v>46</v>
      </c>
      <c r="H13" s="5" t="s">
        <v>50</v>
      </c>
      <c r="I13" s="6">
        <v>51104382618</v>
      </c>
      <c r="J13" s="5"/>
      <c r="K13" s="5">
        <v>1221692</v>
      </c>
      <c r="L13" s="6">
        <v>110044651914</v>
      </c>
      <c r="M13" s="5">
        <v>38000</v>
      </c>
      <c r="N13" s="7"/>
    </row>
    <row r="14" spans="1:14" s="3" customFormat="1" ht="40.049999999999997" customHeight="1" x14ac:dyDescent="0.3">
      <c r="A14" s="4">
        <v>11</v>
      </c>
      <c r="B14" s="5" t="s">
        <v>51</v>
      </c>
      <c r="C14" s="5" t="s">
        <v>52</v>
      </c>
      <c r="D14" s="5" t="s">
        <v>88</v>
      </c>
      <c r="E14" s="12" t="s">
        <v>53</v>
      </c>
      <c r="F14" s="1">
        <v>23901</v>
      </c>
      <c r="G14" s="5" t="s">
        <v>54</v>
      </c>
      <c r="H14" s="5" t="s">
        <v>55</v>
      </c>
      <c r="I14" s="6">
        <v>51053525358</v>
      </c>
      <c r="J14" s="5">
        <v>582344</v>
      </c>
      <c r="K14" s="5">
        <v>551822</v>
      </c>
      <c r="L14" s="6"/>
      <c r="M14" s="5">
        <v>69200</v>
      </c>
      <c r="N14" s="7"/>
    </row>
    <row r="15" spans="1:14" s="3" customFormat="1" ht="40.049999999999997" customHeight="1" x14ac:dyDescent="0.3">
      <c r="A15" s="4">
        <v>12</v>
      </c>
      <c r="B15" s="5" t="s">
        <v>56</v>
      </c>
      <c r="C15" s="5" t="s">
        <v>52</v>
      </c>
      <c r="D15" s="5" t="s">
        <v>89</v>
      </c>
      <c r="E15" s="12" t="s">
        <v>57</v>
      </c>
      <c r="F15" s="1">
        <v>28025</v>
      </c>
      <c r="G15" s="5" t="s">
        <v>54</v>
      </c>
      <c r="H15" s="5" t="s">
        <v>58</v>
      </c>
      <c r="I15" s="6">
        <v>51053684239</v>
      </c>
      <c r="J15" s="5"/>
      <c r="K15" s="5">
        <v>1049448</v>
      </c>
      <c r="L15" s="6">
        <v>110061741399</v>
      </c>
      <c r="M15" s="5">
        <v>49300</v>
      </c>
      <c r="N15" s="7"/>
    </row>
    <row r="16" spans="1:14" s="3" customFormat="1" ht="40.049999999999997" customHeight="1" x14ac:dyDescent="0.3">
      <c r="A16" s="4">
        <v>13</v>
      </c>
      <c r="B16" s="5" t="s">
        <v>59</v>
      </c>
      <c r="C16" s="5" t="s">
        <v>52</v>
      </c>
      <c r="D16" s="5" t="s">
        <v>88</v>
      </c>
      <c r="E16" s="12" t="s">
        <v>60</v>
      </c>
      <c r="F16" s="1">
        <v>22992</v>
      </c>
      <c r="G16" s="5" t="s">
        <v>54</v>
      </c>
      <c r="H16" s="5" t="s">
        <v>61</v>
      </c>
      <c r="I16" s="6">
        <v>51076662059</v>
      </c>
      <c r="J16" s="5">
        <v>660083</v>
      </c>
      <c r="K16" s="5">
        <v>640782</v>
      </c>
      <c r="L16" s="6"/>
      <c r="M16" s="5">
        <v>67200</v>
      </c>
      <c r="N16" s="7"/>
    </row>
    <row r="17" spans="1:14" s="3" customFormat="1" ht="40.049999999999997" customHeight="1" x14ac:dyDescent="0.3">
      <c r="A17" s="4">
        <v>14</v>
      </c>
      <c r="B17" s="5" t="s">
        <v>62</v>
      </c>
      <c r="C17" s="5" t="s">
        <v>63</v>
      </c>
      <c r="D17" s="5" t="s">
        <v>89</v>
      </c>
      <c r="E17" s="12" t="s">
        <v>64</v>
      </c>
      <c r="F17" s="1">
        <v>27987</v>
      </c>
      <c r="G17" s="5" t="s">
        <v>18</v>
      </c>
      <c r="H17" s="5" t="s">
        <v>65</v>
      </c>
      <c r="I17" s="6">
        <v>61043131564</v>
      </c>
      <c r="J17" s="5"/>
      <c r="K17" s="5">
        <v>1078888</v>
      </c>
      <c r="L17" s="6">
        <v>110081734452</v>
      </c>
      <c r="M17" s="5">
        <v>45600</v>
      </c>
      <c r="N17" s="7"/>
    </row>
    <row r="18" spans="1:14" s="3" customFormat="1" ht="40.049999999999997" customHeight="1" x14ac:dyDescent="0.3">
      <c r="A18" s="4">
        <v>15</v>
      </c>
      <c r="B18" s="5" t="s">
        <v>66</v>
      </c>
      <c r="C18" s="5" t="s">
        <v>63</v>
      </c>
      <c r="D18" s="5" t="s">
        <v>89</v>
      </c>
      <c r="E18" s="12" t="s">
        <v>67</v>
      </c>
      <c r="F18" s="1">
        <v>31680</v>
      </c>
      <c r="G18" s="5" t="s">
        <v>18</v>
      </c>
      <c r="H18" s="5" t="s">
        <v>68</v>
      </c>
      <c r="I18" s="6">
        <v>61035841279</v>
      </c>
      <c r="J18" s="5"/>
      <c r="K18" s="5">
        <v>1128804</v>
      </c>
      <c r="L18" s="6">
        <v>110093873878</v>
      </c>
      <c r="M18" s="5">
        <v>44300</v>
      </c>
      <c r="N18" s="7"/>
    </row>
    <row r="19" spans="1:14" s="3" customFormat="1" ht="40.049999999999997" customHeight="1" x14ac:dyDescent="0.3">
      <c r="A19" s="4">
        <v>16</v>
      </c>
      <c r="B19" s="5" t="s">
        <v>69</v>
      </c>
      <c r="C19" s="5" t="s">
        <v>63</v>
      </c>
      <c r="D19" s="5" t="s">
        <v>89</v>
      </c>
      <c r="E19" s="12" t="s">
        <v>70</v>
      </c>
      <c r="F19" s="1">
        <v>31863</v>
      </c>
      <c r="G19" s="5" t="s">
        <v>18</v>
      </c>
      <c r="H19" s="5" t="s">
        <v>71</v>
      </c>
      <c r="I19" s="6">
        <v>37044744559</v>
      </c>
      <c r="J19" s="5"/>
      <c r="K19" s="5"/>
      <c r="L19" s="6">
        <v>110112052101</v>
      </c>
      <c r="M19" s="5">
        <v>31100</v>
      </c>
      <c r="N19" s="7"/>
    </row>
    <row r="20" spans="1:14" s="3" customFormat="1" ht="40.049999999999997" customHeight="1" x14ac:dyDescent="0.3">
      <c r="A20" s="4">
        <v>17</v>
      </c>
      <c r="B20" s="5" t="s">
        <v>72</v>
      </c>
      <c r="C20" s="5" t="s">
        <v>73</v>
      </c>
      <c r="D20" s="5" t="s">
        <v>89</v>
      </c>
      <c r="E20" s="12" t="s">
        <v>74</v>
      </c>
      <c r="F20" s="1">
        <v>31969</v>
      </c>
      <c r="G20" s="5" t="s">
        <v>18</v>
      </c>
      <c r="H20" s="5" t="s">
        <v>75</v>
      </c>
      <c r="I20" s="6">
        <v>4480100007778</v>
      </c>
      <c r="J20" s="5"/>
      <c r="K20" s="5"/>
      <c r="L20" s="6">
        <v>110162555390</v>
      </c>
      <c r="M20" s="5">
        <v>31100</v>
      </c>
      <c r="N20" s="7"/>
    </row>
    <row r="21" spans="1:14" s="3" customFormat="1" ht="40.049999999999997" customHeight="1" x14ac:dyDescent="0.3">
      <c r="A21" s="4">
        <v>18</v>
      </c>
      <c r="B21" s="5" t="s">
        <v>76</v>
      </c>
      <c r="C21" s="5" t="s">
        <v>77</v>
      </c>
      <c r="D21" s="5" t="s">
        <v>89</v>
      </c>
      <c r="E21" s="12" t="s">
        <v>78</v>
      </c>
      <c r="F21" s="1">
        <v>32935</v>
      </c>
      <c r="G21" s="5" t="s">
        <v>46</v>
      </c>
      <c r="H21" s="5" t="s">
        <v>79</v>
      </c>
      <c r="I21" s="6">
        <v>61162096237</v>
      </c>
      <c r="J21" s="5"/>
      <c r="K21" s="5">
        <v>1274431</v>
      </c>
      <c r="L21" s="6">
        <v>110097234411</v>
      </c>
      <c r="M21" s="5">
        <v>38000</v>
      </c>
      <c r="N21" s="7"/>
    </row>
    <row r="22" spans="1:14" s="3" customFormat="1" ht="40.049999999999997" customHeight="1" x14ac:dyDescent="0.3">
      <c r="A22" s="4">
        <v>19</v>
      </c>
      <c r="B22" s="5" t="s">
        <v>80</v>
      </c>
      <c r="C22" s="5" t="s">
        <v>63</v>
      </c>
      <c r="D22" s="5" t="s">
        <v>88</v>
      </c>
      <c r="E22" s="12" t="s">
        <v>81</v>
      </c>
      <c r="F22" s="1">
        <v>28491</v>
      </c>
      <c r="G22" s="5" t="s">
        <v>82</v>
      </c>
      <c r="H22" s="5" t="s">
        <v>83</v>
      </c>
      <c r="I22" s="6">
        <v>7014545606</v>
      </c>
      <c r="J22" s="5">
        <v>998877</v>
      </c>
      <c r="K22" s="5">
        <v>25252356</v>
      </c>
      <c r="L22" s="6"/>
      <c r="M22" s="5">
        <v>45000</v>
      </c>
      <c r="N22" s="7"/>
    </row>
    <row r="23" spans="1:14" s="3" customFormat="1" ht="40.049999999999997" customHeight="1" x14ac:dyDescent="0.3">
      <c r="A23" s="4">
        <v>20</v>
      </c>
      <c r="B23" s="5" t="s">
        <v>212</v>
      </c>
      <c r="C23" s="5" t="s">
        <v>77</v>
      </c>
      <c r="D23" s="5" t="s">
        <v>88</v>
      </c>
      <c r="E23" s="12" t="s">
        <v>85</v>
      </c>
      <c r="F23" s="1">
        <v>31229</v>
      </c>
      <c r="G23" s="5" t="s">
        <v>202</v>
      </c>
      <c r="H23" s="5" t="s">
        <v>86</v>
      </c>
      <c r="I23" s="6">
        <v>5107457457</v>
      </c>
      <c r="J23" s="5">
        <v>895642</v>
      </c>
      <c r="K23" s="5">
        <v>26464879</v>
      </c>
      <c r="L23" s="6"/>
      <c r="M23" s="5">
        <v>50000</v>
      </c>
      <c r="N23" s="7"/>
    </row>
    <row r="24" spans="1:14" s="3" customFormat="1" ht="40.049999999999997" customHeight="1" x14ac:dyDescent="0.3">
      <c r="A24" s="4">
        <v>21</v>
      </c>
      <c r="B24" s="5" t="s">
        <v>160</v>
      </c>
      <c r="C24" s="5" t="s">
        <v>77</v>
      </c>
      <c r="D24" s="5" t="s">
        <v>88</v>
      </c>
      <c r="E24" s="12" t="s">
        <v>192</v>
      </c>
      <c r="F24" s="1">
        <v>31230</v>
      </c>
      <c r="G24" s="5" t="s">
        <v>203</v>
      </c>
      <c r="H24" s="5" t="s">
        <v>86</v>
      </c>
      <c r="I24" s="6">
        <v>5107457457</v>
      </c>
      <c r="J24" s="5">
        <v>895642</v>
      </c>
      <c r="K24" s="5">
        <v>26464879</v>
      </c>
      <c r="L24" s="6"/>
      <c r="M24" s="5">
        <v>50000</v>
      </c>
      <c r="N24" s="7"/>
    </row>
    <row r="25" spans="1:14" s="3" customFormat="1" ht="40.049999999999997" customHeight="1" x14ac:dyDescent="0.3">
      <c r="A25" s="4">
        <v>22</v>
      </c>
      <c r="B25" s="5" t="s">
        <v>161</v>
      </c>
      <c r="C25" s="5" t="s">
        <v>77</v>
      </c>
      <c r="D25" s="5" t="s">
        <v>88</v>
      </c>
      <c r="E25" s="12" t="s">
        <v>193</v>
      </c>
      <c r="F25" s="1">
        <v>31231</v>
      </c>
      <c r="G25" s="5" t="s">
        <v>204</v>
      </c>
      <c r="H25" s="5" t="s">
        <v>86</v>
      </c>
      <c r="I25" s="6">
        <v>5107457457</v>
      </c>
      <c r="J25" s="5">
        <v>895642</v>
      </c>
      <c r="K25" s="5">
        <v>26464879</v>
      </c>
      <c r="L25" s="6"/>
      <c r="M25" s="5">
        <v>50000</v>
      </c>
      <c r="N25" s="7"/>
    </row>
    <row r="26" spans="1:14" s="3" customFormat="1" ht="40.049999999999997" customHeight="1" x14ac:dyDescent="0.3">
      <c r="A26" s="4">
        <v>23</v>
      </c>
      <c r="B26" s="5" t="s">
        <v>162</v>
      </c>
      <c r="C26" s="5" t="s">
        <v>77</v>
      </c>
      <c r="D26" s="5" t="s">
        <v>88</v>
      </c>
      <c r="E26" s="12" t="s">
        <v>194</v>
      </c>
      <c r="F26" s="1">
        <v>31232</v>
      </c>
      <c r="G26" s="5" t="s">
        <v>18</v>
      </c>
      <c r="H26" s="5" t="s">
        <v>86</v>
      </c>
      <c r="I26" s="6">
        <v>5107457457</v>
      </c>
      <c r="J26" s="5">
        <v>895642</v>
      </c>
      <c r="K26" s="5">
        <v>26464879</v>
      </c>
      <c r="L26" s="6"/>
      <c r="M26" s="5">
        <v>50000</v>
      </c>
      <c r="N26" s="7"/>
    </row>
    <row r="27" spans="1:14" s="3" customFormat="1" ht="40.049999999999997" customHeight="1" x14ac:dyDescent="0.3">
      <c r="A27" s="4">
        <v>24</v>
      </c>
      <c r="B27" s="5" t="s">
        <v>163</v>
      </c>
      <c r="C27" s="5" t="s">
        <v>77</v>
      </c>
      <c r="D27" s="5" t="s">
        <v>88</v>
      </c>
      <c r="E27" s="12" t="s">
        <v>195</v>
      </c>
      <c r="F27" s="1">
        <v>31233</v>
      </c>
      <c r="G27" s="5" t="s">
        <v>208</v>
      </c>
      <c r="H27" s="5" t="s">
        <v>86</v>
      </c>
      <c r="I27" s="6">
        <v>5107457457</v>
      </c>
      <c r="J27" s="5">
        <v>895642</v>
      </c>
      <c r="K27" s="5">
        <v>26464879</v>
      </c>
      <c r="L27" s="6"/>
      <c r="M27" s="5">
        <v>50000</v>
      </c>
      <c r="N27" s="7"/>
    </row>
    <row r="28" spans="1:14" s="3" customFormat="1" ht="40.049999999999997" customHeight="1" x14ac:dyDescent="0.3">
      <c r="A28" s="4">
        <v>25</v>
      </c>
      <c r="B28" s="5" t="s">
        <v>164</v>
      </c>
      <c r="C28" s="5" t="s">
        <v>77</v>
      </c>
      <c r="D28" s="5" t="s">
        <v>88</v>
      </c>
      <c r="E28" s="12" t="s">
        <v>196</v>
      </c>
      <c r="F28" s="1">
        <v>31234</v>
      </c>
      <c r="G28" s="5" t="s">
        <v>209</v>
      </c>
      <c r="H28" s="5" t="s">
        <v>86</v>
      </c>
      <c r="I28" s="6">
        <v>5107457457</v>
      </c>
      <c r="J28" s="5">
        <v>895642</v>
      </c>
      <c r="K28" s="5">
        <v>26464879</v>
      </c>
      <c r="L28" s="6"/>
      <c r="M28" s="5">
        <v>50000</v>
      </c>
      <c r="N28" s="7"/>
    </row>
    <row r="29" spans="1:14" s="3" customFormat="1" ht="40.049999999999997" customHeight="1" x14ac:dyDescent="0.3">
      <c r="A29" s="4">
        <v>26</v>
      </c>
      <c r="B29" s="5" t="s">
        <v>165</v>
      </c>
      <c r="C29" s="5" t="s">
        <v>77</v>
      </c>
      <c r="D29" s="5" t="s">
        <v>88</v>
      </c>
      <c r="E29" s="12" t="s">
        <v>197</v>
      </c>
      <c r="F29" s="1">
        <v>31235</v>
      </c>
      <c r="G29" s="5" t="s">
        <v>54</v>
      </c>
      <c r="H29" s="5" t="s">
        <v>86</v>
      </c>
      <c r="I29" s="6">
        <v>5107457457</v>
      </c>
      <c r="J29" s="5">
        <v>895642</v>
      </c>
      <c r="K29" s="5">
        <v>26464879</v>
      </c>
      <c r="L29" s="6"/>
      <c r="M29" s="5">
        <v>50000</v>
      </c>
      <c r="N29" s="7"/>
    </row>
    <row r="30" spans="1:14" s="3" customFormat="1" ht="40.049999999999997" customHeight="1" x14ac:dyDescent="0.3">
      <c r="A30" s="4">
        <v>27</v>
      </c>
      <c r="B30" s="5" t="s">
        <v>166</v>
      </c>
      <c r="C30" s="5" t="s">
        <v>77</v>
      </c>
      <c r="D30" s="5" t="s">
        <v>88</v>
      </c>
      <c r="E30" s="12" t="s">
        <v>198</v>
      </c>
      <c r="F30" s="1">
        <v>31236</v>
      </c>
      <c r="G30" s="5" t="s">
        <v>210</v>
      </c>
      <c r="H30" s="5" t="s">
        <v>86</v>
      </c>
      <c r="I30" s="6">
        <v>5107457457</v>
      </c>
      <c r="J30" s="5">
        <v>895642</v>
      </c>
      <c r="K30" s="5">
        <v>26464879</v>
      </c>
      <c r="L30" s="6"/>
      <c r="M30" s="5">
        <v>50000</v>
      </c>
      <c r="N30" s="7"/>
    </row>
    <row r="31" spans="1:14" s="3" customFormat="1" ht="40.049999999999997" customHeight="1" x14ac:dyDescent="0.3">
      <c r="A31" s="4">
        <v>28</v>
      </c>
      <c r="B31" s="5" t="s">
        <v>84</v>
      </c>
      <c r="C31" s="5" t="s">
        <v>77</v>
      </c>
      <c r="D31" s="5" t="s">
        <v>88</v>
      </c>
      <c r="E31" s="12" t="s">
        <v>199</v>
      </c>
      <c r="F31" s="1">
        <v>31237</v>
      </c>
      <c r="G31" s="5" t="s">
        <v>211</v>
      </c>
      <c r="H31" s="5" t="s">
        <v>86</v>
      </c>
      <c r="I31" s="6">
        <v>5107457457</v>
      </c>
      <c r="J31" s="5">
        <v>895642</v>
      </c>
      <c r="K31" s="5">
        <v>26464879</v>
      </c>
      <c r="L31" s="6"/>
      <c r="M31" s="5">
        <v>50000</v>
      </c>
      <c r="N31" s="7"/>
    </row>
    <row r="32" spans="1:14" s="3" customFormat="1" ht="40.049999999999997" customHeight="1" x14ac:dyDescent="0.3">
      <c r="A32" s="4">
        <v>29</v>
      </c>
      <c r="B32" s="5" t="s">
        <v>167</v>
      </c>
      <c r="C32" s="5" t="s">
        <v>77</v>
      </c>
      <c r="D32" s="5" t="s">
        <v>88</v>
      </c>
      <c r="E32" s="12" t="s">
        <v>200</v>
      </c>
      <c r="F32" s="1">
        <v>31238</v>
      </c>
      <c r="G32" s="5" t="s">
        <v>206</v>
      </c>
      <c r="H32" s="5" t="s">
        <v>207</v>
      </c>
      <c r="I32" s="6">
        <v>5107457457</v>
      </c>
      <c r="J32" s="5">
        <v>895642</v>
      </c>
      <c r="K32" s="5">
        <v>26464879</v>
      </c>
      <c r="L32" s="6"/>
      <c r="M32" s="5">
        <v>50000</v>
      </c>
      <c r="N32" s="7"/>
    </row>
    <row r="33" spans="1:14" s="3" customFormat="1" ht="40.049999999999997" customHeight="1" x14ac:dyDescent="0.3">
      <c r="A33" s="8">
        <v>30</v>
      </c>
      <c r="B33" s="5" t="s">
        <v>168</v>
      </c>
      <c r="C33" s="9" t="s">
        <v>77</v>
      </c>
      <c r="D33" s="9" t="s">
        <v>89</v>
      </c>
      <c r="E33" s="13" t="s">
        <v>201</v>
      </c>
      <c r="F33" s="2">
        <v>31239</v>
      </c>
      <c r="G33" s="9" t="s">
        <v>205</v>
      </c>
      <c r="H33" s="9" t="s">
        <v>86</v>
      </c>
      <c r="I33" s="10">
        <v>5107457457</v>
      </c>
      <c r="J33" s="9">
        <v>895642</v>
      </c>
      <c r="K33" s="9">
        <v>26464879</v>
      </c>
      <c r="L33" s="10"/>
      <c r="M33" s="9">
        <v>50000</v>
      </c>
      <c r="N33" s="11"/>
    </row>
  </sheetData>
  <mergeCells count="2">
    <mergeCell ref="A2:N2"/>
    <mergeCell ref="A1:N1"/>
  </mergeCells>
  <pageMargins left="0.25" right="0.25" top="0.75" bottom="0.75" header="0.3" footer="0.3"/>
  <pageSetup paperSize="5" orientation="landscape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5"/>
  <sheetViews>
    <sheetView showGridLines="0" zoomScale="90" zoomScaleNormal="90" workbookViewId="0">
      <selection activeCell="F24" sqref="A24:XFD24"/>
    </sheetView>
  </sheetViews>
  <sheetFormatPr defaultRowHeight="14.4" x14ac:dyDescent="0.3"/>
  <cols>
    <col min="1" max="1" width="3" customWidth="1"/>
    <col min="2" max="2" width="23.44140625" bestFit="1" customWidth="1"/>
    <col min="3" max="3" width="7.33203125" bestFit="1" customWidth="1"/>
    <col min="4" max="4" width="6.21875" customWidth="1"/>
    <col min="5" max="5" width="8" bestFit="1" customWidth="1"/>
    <col min="6" max="7" width="7.33203125" bestFit="1" customWidth="1"/>
    <col min="8" max="8" width="6.5546875" customWidth="1"/>
    <col min="9" max="9" width="6.109375" customWidth="1"/>
    <col min="10" max="10" width="5.5546875" customWidth="1"/>
    <col min="11" max="11" width="4.5546875" customWidth="1"/>
    <col min="12" max="12" width="7.88671875" customWidth="1"/>
    <col min="13" max="13" width="6.109375" customWidth="1"/>
    <col min="14" max="14" width="7.21875" customWidth="1"/>
    <col min="15" max="15" width="6.33203125" customWidth="1"/>
    <col min="16" max="16" width="5.6640625" customWidth="1"/>
    <col min="17" max="17" width="6.109375" customWidth="1"/>
    <col min="18" max="18" width="5.44140625" customWidth="1"/>
    <col min="19" max="19" width="4.33203125" customWidth="1"/>
    <col min="20" max="20" width="4.77734375" customWidth="1"/>
    <col min="21" max="21" width="4.5546875" customWidth="1"/>
    <col min="22" max="22" width="6.6640625" customWidth="1"/>
    <col min="23" max="23" width="5" customWidth="1"/>
    <col min="24" max="24" width="6.33203125" customWidth="1"/>
    <col min="25" max="25" width="8.21875" customWidth="1"/>
    <col min="26" max="26" width="8.33203125" customWidth="1"/>
    <col min="27" max="27" width="8.109375" customWidth="1"/>
  </cols>
  <sheetData>
    <row r="1" spans="1:28" ht="17.399999999999999" x14ac:dyDescent="0.45">
      <c r="A1" s="68" t="str">
        <f>BASIC!$A$1</f>
        <v>OFFICE OF MHB GOVT.SENIOR SECONDARY SCHOOL PATODI (BARMER)13891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</row>
    <row r="2" spans="1:28" ht="17.399999999999999" x14ac:dyDescent="0.45">
      <c r="A2" s="69" t="s">
        <v>90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</row>
    <row r="3" spans="1:28" ht="17.399999999999999" x14ac:dyDescent="0.45">
      <c r="A3" s="73" t="s">
        <v>114</v>
      </c>
      <c r="B3" s="73"/>
      <c r="C3" s="73"/>
      <c r="D3" s="73"/>
      <c r="E3" s="70" t="s">
        <v>107</v>
      </c>
      <c r="F3" s="71"/>
      <c r="G3" s="71"/>
      <c r="H3" s="71"/>
      <c r="I3" s="71"/>
      <c r="J3" s="71"/>
      <c r="K3" s="71"/>
      <c r="L3" s="72"/>
      <c r="M3" s="74" t="s">
        <v>110</v>
      </c>
      <c r="N3" s="74"/>
      <c r="O3" s="74"/>
      <c r="P3" s="74"/>
      <c r="Q3" s="74"/>
      <c r="R3" s="74"/>
      <c r="S3" s="74"/>
      <c r="T3" s="74"/>
      <c r="U3" s="74"/>
      <c r="V3" s="74"/>
      <c r="W3" s="74"/>
      <c r="X3" s="67"/>
      <c r="Y3" s="67"/>
      <c r="Z3" s="17" t="s">
        <v>91</v>
      </c>
      <c r="AA3" s="18">
        <v>43586</v>
      </c>
    </row>
    <row r="4" spans="1:28" ht="53.4" customHeight="1" x14ac:dyDescent="0.3">
      <c r="A4" s="25" t="s">
        <v>2</v>
      </c>
      <c r="B4" s="26" t="s">
        <v>5</v>
      </c>
      <c r="C4" s="27" t="s">
        <v>4</v>
      </c>
      <c r="D4" s="27" t="s">
        <v>87</v>
      </c>
      <c r="E4" s="28" t="s">
        <v>13</v>
      </c>
      <c r="F4" s="28" t="s">
        <v>92</v>
      </c>
      <c r="G4" s="28" t="s">
        <v>93</v>
      </c>
      <c r="H4" s="28" t="s">
        <v>103</v>
      </c>
      <c r="I4" s="28" t="s">
        <v>104</v>
      </c>
      <c r="J4" s="28" t="s">
        <v>105</v>
      </c>
      <c r="K4" s="28" t="s">
        <v>106</v>
      </c>
      <c r="L4" s="28" t="s">
        <v>94</v>
      </c>
      <c r="M4" s="28" t="s">
        <v>88</v>
      </c>
      <c r="N4" s="28" t="s">
        <v>95</v>
      </c>
      <c r="O4" s="28" t="s">
        <v>89</v>
      </c>
      <c r="P4" s="28" t="s">
        <v>96</v>
      </c>
      <c r="Q4" s="28" t="s">
        <v>97</v>
      </c>
      <c r="R4" s="28" t="s">
        <v>98</v>
      </c>
      <c r="S4" s="28" t="s">
        <v>99</v>
      </c>
      <c r="T4" s="28" t="s">
        <v>100</v>
      </c>
      <c r="U4" s="28" t="s">
        <v>108</v>
      </c>
      <c r="V4" s="28" t="s">
        <v>109</v>
      </c>
      <c r="W4" s="27" t="s">
        <v>113</v>
      </c>
      <c r="X4" s="27" t="s">
        <v>101</v>
      </c>
      <c r="Y4" s="27" t="s">
        <v>102</v>
      </c>
      <c r="Z4" s="48" t="s">
        <v>111</v>
      </c>
      <c r="AA4" s="47" t="s">
        <v>112</v>
      </c>
      <c r="AB4" s="54" t="s">
        <v>187</v>
      </c>
    </row>
    <row r="5" spans="1:28" x14ac:dyDescent="0.3">
      <c r="A5" s="29">
        <v>1</v>
      </c>
      <c r="B5" s="30" t="str">
        <f>VLOOKUP(Table5[[#This Row],[SN]],Table2[#All],5,0)</f>
        <v>MAHESH KUMAR BAIRWA</v>
      </c>
      <c r="C5" s="30" t="str">
        <f>VLOOKUP(Table5[[#This Row],[SN]],Table2[#All],3,0)</f>
        <v>NP27</v>
      </c>
      <c r="D5" s="30" t="str">
        <f>VLOOKUP(Table5[[#This Row],[SN]],Table2[#All],4,0)</f>
        <v>GPF</v>
      </c>
      <c r="E5" s="37">
        <f>VLOOKUP(Table5[[#This Row],[SN]],Table2[#All],13,0)</f>
        <v>63100</v>
      </c>
      <c r="F5" s="30">
        <f>ROUND(Table5[[#This Row],[BASIC PAY]]*12%,0)</f>
        <v>7572</v>
      </c>
      <c r="G5" s="30">
        <f>ROUND(Table5[[#This Row],[BASIC PAY]]*8%,0)</f>
        <v>5048</v>
      </c>
      <c r="H5" s="19"/>
      <c r="I5" s="19"/>
      <c r="J5" s="19"/>
      <c r="K5" s="19"/>
      <c r="L5" s="34">
        <f>SUM(Table5[[#This Row],[BASIC PAY]:[OTHERS]])</f>
        <v>75720</v>
      </c>
      <c r="M5" s="19">
        <v>8000</v>
      </c>
      <c r="N5" s="19">
        <v>5250</v>
      </c>
      <c r="O5" s="35" t="str">
        <f>IF(Table5[[#This Row],[TYPE]]="NPS",ROUND((Table5[[#This Row],[BASIC PAY]]+Table5[[#This Row],[DA@12%]])*10%,0),"0")</f>
        <v>0</v>
      </c>
      <c r="P5" s="19">
        <v>4000</v>
      </c>
      <c r="Q5" s="19">
        <v>4200</v>
      </c>
      <c r="R5" s="19">
        <v>755</v>
      </c>
      <c r="S5" s="19">
        <v>549</v>
      </c>
      <c r="T5" s="19">
        <v>1500</v>
      </c>
      <c r="U5" s="19"/>
      <c r="V5" s="19"/>
      <c r="W5" s="19"/>
      <c r="X5" s="49">
        <f>SUM(Table5[[#This Row],[GPF]:[HOUSING LOAN]])</f>
        <v>24254</v>
      </c>
      <c r="Y5" s="37">
        <f>Table5[[#This Row],[TOTAL]]-Table5[[#This Row],[DEDUCATION]]</f>
        <v>51466</v>
      </c>
      <c r="Z5" s="20" t="s">
        <v>169</v>
      </c>
      <c r="AA5" s="21" t="s">
        <v>170</v>
      </c>
      <c r="AB5" s="55"/>
    </row>
    <row r="6" spans="1:28" x14ac:dyDescent="0.3">
      <c r="A6" s="29">
        <v>2</v>
      </c>
      <c r="B6" s="30" t="str">
        <f>VLOOKUP(Table5[[#This Row],[SN]],Table2[#All],5,0)</f>
        <v>NARNA RAM</v>
      </c>
      <c r="C6" s="30" t="str">
        <f>VLOOKUP(Table5[[#This Row],[SN]],Table2[#All],3,0)</f>
        <v>NP27</v>
      </c>
      <c r="D6" s="30" t="str">
        <f>VLOOKUP(Table5[[#This Row],[SN]],Table2[#All],4,0)</f>
        <v>GPF</v>
      </c>
      <c r="E6" s="37">
        <f>VLOOKUP(Table5[[#This Row],[SN]],Table2[#All],13,0)</f>
        <v>71300</v>
      </c>
      <c r="F6" s="30">
        <f>ROUND(Table5[[#This Row],[BASIC PAY]]*12%,0)</f>
        <v>8556</v>
      </c>
      <c r="G6" s="30">
        <f>ROUND(Table5[[#This Row],[BASIC PAY]]*8%,0)</f>
        <v>5704</v>
      </c>
      <c r="H6" s="19"/>
      <c r="I6" s="19"/>
      <c r="J6" s="19"/>
      <c r="K6" s="19"/>
      <c r="L6" s="34">
        <f>SUM(Table5[[#This Row],[BASIC PAY]:[OTHERS]])</f>
        <v>85560</v>
      </c>
      <c r="M6" s="19">
        <v>500</v>
      </c>
      <c r="N6" s="19">
        <v>4500</v>
      </c>
      <c r="O6" s="35" t="str">
        <f>IF(Table5[[#This Row],[TYPE]]="NPS",ROUND((Table5[[#This Row],[BASIC PAY]]+Table5[[#This Row],[DA@12%]])*10%,0),"0")</f>
        <v>0</v>
      </c>
      <c r="P6" s="19">
        <v>1500</v>
      </c>
      <c r="Q6" s="19">
        <v>4500</v>
      </c>
      <c r="R6" s="19">
        <v>755</v>
      </c>
      <c r="S6" s="19"/>
      <c r="T6" s="19"/>
      <c r="U6" s="19"/>
      <c r="V6" s="19"/>
      <c r="W6" s="19"/>
      <c r="X6" s="49">
        <f>SUM(Table5[[#This Row],[GPF]:[HOUSING LOAN]])</f>
        <v>11755</v>
      </c>
      <c r="Y6" s="37">
        <f>Table5[[#This Row],[TOTAL]]-Table5[[#This Row],[DEDUCATION]]</f>
        <v>73805</v>
      </c>
      <c r="Z6" s="20" t="str">
        <f>Z5</f>
        <v>12/07-06-19</v>
      </c>
      <c r="AA6" s="21" t="str">
        <f>AA5</f>
        <v>05/09-06-19</v>
      </c>
      <c r="AB6" s="55"/>
    </row>
    <row r="7" spans="1:28" x14ac:dyDescent="0.3">
      <c r="A7" s="29">
        <v>3</v>
      </c>
      <c r="B7" s="30" t="str">
        <f>VLOOKUP(Table5[[#This Row],[SN]],Table2[#All],5,0)</f>
        <v>VIKASH VAISHNAV</v>
      </c>
      <c r="C7" s="30" t="str">
        <f>VLOOKUP(Table5[[#This Row],[SN]],Table2[#All],3,0)</f>
        <v>NP27</v>
      </c>
      <c r="D7" s="30" t="str">
        <f>VLOOKUP(Table5[[#This Row],[SN]],Table2[#All],4,0)</f>
        <v>GPF</v>
      </c>
      <c r="E7" s="37">
        <f>VLOOKUP(Table5[[#This Row],[SN]],Table2[#All],13,0)</f>
        <v>50800</v>
      </c>
      <c r="F7" s="30">
        <f>ROUND(Table5[[#This Row],[BASIC PAY]]*12%,0)</f>
        <v>6096</v>
      </c>
      <c r="G7" s="30">
        <f>ROUND(Table5[[#This Row],[BASIC PAY]]*8%,0)</f>
        <v>4064</v>
      </c>
      <c r="H7" s="19">
        <v>150</v>
      </c>
      <c r="I7" s="19"/>
      <c r="J7" s="19"/>
      <c r="K7" s="19"/>
      <c r="L7" s="34">
        <f>SUM(Table5[[#This Row],[BASIC PAY]:[OTHERS]])</f>
        <v>61110</v>
      </c>
      <c r="M7" s="19">
        <v>450</v>
      </c>
      <c r="N7" s="19">
        <v>450</v>
      </c>
      <c r="O7" s="35" t="str">
        <f>IF(Table5[[#This Row],[TYPE]]="NPS",ROUND((Table5[[#This Row],[BASIC PAY]]+Table5[[#This Row],[DA@12%]])*10%,0),"0")</f>
        <v>0</v>
      </c>
      <c r="P7" s="19">
        <v>1000</v>
      </c>
      <c r="Q7" s="19">
        <v>2000</v>
      </c>
      <c r="R7" s="19">
        <v>2000</v>
      </c>
      <c r="S7" s="19">
        <v>400</v>
      </c>
      <c r="T7" s="19">
        <v>1500</v>
      </c>
      <c r="U7" s="19">
        <v>220</v>
      </c>
      <c r="V7" s="19"/>
      <c r="W7" s="19"/>
      <c r="X7" s="49">
        <f>SUM(Table5[[#This Row],[GPF]:[HOUSING LOAN]])</f>
        <v>8020</v>
      </c>
      <c r="Y7" s="37">
        <f>Table5[[#This Row],[TOTAL]]-Table5[[#This Row],[DEDUCATION]]</f>
        <v>53090</v>
      </c>
      <c r="Z7" s="20" t="str">
        <f t="shared" ref="Z7:Z34" si="0">Z6</f>
        <v>12/07-06-19</v>
      </c>
      <c r="AA7" s="21" t="str">
        <f t="shared" ref="AA7:AA34" si="1">AA6</f>
        <v>05/09-06-19</v>
      </c>
      <c r="AB7" s="55"/>
    </row>
    <row r="8" spans="1:28" x14ac:dyDescent="0.3">
      <c r="A8" s="29">
        <v>4</v>
      </c>
      <c r="B8" s="30" t="str">
        <f>VLOOKUP(Table5[[#This Row],[SN]],Table2[#All],5,0)</f>
        <v>BANSHILAL KUMHAR</v>
      </c>
      <c r="C8" s="30" t="str">
        <f>VLOOKUP(Table5[[#This Row],[SN]],Table2[#All],3,0)</f>
        <v>NP27</v>
      </c>
      <c r="D8" s="30" t="str">
        <f>VLOOKUP(Table5[[#This Row],[SN]],Table2[#All],4,0)</f>
        <v>GPF</v>
      </c>
      <c r="E8" s="37">
        <f>VLOOKUP(Table5[[#This Row],[SN]],Table2[#All],13,0)</f>
        <v>33700</v>
      </c>
      <c r="F8" s="30">
        <f>ROUND(Table5[[#This Row],[BASIC PAY]]*12%,0)</f>
        <v>4044</v>
      </c>
      <c r="G8" s="30">
        <f>ROUND(Table5[[#This Row],[BASIC PAY]]*8%,0)</f>
        <v>2696</v>
      </c>
      <c r="H8" s="19">
        <v>150</v>
      </c>
      <c r="I8" s="19"/>
      <c r="J8" s="19"/>
      <c r="K8" s="19"/>
      <c r="L8" s="34">
        <f>SUM(Table5[[#This Row],[BASIC PAY]:[OTHERS]])</f>
        <v>40590</v>
      </c>
      <c r="M8" s="19">
        <v>5000</v>
      </c>
      <c r="N8" s="19">
        <v>1500</v>
      </c>
      <c r="O8" s="35" t="str">
        <f>IF(Table5[[#This Row],[TYPE]]="NPS",ROUND((Table5[[#This Row],[BASIC PAY]]+Table5[[#This Row],[DA@12%]])*10%,0),"0")</f>
        <v>0</v>
      </c>
      <c r="P8" s="19">
        <v>500</v>
      </c>
      <c r="Q8" s="19"/>
      <c r="R8" s="19"/>
      <c r="S8" s="19"/>
      <c r="T8" s="19"/>
      <c r="U8" s="19"/>
      <c r="V8" s="19"/>
      <c r="W8" s="19"/>
      <c r="X8" s="49">
        <f>SUM(Table5[[#This Row],[GPF]:[HOUSING LOAN]])</f>
        <v>7000</v>
      </c>
      <c r="Y8" s="37">
        <f>Table5[[#This Row],[TOTAL]]-Table5[[#This Row],[DEDUCATION]]</f>
        <v>33590</v>
      </c>
      <c r="Z8" s="20" t="str">
        <f t="shared" si="0"/>
        <v>12/07-06-19</v>
      </c>
      <c r="AA8" s="21" t="str">
        <f t="shared" si="1"/>
        <v>05/09-06-19</v>
      </c>
      <c r="AB8" s="55"/>
    </row>
    <row r="9" spans="1:28" x14ac:dyDescent="0.3">
      <c r="A9" s="29">
        <v>5</v>
      </c>
      <c r="B9" s="30" t="str">
        <f>VLOOKUP(Table5[[#This Row],[SN]],Table2[#All],5,0)</f>
        <v>MADAN LAL JOSHI</v>
      </c>
      <c r="C9" s="30" t="str">
        <f>VLOOKUP(Table5[[#This Row],[SN]],Table2[#All],3,0)</f>
        <v>NP27</v>
      </c>
      <c r="D9" s="30" t="str">
        <f>VLOOKUP(Table5[[#This Row],[SN]],Table2[#All],4,0)</f>
        <v>GPF</v>
      </c>
      <c r="E9" s="37">
        <f>VLOOKUP(Table5[[#This Row],[SN]],Table2[#All],13,0)</f>
        <v>31100</v>
      </c>
      <c r="F9" s="30">
        <f>ROUND(Table5[[#This Row],[BASIC PAY]]*12%,0)</f>
        <v>3732</v>
      </c>
      <c r="G9" s="30">
        <f>ROUND(Table5[[#This Row],[BASIC PAY]]*8%,0)</f>
        <v>2488</v>
      </c>
      <c r="H9" s="19"/>
      <c r="I9" s="19"/>
      <c r="J9" s="19"/>
      <c r="K9" s="19"/>
      <c r="L9" s="34">
        <f>SUM(Table5[[#This Row],[BASIC PAY]:[OTHERS]])</f>
        <v>37320</v>
      </c>
      <c r="M9" s="19">
        <v>4000</v>
      </c>
      <c r="N9" s="19">
        <v>1500</v>
      </c>
      <c r="O9" s="35" t="str">
        <f>IF(Table5[[#This Row],[TYPE]]="NPS",ROUND((Table5[[#This Row],[BASIC PAY]]+Table5[[#This Row],[DA@12%]])*10%,0),"0")</f>
        <v>0</v>
      </c>
      <c r="P9" s="19">
        <v>400</v>
      </c>
      <c r="Q9" s="19"/>
      <c r="R9" s="19"/>
      <c r="S9" s="19"/>
      <c r="T9" s="19"/>
      <c r="U9" s="19"/>
      <c r="V9" s="19"/>
      <c r="W9" s="19"/>
      <c r="X9" s="49">
        <f>SUM(Table5[[#This Row],[GPF]:[HOUSING LOAN]])</f>
        <v>5900</v>
      </c>
      <c r="Y9" s="37">
        <f>Table5[[#This Row],[TOTAL]]-Table5[[#This Row],[DEDUCATION]]</f>
        <v>31420</v>
      </c>
      <c r="Z9" s="20" t="str">
        <f t="shared" si="0"/>
        <v>12/07-06-19</v>
      </c>
      <c r="AA9" s="21" t="str">
        <f t="shared" si="1"/>
        <v>05/09-06-19</v>
      </c>
      <c r="AB9" s="55"/>
    </row>
    <row r="10" spans="1:28" x14ac:dyDescent="0.3">
      <c r="A10" s="29">
        <v>6</v>
      </c>
      <c r="B10" s="30" t="str">
        <f>VLOOKUP(Table5[[#This Row],[SN]],Table2[#All],5,0)</f>
        <v>DHIRENDRA SINGH CHANDAWAT</v>
      </c>
      <c r="C10" s="30" t="str">
        <f>VLOOKUP(Table5[[#This Row],[SN]],Table2[#All],3,0)</f>
        <v>NP27</v>
      </c>
      <c r="D10" s="30" t="str">
        <f>VLOOKUP(Table5[[#This Row],[SN]],Table2[#All],4,0)</f>
        <v>NPS</v>
      </c>
      <c r="E10" s="37">
        <f>VLOOKUP(Table5[[#This Row],[SN]],Table2[#All],13,0)</f>
        <v>41300</v>
      </c>
      <c r="F10" s="30">
        <f>ROUND(Table5[[#This Row],[BASIC PAY]]*12%,0)</f>
        <v>4956</v>
      </c>
      <c r="G10" s="30">
        <f>ROUND(Table5[[#This Row],[BASIC PAY]]*8%,0)</f>
        <v>3304</v>
      </c>
      <c r="H10" s="19"/>
      <c r="I10" s="19"/>
      <c r="J10" s="19"/>
      <c r="K10" s="19"/>
      <c r="L10" s="34">
        <f>SUM(Table5[[#This Row],[BASIC PAY]:[OTHERS]])</f>
        <v>49560</v>
      </c>
      <c r="M10" s="19">
        <v>3000</v>
      </c>
      <c r="N10" s="19">
        <v>1500</v>
      </c>
      <c r="O10" s="35">
        <f>IF(Table5[[#This Row],[TYPE]]="NPS",ROUND((Table5[[#This Row],[BASIC PAY]]+Table5[[#This Row],[DA@12%]])*10%,0),"0")</f>
        <v>4626</v>
      </c>
      <c r="P10" s="19">
        <v>300</v>
      </c>
      <c r="Q10" s="19"/>
      <c r="R10" s="19"/>
      <c r="S10" s="19"/>
      <c r="T10" s="19">
        <v>1500</v>
      </c>
      <c r="U10" s="19"/>
      <c r="V10" s="19"/>
      <c r="W10" s="19"/>
      <c r="X10" s="49">
        <f>SUM(Table5[[#This Row],[GPF]:[HOUSING LOAN]])</f>
        <v>10926</v>
      </c>
      <c r="Y10" s="37">
        <f>Table5[[#This Row],[TOTAL]]-Table5[[#This Row],[DEDUCATION]]</f>
        <v>38634</v>
      </c>
      <c r="Z10" s="20" t="str">
        <f t="shared" si="0"/>
        <v>12/07-06-19</v>
      </c>
      <c r="AA10" s="21" t="str">
        <f t="shared" si="1"/>
        <v>05/09-06-19</v>
      </c>
      <c r="AB10" s="55"/>
    </row>
    <row r="11" spans="1:28" x14ac:dyDescent="0.3">
      <c r="A11" s="29">
        <v>7</v>
      </c>
      <c r="B11" s="30" t="str">
        <f>VLOOKUP(Table5[[#This Row],[SN]],Table2[#All],5,0)</f>
        <v>KISHANA RAM</v>
      </c>
      <c r="C11" s="30" t="str">
        <f>VLOOKUP(Table5[[#This Row],[SN]],Table2[#All],3,0)</f>
        <v>NP27</v>
      </c>
      <c r="D11" s="30" t="str">
        <f>VLOOKUP(Table5[[#This Row],[SN]],Table2[#All],4,0)</f>
        <v>NPS</v>
      </c>
      <c r="E11" s="37">
        <f>VLOOKUP(Table5[[#This Row],[SN]],Table2[#All],13,0)</f>
        <v>42500</v>
      </c>
      <c r="F11" s="30">
        <f>ROUND(Table5[[#This Row],[BASIC PAY]]*12%,0)</f>
        <v>5100</v>
      </c>
      <c r="G11" s="30">
        <f>ROUND(Table5[[#This Row],[BASIC PAY]]*8%,0)</f>
        <v>3400</v>
      </c>
      <c r="H11" s="19"/>
      <c r="I11" s="19"/>
      <c r="J11" s="19"/>
      <c r="K11" s="19"/>
      <c r="L11" s="34">
        <f>SUM(Table5[[#This Row],[BASIC PAY]:[OTHERS]])</f>
        <v>51000</v>
      </c>
      <c r="M11" s="19">
        <v>3000</v>
      </c>
      <c r="N11" s="19">
        <v>1500</v>
      </c>
      <c r="O11" s="35">
        <f>IF(Table5[[#This Row],[TYPE]]="NPS",ROUND((Table5[[#This Row],[BASIC PAY]]+Table5[[#This Row],[DA@12%]])*10%,0),"0")</f>
        <v>4760</v>
      </c>
      <c r="P11" s="19">
        <v>200</v>
      </c>
      <c r="Q11" s="19"/>
      <c r="R11" s="19"/>
      <c r="S11" s="19"/>
      <c r="T11" s="19">
        <v>2000</v>
      </c>
      <c r="U11" s="19"/>
      <c r="V11" s="19"/>
      <c r="W11" s="19"/>
      <c r="X11" s="49">
        <f>SUM(Table5[[#This Row],[GPF]:[HOUSING LOAN]])</f>
        <v>11460</v>
      </c>
      <c r="Y11" s="37">
        <f>Table5[[#This Row],[TOTAL]]-Table5[[#This Row],[DEDUCATION]]</f>
        <v>39540</v>
      </c>
      <c r="Z11" s="20" t="str">
        <f t="shared" si="0"/>
        <v>12/07-06-19</v>
      </c>
      <c r="AA11" s="21" t="str">
        <f t="shared" si="1"/>
        <v>05/09-06-19</v>
      </c>
      <c r="AB11" s="55"/>
    </row>
    <row r="12" spans="1:28" x14ac:dyDescent="0.3">
      <c r="A12" s="29">
        <v>8</v>
      </c>
      <c r="B12" s="30" t="str">
        <f>VLOOKUP(Table5[[#This Row],[SN]],Table2[#All],5,0)</f>
        <v>MUKESH KUMAR MEENA</v>
      </c>
      <c r="C12" s="30" t="str">
        <f>VLOOKUP(Table5[[#This Row],[SN]],Table2[#All],3,0)</f>
        <v>NP27</v>
      </c>
      <c r="D12" s="30" t="str">
        <f>VLOOKUP(Table5[[#This Row],[SN]],Table2[#All],4,0)</f>
        <v>NPS</v>
      </c>
      <c r="E12" s="37">
        <f>VLOOKUP(Table5[[#This Row],[SN]],Table2[#All],13,0)</f>
        <v>38000</v>
      </c>
      <c r="F12" s="30">
        <f>ROUND(Table5[[#This Row],[BASIC PAY]]*12%,0)</f>
        <v>4560</v>
      </c>
      <c r="G12" s="30">
        <f>ROUND(Table5[[#This Row],[BASIC PAY]]*8%,0)</f>
        <v>3040</v>
      </c>
      <c r="H12" s="19"/>
      <c r="I12" s="19"/>
      <c r="J12" s="19"/>
      <c r="K12" s="19"/>
      <c r="L12" s="34">
        <f>SUM(Table5[[#This Row],[BASIC PAY]:[OTHERS]])</f>
        <v>45600</v>
      </c>
      <c r="M12" s="19">
        <v>3000</v>
      </c>
      <c r="N12" s="19"/>
      <c r="O12" s="35">
        <f>IF(Table5[[#This Row],[TYPE]]="NPS",ROUND((Table5[[#This Row],[BASIC PAY]]+Table5[[#This Row],[DA@12%]])*10%,0),"0")</f>
        <v>4256</v>
      </c>
      <c r="P12" s="19">
        <v>50</v>
      </c>
      <c r="Q12" s="19"/>
      <c r="R12" s="19">
        <v>458</v>
      </c>
      <c r="S12" s="19"/>
      <c r="T12" s="19">
        <v>150</v>
      </c>
      <c r="U12" s="19"/>
      <c r="V12" s="19"/>
      <c r="W12" s="19"/>
      <c r="X12" s="49">
        <f>SUM(Table5[[#This Row],[GPF]:[HOUSING LOAN]])</f>
        <v>7914</v>
      </c>
      <c r="Y12" s="37">
        <f>Table5[[#This Row],[TOTAL]]-Table5[[#This Row],[DEDUCATION]]</f>
        <v>37686</v>
      </c>
      <c r="Z12" s="20" t="str">
        <f t="shared" si="0"/>
        <v>12/07-06-19</v>
      </c>
      <c r="AA12" s="21" t="str">
        <f t="shared" si="1"/>
        <v>05/09-06-19</v>
      </c>
      <c r="AB12" s="55"/>
    </row>
    <row r="13" spans="1:28" x14ac:dyDescent="0.3">
      <c r="A13" s="29">
        <v>9</v>
      </c>
      <c r="B13" s="30" t="str">
        <f>VLOOKUP(Table5[[#This Row],[SN]],Table2[#All],5,0)</f>
        <v>MADAN LAL JINGER</v>
      </c>
      <c r="C13" s="30" t="str">
        <f>VLOOKUP(Table5[[#This Row],[SN]],Table2[#All],3,0)</f>
        <v>NP27</v>
      </c>
      <c r="D13" s="30" t="str">
        <f>VLOOKUP(Table5[[#This Row],[SN]],Table2[#All],4,0)</f>
        <v>NPS</v>
      </c>
      <c r="E13" s="37">
        <f>VLOOKUP(Table5[[#This Row],[SN]],Table2[#All],13,0)</f>
        <v>49300</v>
      </c>
      <c r="F13" s="30">
        <f>ROUND(Table5[[#This Row],[BASIC PAY]]*12%,0)</f>
        <v>5916</v>
      </c>
      <c r="G13" s="30">
        <f>ROUND(Table5[[#This Row],[BASIC PAY]]*8%,0)</f>
        <v>3944</v>
      </c>
      <c r="H13" s="19"/>
      <c r="I13" s="19">
        <v>600</v>
      </c>
      <c r="J13" s="19"/>
      <c r="K13" s="19"/>
      <c r="L13" s="34">
        <f>SUM(Table5[[#This Row],[BASIC PAY]:[OTHERS]])</f>
        <v>59760</v>
      </c>
      <c r="M13" s="19">
        <v>3000</v>
      </c>
      <c r="N13" s="19">
        <v>1500</v>
      </c>
      <c r="O13" s="35">
        <f>IF(Table5[[#This Row],[TYPE]]="NPS",ROUND((Table5[[#This Row],[BASIC PAY]]+Table5[[#This Row],[DA@12%]])*10%,0),"0")</f>
        <v>5522</v>
      </c>
      <c r="P13" s="19">
        <v>700</v>
      </c>
      <c r="Q13" s="19"/>
      <c r="R13" s="19"/>
      <c r="S13" s="19"/>
      <c r="T13" s="19">
        <v>300</v>
      </c>
      <c r="U13" s="19"/>
      <c r="V13" s="19"/>
      <c r="W13" s="19"/>
      <c r="X13" s="49">
        <f>SUM(Table5[[#This Row],[GPF]:[HOUSING LOAN]])</f>
        <v>11022</v>
      </c>
      <c r="Y13" s="37">
        <f>Table5[[#This Row],[TOTAL]]-Table5[[#This Row],[DEDUCATION]]</f>
        <v>48738</v>
      </c>
      <c r="Z13" s="20" t="str">
        <f t="shared" si="0"/>
        <v>12/07-06-19</v>
      </c>
      <c r="AA13" s="21" t="str">
        <f t="shared" si="1"/>
        <v>05/09-06-19</v>
      </c>
      <c r="AB13" s="55"/>
    </row>
    <row r="14" spans="1:28" x14ac:dyDescent="0.3">
      <c r="A14" s="29">
        <v>10</v>
      </c>
      <c r="B14" s="30" t="str">
        <f>VLOOKUP(Table5[[#This Row],[SN]],Table2[#All],5,0)</f>
        <v>PANKAJ KUMARI</v>
      </c>
      <c r="C14" s="30" t="str">
        <f>VLOOKUP(Table5[[#This Row],[SN]],Table2[#All],3,0)</f>
        <v>NP27</v>
      </c>
      <c r="D14" s="30" t="str">
        <f>VLOOKUP(Table5[[#This Row],[SN]],Table2[#All],4,0)</f>
        <v>NPS</v>
      </c>
      <c r="E14" s="37">
        <f>VLOOKUP(Table5[[#This Row],[SN]],Table2[#All],13,0)</f>
        <v>38000</v>
      </c>
      <c r="F14" s="30">
        <f>ROUND(Table5[[#This Row],[BASIC PAY]]*12%,0)</f>
        <v>4560</v>
      </c>
      <c r="G14" s="30">
        <f>ROUND(Table5[[#This Row],[BASIC PAY]]*8%,0)</f>
        <v>3040</v>
      </c>
      <c r="H14" s="19"/>
      <c r="I14" s="19"/>
      <c r="J14" s="19"/>
      <c r="K14" s="19"/>
      <c r="L14" s="34">
        <f>SUM(Table5[[#This Row],[BASIC PAY]:[OTHERS]])</f>
        <v>45600</v>
      </c>
      <c r="M14" s="19">
        <v>3000</v>
      </c>
      <c r="N14" s="19">
        <v>1500</v>
      </c>
      <c r="O14" s="35">
        <f>IF(Table5[[#This Row],[TYPE]]="NPS",ROUND((Table5[[#This Row],[BASIC PAY]]+Table5[[#This Row],[DA@12%]])*10%,0),"0")</f>
        <v>4256</v>
      </c>
      <c r="P14" s="19">
        <v>4000</v>
      </c>
      <c r="Q14" s="19"/>
      <c r="R14" s="19"/>
      <c r="S14" s="19"/>
      <c r="T14" s="19">
        <v>450</v>
      </c>
      <c r="U14" s="19"/>
      <c r="V14" s="19"/>
      <c r="W14" s="19"/>
      <c r="X14" s="49">
        <f>SUM(Table5[[#This Row],[GPF]:[HOUSING LOAN]])</f>
        <v>13206</v>
      </c>
      <c r="Y14" s="37">
        <f>Table5[[#This Row],[TOTAL]]-Table5[[#This Row],[DEDUCATION]]</f>
        <v>32394</v>
      </c>
      <c r="Z14" s="20" t="str">
        <f t="shared" si="0"/>
        <v>12/07-06-19</v>
      </c>
      <c r="AA14" s="21" t="str">
        <f t="shared" si="1"/>
        <v>05/09-06-19</v>
      </c>
      <c r="AB14" s="55"/>
    </row>
    <row r="15" spans="1:28" x14ac:dyDescent="0.3">
      <c r="A15" s="29">
        <v>11</v>
      </c>
      <c r="B15" s="30" t="str">
        <f>VLOOKUP(Table5[[#This Row],[SN]],Table2[#All],5,0)</f>
        <v>SHYAM SUNDER KHARWAL</v>
      </c>
      <c r="C15" s="30" t="str">
        <f>VLOOKUP(Table5[[#This Row],[SN]],Table2[#All],3,0)</f>
        <v>RMSA</v>
      </c>
      <c r="D15" s="30" t="str">
        <f>VLOOKUP(Table5[[#This Row],[SN]],Table2[#All],4,0)</f>
        <v>GPF</v>
      </c>
      <c r="E15" s="37">
        <f>VLOOKUP(Table5[[#This Row],[SN]],Table2[#All],13,0)</f>
        <v>69200</v>
      </c>
      <c r="F15" s="30">
        <f>ROUND(Table5[[#This Row],[BASIC PAY]]*12%,0)</f>
        <v>8304</v>
      </c>
      <c r="G15" s="30">
        <f>ROUND(Table5[[#This Row],[BASIC PAY]]*8%,0)</f>
        <v>5536</v>
      </c>
      <c r="H15" s="19"/>
      <c r="I15" s="19"/>
      <c r="J15" s="19"/>
      <c r="K15" s="19"/>
      <c r="L15" s="34">
        <f>SUM(Table5[[#This Row],[BASIC PAY]:[OTHERS]])</f>
        <v>83040</v>
      </c>
      <c r="M15" s="19">
        <v>3000</v>
      </c>
      <c r="N15" s="19"/>
      <c r="O15" s="35" t="str">
        <f>IF(Table5[[#This Row],[TYPE]]="NPS",ROUND((Table5[[#This Row],[BASIC PAY]]+Table5[[#This Row],[DA@12%]])*10%,0),"0")</f>
        <v>0</v>
      </c>
      <c r="P15" s="19">
        <v>4500</v>
      </c>
      <c r="Q15" s="19"/>
      <c r="R15" s="19"/>
      <c r="S15" s="19"/>
      <c r="T15" s="19"/>
      <c r="U15" s="19"/>
      <c r="V15" s="19"/>
      <c r="W15" s="19"/>
      <c r="X15" s="49">
        <f>SUM(Table5[[#This Row],[GPF]:[HOUSING LOAN]])</f>
        <v>7500</v>
      </c>
      <c r="Y15" s="37">
        <f>Table5[[#This Row],[TOTAL]]-Table5[[#This Row],[DEDUCATION]]</f>
        <v>75540</v>
      </c>
      <c r="Z15" s="20" t="str">
        <f t="shared" si="0"/>
        <v>12/07-06-19</v>
      </c>
      <c r="AA15" s="21" t="str">
        <f t="shared" si="1"/>
        <v>05/09-06-19</v>
      </c>
      <c r="AB15" s="55"/>
    </row>
    <row r="16" spans="1:28" x14ac:dyDescent="0.3">
      <c r="A16" s="29">
        <v>12</v>
      </c>
      <c r="B16" s="30" t="str">
        <f>VLOOKUP(Table5[[#This Row],[SN]],Table2[#All],5,0)</f>
        <v>SANJAYVEER SINGH</v>
      </c>
      <c r="C16" s="30" t="str">
        <f>VLOOKUP(Table5[[#This Row],[SN]],Table2[#All],3,0)</f>
        <v>RMSA</v>
      </c>
      <c r="D16" s="30" t="str">
        <f>VLOOKUP(Table5[[#This Row],[SN]],Table2[#All],4,0)</f>
        <v>NPS</v>
      </c>
      <c r="E16" s="37">
        <f>VLOOKUP(Table5[[#This Row],[SN]],Table2[#All],13,0)</f>
        <v>49300</v>
      </c>
      <c r="F16" s="30">
        <f>ROUND(Table5[[#This Row],[BASIC PAY]]*12%,0)</f>
        <v>5916</v>
      </c>
      <c r="G16" s="30">
        <f>ROUND(Table5[[#This Row],[BASIC PAY]]*8%,0)</f>
        <v>3944</v>
      </c>
      <c r="H16" s="19"/>
      <c r="I16" s="19"/>
      <c r="J16" s="19"/>
      <c r="K16" s="19"/>
      <c r="L16" s="34">
        <f>SUM(Table5[[#This Row],[BASIC PAY]:[OTHERS]])</f>
        <v>59160</v>
      </c>
      <c r="M16" s="19">
        <v>3000</v>
      </c>
      <c r="N16" s="19">
        <v>1500</v>
      </c>
      <c r="O16" s="35">
        <f>IF(Table5[[#This Row],[TYPE]]="NPS",ROUND((Table5[[#This Row],[BASIC PAY]]+Table5[[#This Row],[DA@12%]])*10%,0),"0")</f>
        <v>5522</v>
      </c>
      <c r="P16" s="19">
        <v>2500</v>
      </c>
      <c r="Q16" s="19"/>
      <c r="R16" s="19">
        <v>566</v>
      </c>
      <c r="S16" s="19"/>
      <c r="T16" s="19"/>
      <c r="U16" s="19"/>
      <c r="V16" s="19"/>
      <c r="W16" s="19"/>
      <c r="X16" s="49">
        <f>SUM(Table5[[#This Row],[GPF]:[HOUSING LOAN]])</f>
        <v>13088</v>
      </c>
      <c r="Y16" s="37">
        <f>Table5[[#This Row],[TOTAL]]-Table5[[#This Row],[DEDUCATION]]</f>
        <v>46072</v>
      </c>
      <c r="Z16" s="20" t="str">
        <f t="shared" si="0"/>
        <v>12/07-06-19</v>
      </c>
      <c r="AA16" s="21" t="str">
        <f t="shared" si="1"/>
        <v>05/09-06-19</v>
      </c>
      <c r="AB16" s="55"/>
    </row>
    <row r="17" spans="1:28" x14ac:dyDescent="0.3">
      <c r="A17" s="29">
        <v>13</v>
      </c>
      <c r="B17" s="30" t="str">
        <f>VLOOKUP(Table5[[#This Row],[SN]],Table2[#All],5,0)</f>
        <v>SHANKAR LAL SONI</v>
      </c>
      <c r="C17" s="30" t="str">
        <f>VLOOKUP(Table5[[#This Row],[SN]],Table2[#All],3,0)</f>
        <v>RMSA</v>
      </c>
      <c r="D17" s="30" t="str">
        <f>VLOOKUP(Table5[[#This Row],[SN]],Table2[#All],4,0)</f>
        <v>GPF</v>
      </c>
      <c r="E17" s="37">
        <f>VLOOKUP(Table5[[#This Row],[SN]],Table2[#All],13,0)</f>
        <v>67200</v>
      </c>
      <c r="F17" s="30">
        <f>ROUND(Table5[[#This Row],[BASIC PAY]]*12%,0)</f>
        <v>8064</v>
      </c>
      <c r="G17" s="30">
        <f>ROUND(Table5[[#This Row],[BASIC PAY]]*8%,0)</f>
        <v>5376</v>
      </c>
      <c r="H17" s="19"/>
      <c r="I17" s="19"/>
      <c r="J17" s="19"/>
      <c r="K17" s="19"/>
      <c r="L17" s="34">
        <f>SUM(Table5[[#This Row],[BASIC PAY]:[OTHERS]])</f>
        <v>80640</v>
      </c>
      <c r="M17" s="19">
        <v>3000</v>
      </c>
      <c r="N17" s="19">
        <v>1500</v>
      </c>
      <c r="O17" s="35" t="str">
        <f>IF(Table5[[#This Row],[TYPE]]="NPS",ROUND((Table5[[#This Row],[BASIC PAY]]+Table5[[#This Row],[DA@12%]])*10%,0),"0")</f>
        <v>0</v>
      </c>
      <c r="P17" s="19"/>
      <c r="Q17" s="19"/>
      <c r="R17" s="19"/>
      <c r="S17" s="19"/>
      <c r="T17" s="19"/>
      <c r="U17" s="19"/>
      <c r="V17" s="19"/>
      <c r="W17" s="19"/>
      <c r="X17" s="49">
        <f>SUM(Table5[[#This Row],[GPF]:[HOUSING LOAN]])</f>
        <v>4500</v>
      </c>
      <c r="Y17" s="37">
        <f>Table5[[#This Row],[TOTAL]]-Table5[[#This Row],[DEDUCATION]]</f>
        <v>76140</v>
      </c>
      <c r="Z17" s="20" t="str">
        <f t="shared" si="0"/>
        <v>12/07-06-19</v>
      </c>
      <c r="AA17" s="21" t="str">
        <f t="shared" si="1"/>
        <v>05/09-06-19</v>
      </c>
      <c r="AB17" s="55"/>
    </row>
    <row r="18" spans="1:28" x14ac:dyDescent="0.3">
      <c r="A18" s="29">
        <v>14</v>
      </c>
      <c r="B18" s="30" t="str">
        <f>VLOOKUP(Table5[[#This Row],[SN]],Table2[#All],5,0)</f>
        <v>REKHA RATHORE</v>
      </c>
      <c r="C18" s="30" t="str">
        <f>VLOOKUP(Table5[[#This Row],[SN]],Table2[#All],3,0)</f>
        <v>PLAN</v>
      </c>
      <c r="D18" s="30" t="str">
        <f>VLOOKUP(Table5[[#This Row],[SN]],Table2[#All],4,0)</f>
        <v>NPS</v>
      </c>
      <c r="E18" s="37">
        <f>VLOOKUP(Table5[[#This Row],[SN]],Table2[#All],13,0)</f>
        <v>45600</v>
      </c>
      <c r="F18" s="30">
        <f>ROUND(Table5[[#This Row],[BASIC PAY]]*12%,0)</f>
        <v>5472</v>
      </c>
      <c r="G18" s="30">
        <f>ROUND(Table5[[#This Row],[BASIC PAY]]*8%,0)</f>
        <v>3648</v>
      </c>
      <c r="H18" s="19"/>
      <c r="I18" s="19"/>
      <c r="J18" s="19"/>
      <c r="K18" s="19"/>
      <c r="L18" s="34">
        <f>SUM(Table5[[#This Row],[BASIC PAY]:[OTHERS]])</f>
        <v>54720</v>
      </c>
      <c r="M18" s="19">
        <v>3000</v>
      </c>
      <c r="N18" s="19"/>
      <c r="O18" s="35">
        <f>IF(Table5[[#This Row],[TYPE]]="NPS",ROUND((Table5[[#This Row],[BASIC PAY]]+Table5[[#This Row],[DA@12%]])*10%,0),"0")</f>
        <v>5107</v>
      </c>
      <c r="P18" s="19"/>
      <c r="Q18" s="19"/>
      <c r="R18" s="19"/>
      <c r="S18" s="19"/>
      <c r="T18" s="19"/>
      <c r="U18" s="19"/>
      <c r="V18" s="19"/>
      <c r="W18" s="19"/>
      <c r="X18" s="49">
        <f>SUM(Table5[[#This Row],[GPF]:[HOUSING LOAN]])</f>
        <v>8107</v>
      </c>
      <c r="Y18" s="37">
        <f>Table5[[#This Row],[TOTAL]]-Table5[[#This Row],[DEDUCATION]]</f>
        <v>46613</v>
      </c>
      <c r="Z18" s="20" t="str">
        <f t="shared" si="0"/>
        <v>12/07-06-19</v>
      </c>
      <c r="AA18" s="21" t="str">
        <f t="shared" si="1"/>
        <v>05/09-06-19</v>
      </c>
      <c r="AB18" s="55"/>
    </row>
    <row r="19" spans="1:28" x14ac:dyDescent="0.3">
      <c r="A19" s="29">
        <v>15</v>
      </c>
      <c r="B19" s="30" t="str">
        <f>VLOOKUP(Table5[[#This Row],[SN]],Table2[#All],5,0)</f>
        <v>DINESH KUMAR</v>
      </c>
      <c r="C19" s="30" t="str">
        <f>VLOOKUP(Table5[[#This Row],[SN]],Table2[#All],3,0)</f>
        <v>PLAN</v>
      </c>
      <c r="D19" s="30" t="str">
        <f>VLOOKUP(Table5[[#This Row],[SN]],Table2[#All],4,0)</f>
        <v>NPS</v>
      </c>
      <c r="E19" s="37">
        <f>VLOOKUP(Table5[[#This Row],[SN]],Table2[#All],13,0)</f>
        <v>44300</v>
      </c>
      <c r="F19" s="30">
        <f>ROUND(Table5[[#This Row],[BASIC PAY]]*12%,0)</f>
        <v>5316</v>
      </c>
      <c r="G19" s="30">
        <f>ROUND(Table5[[#This Row],[BASIC PAY]]*8%,0)</f>
        <v>3544</v>
      </c>
      <c r="H19" s="19"/>
      <c r="I19" s="19"/>
      <c r="J19" s="19"/>
      <c r="K19" s="19"/>
      <c r="L19" s="34">
        <f>SUM(Table5[[#This Row],[BASIC PAY]:[OTHERS]])</f>
        <v>53160</v>
      </c>
      <c r="M19" s="19">
        <v>3000</v>
      </c>
      <c r="N19" s="19">
        <v>1500</v>
      </c>
      <c r="O19" s="35">
        <f>IF(Table5[[#This Row],[TYPE]]="NPS",ROUND((Table5[[#This Row],[BASIC PAY]]+Table5[[#This Row],[DA@12%]])*10%,0),"0")</f>
        <v>4962</v>
      </c>
      <c r="P19" s="19"/>
      <c r="Q19" s="19"/>
      <c r="R19" s="19"/>
      <c r="S19" s="19"/>
      <c r="T19" s="19">
        <v>2500</v>
      </c>
      <c r="U19" s="19"/>
      <c r="V19" s="19"/>
      <c r="W19" s="19"/>
      <c r="X19" s="49">
        <f>SUM(Table5[[#This Row],[GPF]:[HOUSING LOAN]])</f>
        <v>11962</v>
      </c>
      <c r="Y19" s="37">
        <f>Table5[[#This Row],[TOTAL]]-Table5[[#This Row],[DEDUCATION]]</f>
        <v>41198</v>
      </c>
      <c r="Z19" s="20" t="str">
        <f t="shared" si="0"/>
        <v>12/07-06-19</v>
      </c>
      <c r="AA19" s="21" t="str">
        <f t="shared" si="1"/>
        <v>05/09-06-19</v>
      </c>
      <c r="AB19" s="55"/>
    </row>
    <row r="20" spans="1:28" x14ac:dyDescent="0.3">
      <c r="A20" s="29">
        <v>16</v>
      </c>
      <c r="B20" s="30" t="str">
        <f>VLOOKUP(Table5[[#This Row],[SN]],Table2[#All],5,0)</f>
        <v>AVERINDER PAL JEET SINGH</v>
      </c>
      <c r="C20" s="30" t="str">
        <f>VLOOKUP(Table5[[#This Row],[SN]],Table2[#All],3,0)</f>
        <v>PLAN</v>
      </c>
      <c r="D20" s="30" t="str">
        <f>VLOOKUP(Table5[[#This Row],[SN]],Table2[#All],4,0)</f>
        <v>NPS</v>
      </c>
      <c r="E20" s="37">
        <f>VLOOKUP(Table5[[#This Row],[SN]],Table2[#All],13,0)</f>
        <v>31100</v>
      </c>
      <c r="F20" s="30">
        <f>ROUND(Table5[[#This Row],[BASIC PAY]]*12%,0)</f>
        <v>3732</v>
      </c>
      <c r="G20" s="30">
        <f>ROUND(Table5[[#This Row],[BASIC PAY]]*8%,0)</f>
        <v>2488</v>
      </c>
      <c r="H20" s="19"/>
      <c r="I20" s="19"/>
      <c r="J20" s="19"/>
      <c r="K20" s="19"/>
      <c r="L20" s="34">
        <f>SUM(Table5[[#This Row],[BASIC PAY]:[OTHERS]])</f>
        <v>37320</v>
      </c>
      <c r="M20" s="19">
        <v>3000</v>
      </c>
      <c r="N20" s="19">
        <v>1500</v>
      </c>
      <c r="O20" s="35">
        <f>IF(Table5[[#This Row],[TYPE]]="NPS",ROUND((Table5[[#This Row],[BASIC PAY]]+Table5[[#This Row],[DA@12%]])*10%,0),"0")</f>
        <v>3483</v>
      </c>
      <c r="P20" s="19"/>
      <c r="Q20" s="19"/>
      <c r="R20" s="19"/>
      <c r="S20" s="19"/>
      <c r="T20" s="19"/>
      <c r="U20" s="19"/>
      <c r="V20" s="19"/>
      <c r="W20" s="19"/>
      <c r="X20" s="49">
        <f>SUM(Table5[[#This Row],[GPF]:[HOUSING LOAN]])</f>
        <v>7983</v>
      </c>
      <c r="Y20" s="37">
        <f>Table5[[#This Row],[TOTAL]]-Table5[[#This Row],[DEDUCATION]]</f>
        <v>29337</v>
      </c>
      <c r="Z20" s="20" t="str">
        <f t="shared" si="0"/>
        <v>12/07-06-19</v>
      </c>
      <c r="AA20" s="21" t="str">
        <f t="shared" si="1"/>
        <v>05/09-06-19</v>
      </c>
      <c r="AB20" s="55"/>
    </row>
    <row r="21" spans="1:28" x14ac:dyDescent="0.3">
      <c r="A21" s="29">
        <v>17</v>
      </c>
      <c r="B21" s="30" t="str">
        <f>VLOOKUP(Table5[[#This Row],[SN]],Table2[#All],5,0)</f>
        <v>SATYA PRAKASH SANKHLA</v>
      </c>
      <c r="C21" s="30" t="str">
        <f>VLOOKUP(Table5[[#This Row],[SN]],Table2[#All],3,0)</f>
        <v>789P</v>
      </c>
      <c r="D21" s="30" t="str">
        <f>VLOOKUP(Table5[[#This Row],[SN]],Table2[#All],4,0)</f>
        <v>NPS</v>
      </c>
      <c r="E21" s="37">
        <f>VLOOKUP(Table5[[#This Row],[SN]],Table2[#All],13,0)</f>
        <v>31100</v>
      </c>
      <c r="F21" s="30">
        <f>ROUND(Table5[[#This Row],[BASIC PAY]]*12%,0)</f>
        <v>3732</v>
      </c>
      <c r="G21" s="30">
        <f>ROUND(Table5[[#This Row],[BASIC PAY]]*8%,0)</f>
        <v>2488</v>
      </c>
      <c r="H21" s="19"/>
      <c r="I21" s="19"/>
      <c r="J21" s="19"/>
      <c r="K21" s="19"/>
      <c r="L21" s="34">
        <f>SUM(Table5[[#This Row],[BASIC PAY]:[OTHERS]])</f>
        <v>37320</v>
      </c>
      <c r="M21" s="19">
        <v>3000</v>
      </c>
      <c r="N21" s="19">
        <v>1500</v>
      </c>
      <c r="O21" s="35">
        <f>IF(Table5[[#This Row],[TYPE]]="NPS",ROUND((Table5[[#This Row],[BASIC PAY]]+Table5[[#This Row],[DA@12%]])*10%,0),"0")</f>
        <v>3483</v>
      </c>
      <c r="P21" s="19"/>
      <c r="Q21" s="19"/>
      <c r="R21" s="19"/>
      <c r="S21" s="19"/>
      <c r="T21" s="19"/>
      <c r="U21" s="19"/>
      <c r="V21" s="19"/>
      <c r="W21" s="19"/>
      <c r="X21" s="49">
        <f>SUM(Table5[[#This Row],[GPF]:[HOUSING LOAN]])</f>
        <v>7983</v>
      </c>
      <c r="Y21" s="37">
        <f>Table5[[#This Row],[TOTAL]]-Table5[[#This Row],[DEDUCATION]]</f>
        <v>29337</v>
      </c>
      <c r="Z21" s="20" t="str">
        <f t="shared" si="0"/>
        <v>12/07-06-19</v>
      </c>
      <c r="AA21" s="21" t="str">
        <f t="shared" si="1"/>
        <v>05/09-06-19</v>
      </c>
      <c r="AB21" s="55"/>
    </row>
    <row r="22" spans="1:28" x14ac:dyDescent="0.3">
      <c r="A22" s="29">
        <v>18</v>
      </c>
      <c r="B22" s="30" t="str">
        <f>VLOOKUP(Table5[[#This Row],[SN]],Table2[#All],5,0)</f>
        <v>INDIRA</v>
      </c>
      <c r="C22" s="30" t="str">
        <f>VLOOKUP(Table5[[#This Row],[SN]],Table2[#All],3,0)</f>
        <v>PEEO</v>
      </c>
      <c r="D22" s="30" t="str">
        <f>VLOOKUP(Table5[[#This Row],[SN]],Table2[#All],4,0)</f>
        <v>NPS</v>
      </c>
      <c r="E22" s="37">
        <f>VLOOKUP(Table5[[#This Row],[SN]],Table2[#All],13,0)</f>
        <v>38000</v>
      </c>
      <c r="F22" s="30">
        <f>ROUND(Table5[[#This Row],[BASIC PAY]]*12%,0)</f>
        <v>4560</v>
      </c>
      <c r="G22" s="30">
        <f>ROUND(Table5[[#This Row],[BASIC PAY]]*8%,0)</f>
        <v>3040</v>
      </c>
      <c r="H22" s="19"/>
      <c r="I22" s="19"/>
      <c r="J22" s="19"/>
      <c r="K22" s="19"/>
      <c r="L22" s="34">
        <f>SUM(Table5[[#This Row],[BASIC PAY]:[OTHERS]])</f>
        <v>45600</v>
      </c>
      <c r="M22" s="19">
        <v>3000</v>
      </c>
      <c r="N22" s="19"/>
      <c r="O22" s="35">
        <f>IF(Table5[[#This Row],[TYPE]]="NPS",ROUND((Table5[[#This Row],[BASIC PAY]]+Table5[[#This Row],[DA@12%]])*10%,0),"0")</f>
        <v>4256</v>
      </c>
      <c r="P22" s="19"/>
      <c r="Q22" s="19"/>
      <c r="R22" s="19">
        <v>768</v>
      </c>
      <c r="S22" s="19"/>
      <c r="T22" s="19"/>
      <c r="U22" s="19"/>
      <c r="V22" s="19"/>
      <c r="W22" s="19"/>
      <c r="X22" s="49">
        <f>SUM(Table5[[#This Row],[GPF]:[HOUSING LOAN]])</f>
        <v>8024</v>
      </c>
      <c r="Y22" s="37">
        <f>Table5[[#This Row],[TOTAL]]-Table5[[#This Row],[DEDUCATION]]</f>
        <v>37576</v>
      </c>
      <c r="Z22" s="20" t="str">
        <f t="shared" si="0"/>
        <v>12/07-06-19</v>
      </c>
      <c r="AA22" s="21" t="str">
        <f t="shared" si="1"/>
        <v>05/09-06-19</v>
      </c>
      <c r="AB22" s="55"/>
    </row>
    <row r="23" spans="1:28" x14ac:dyDescent="0.3">
      <c r="A23" s="29">
        <v>19</v>
      </c>
      <c r="B23" s="30" t="str">
        <f>VLOOKUP(Table5[[#This Row],[SN]],Table2[#All],5,0)</f>
        <v>RADHEYSHYAM BAIRWA</v>
      </c>
      <c r="C23" s="30" t="str">
        <f>VLOOKUP(Table5[[#This Row],[SN]],Table2[#All],3,0)</f>
        <v>PLAN</v>
      </c>
      <c r="D23" s="30" t="str">
        <f>VLOOKUP(Table5[[#This Row],[SN]],Table2[#All],4,0)</f>
        <v>GPF</v>
      </c>
      <c r="E23" s="37">
        <f>VLOOKUP(Table5[[#This Row],[SN]],Table2[#All],13,0)</f>
        <v>45000</v>
      </c>
      <c r="F23" s="30">
        <f>ROUND(Table5[[#This Row],[BASIC PAY]]*12%,0)</f>
        <v>5400</v>
      </c>
      <c r="G23" s="30">
        <f>ROUND(Table5[[#This Row],[BASIC PAY]]*8%,0)</f>
        <v>3600</v>
      </c>
      <c r="H23" s="19"/>
      <c r="I23" s="19"/>
      <c r="J23" s="19"/>
      <c r="K23" s="19"/>
      <c r="L23" s="34">
        <f>SUM(Table5[[#This Row],[BASIC PAY]:[OTHERS]])</f>
        <v>54000</v>
      </c>
      <c r="M23" s="19">
        <v>3000</v>
      </c>
      <c r="N23" s="19">
        <v>1500</v>
      </c>
      <c r="O23" s="35" t="str">
        <f>IF(Table5[[#This Row],[TYPE]]="NPS",ROUND((Table5[[#This Row],[BASIC PAY]]+Table5[[#This Row],[DA@12%]])*10%,0),"0")</f>
        <v>0</v>
      </c>
      <c r="P23" s="19"/>
      <c r="Q23" s="19"/>
      <c r="R23" s="19"/>
      <c r="S23" s="19"/>
      <c r="T23" s="19"/>
      <c r="U23" s="19"/>
      <c r="V23" s="19"/>
      <c r="W23" s="19"/>
      <c r="X23" s="49">
        <f>SUM(Table5[[#This Row],[GPF]:[HOUSING LOAN]])</f>
        <v>4500</v>
      </c>
      <c r="Y23" s="37">
        <f>Table5[[#This Row],[TOTAL]]-Table5[[#This Row],[DEDUCATION]]</f>
        <v>49500</v>
      </c>
      <c r="Z23" s="20" t="str">
        <f t="shared" si="0"/>
        <v>12/07-06-19</v>
      </c>
      <c r="AA23" s="21" t="str">
        <f t="shared" si="1"/>
        <v>05/09-06-19</v>
      </c>
      <c r="AB23" s="55"/>
    </row>
    <row r="24" spans="1:28" x14ac:dyDescent="0.3">
      <c r="A24" s="29">
        <v>20</v>
      </c>
      <c r="B24" s="30" t="str">
        <f>VLOOKUP(Table5[[#This Row],[SN]],Table2[#All],5,0)</f>
        <v>RAM SINGH MEENA</v>
      </c>
      <c r="C24" s="30" t="str">
        <f>VLOOKUP(Table5[[#This Row],[SN]],Table2[#All],3,0)</f>
        <v>PEEO</v>
      </c>
      <c r="D24" s="30" t="str">
        <f>VLOOKUP(Table5[[#This Row],[SN]],Table2[#All],4,0)</f>
        <v>GPF</v>
      </c>
      <c r="E24" s="37">
        <f>VLOOKUP(Table5[[#This Row],[SN]],Table2[#All],13,0)</f>
        <v>50000</v>
      </c>
      <c r="F24" s="30">
        <f>ROUND(Table5[[#This Row],[BASIC PAY]]*12%,0)</f>
        <v>6000</v>
      </c>
      <c r="G24" s="30">
        <f>ROUND(Table5[[#This Row],[BASIC PAY]]*8%,0)</f>
        <v>4000</v>
      </c>
      <c r="H24" s="19"/>
      <c r="I24" s="19"/>
      <c r="J24" s="19"/>
      <c r="K24" s="19"/>
      <c r="L24" s="34">
        <f>SUM(Table5[[#This Row],[BASIC PAY]:[OTHERS]])</f>
        <v>60000</v>
      </c>
      <c r="M24" s="19">
        <v>3000</v>
      </c>
      <c r="N24" s="19">
        <v>1500</v>
      </c>
      <c r="O24" s="35" t="str">
        <f>IF(Table5[[#This Row],[TYPE]]="NPS",ROUND((Table5[[#This Row],[BASIC PAY]]+Table5[[#This Row],[DA@12%]])*10%,0),"0")</f>
        <v>0</v>
      </c>
      <c r="P24" s="19"/>
      <c r="Q24" s="19"/>
      <c r="R24" s="19"/>
      <c r="S24" s="19"/>
      <c r="T24" s="19">
        <v>4500</v>
      </c>
      <c r="U24" s="19"/>
      <c r="V24" s="19"/>
      <c r="W24" s="19"/>
      <c r="X24" s="49">
        <f>SUM(Table5[[#This Row],[GPF]:[HOUSING LOAN]])</f>
        <v>9000</v>
      </c>
      <c r="Y24" s="37">
        <f>Table5[[#This Row],[TOTAL]]-Table5[[#This Row],[DEDUCATION]]</f>
        <v>51000</v>
      </c>
      <c r="Z24" s="20" t="str">
        <f t="shared" si="0"/>
        <v>12/07-06-19</v>
      </c>
      <c r="AA24" s="21" t="str">
        <f t="shared" si="1"/>
        <v>05/09-06-19</v>
      </c>
      <c r="AB24" s="55"/>
    </row>
    <row r="25" spans="1:28" x14ac:dyDescent="0.3">
      <c r="A25" s="29">
        <v>21</v>
      </c>
      <c r="B25" s="30" t="str">
        <f>VLOOKUP(Table5[[#This Row],[SN]],Table2[#All],5,0)</f>
        <v>RAJU LAL VERMA</v>
      </c>
      <c r="C25" s="30" t="str">
        <f>VLOOKUP(Table5[[#This Row],[SN]],Table2[#All],3,0)</f>
        <v>PEEO</v>
      </c>
      <c r="D25" s="30" t="str">
        <f>VLOOKUP(Table5[[#This Row],[SN]],Table2[#All],4,0)</f>
        <v>GPF</v>
      </c>
      <c r="E25" s="37">
        <f>VLOOKUP(Table5[[#This Row],[SN]],Table2[#All],13,0)</f>
        <v>50000</v>
      </c>
      <c r="F25" s="30">
        <f>ROUND(Table5[[#This Row],[BASIC PAY]]*12%,0)</f>
        <v>6000</v>
      </c>
      <c r="G25" s="30">
        <f>ROUND(Table5[[#This Row],[BASIC PAY]]*8%,0)</f>
        <v>4000</v>
      </c>
      <c r="H25" s="19"/>
      <c r="I25" s="19"/>
      <c r="J25" s="19"/>
      <c r="K25" s="19"/>
      <c r="L25" s="34">
        <f>SUM(Table5[[#This Row],[BASIC PAY]:[OTHERS]])</f>
        <v>60000</v>
      </c>
      <c r="M25" s="19">
        <v>3000</v>
      </c>
      <c r="N25" s="19">
        <v>1500</v>
      </c>
      <c r="O25" s="35" t="str">
        <f>IF(Table5[[#This Row],[TYPE]]="NPS",ROUND((Table5[[#This Row],[BASIC PAY]]+Table5[[#This Row],[DA@12%]])*10%,0),"0")</f>
        <v>0</v>
      </c>
      <c r="P25" s="19"/>
      <c r="Q25" s="19"/>
      <c r="R25" s="19"/>
      <c r="S25" s="19"/>
      <c r="T25" s="19"/>
      <c r="U25" s="19"/>
      <c r="V25" s="19"/>
      <c r="W25" s="19"/>
      <c r="X25" s="49">
        <f>SUM(Table5[[#This Row],[GPF]:[HOUSING LOAN]])</f>
        <v>4500</v>
      </c>
      <c r="Y25" s="37">
        <f>Table5[[#This Row],[TOTAL]]-Table5[[#This Row],[DEDUCATION]]</f>
        <v>55500</v>
      </c>
      <c r="Z25" s="20" t="str">
        <f t="shared" si="0"/>
        <v>12/07-06-19</v>
      </c>
      <c r="AA25" s="21" t="str">
        <f t="shared" si="1"/>
        <v>05/09-06-19</v>
      </c>
      <c r="AB25" s="55"/>
    </row>
    <row r="26" spans="1:28" x14ac:dyDescent="0.3">
      <c r="A26" s="29">
        <v>22</v>
      </c>
      <c r="B26" s="30" t="str">
        <f>VLOOKUP(Table5[[#This Row],[SN]],Table2[#All],5,0)</f>
        <v>SUNITA DEVI SHARMA</v>
      </c>
      <c r="C26" s="30" t="str">
        <f>VLOOKUP(Table5[[#This Row],[SN]],Table2[#All],3,0)</f>
        <v>PEEO</v>
      </c>
      <c r="D26" s="30" t="str">
        <f>VLOOKUP(Table5[[#This Row],[SN]],Table2[#All],4,0)</f>
        <v>GPF</v>
      </c>
      <c r="E26" s="37">
        <f>VLOOKUP(Table5[[#This Row],[SN]],Table2[#All],13,0)</f>
        <v>50000</v>
      </c>
      <c r="F26" s="30">
        <f>ROUND(Table5[[#This Row],[BASIC PAY]]*12%,0)</f>
        <v>6000</v>
      </c>
      <c r="G26" s="30">
        <f>ROUND(Table5[[#This Row],[BASIC PAY]]*8%,0)</f>
        <v>4000</v>
      </c>
      <c r="H26" s="19"/>
      <c r="I26" s="19"/>
      <c r="J26" s="19"/>
      <c r="K26" s="19"/>
      <c r="L26" s="34">
        <f>SUM(Table5[[#This Row],[BASIC PAY]:[OTHERS]])</f>
        <v>60000</v>
      </c>
      <c r="M26" s="19">
        <v>3000</v>
      </c>
      <c r="N26" s="19">
        <v>1500</v>
      </c>
      <c r="O26" s="35" t="str">
        <f>IF(Table5[[#This Row],[TYPE]]="NPS",ROUND((Table5[[#This Row],[BASIC PAY]]+Table5[[#This Row],[DA@12%]])*10%,0),"0")</f>
        <v>0</v>
      </c>
      <c r="P26" s="19"/>
      <c r="Q26" s="19"/>
      <c r="R26" s="19"/>
      <c r="S26" s="19"/>
      <c r="T26" s="19"/>
      <c r="U26" s="19"/>
      <c r="V26" s="19"/>
      <c r="W26" s="19"/>
      <c r="X26" s="49">
        <f>SUM(Table5[[#This Row],[GPF]:[HOUSING LOAN]])</f>
        <v>4500</v>
      </c>
      <c r="Y26" s="37">
        <f>Table5[[#This Row],[TOTAL]]-Table5[[#This Row],[DEDUCATION]]</f>
        <v>55500</v>
      </c>
      <c r="Z26" s="20" t="str">
        <f t="shared" si="0"/>
        <v>12/07-06-19</v>
      </c>
      <c r="AA26" s="21" t="str">
        <f t="shared" si="1"/>
        <v>05/09-06-19</v>
      </c>
      <c r="AB26" s="55"/>
    </row>
    <row r="27" spans="1:28" x14ac:dyDescent="0.3">
      <c r="A27" s="29">
        <v>23</v>
      </c>
      <c r="B27" s="30" t="str">
        <f>VLOOKUP(Table5[[#This Row],[SN]],Table2[#All],5,0)</f>
        <v>MOTI LAL MEENA</v>
      </c>
      <c r="C27" s="30" t="str">
        <f>VLOOKUP(Table5[[#This Row],[SN]],Table2[#All],3,0)</f>
        <v>PEEO</v>
      </c>
      <c r="D27" s="30" t="str">
        <f>VLOOKUP(Table5[[#This Row],[SN]],Table2[#All],4,0)</f>
        <v>GPF</v>
      </c>
      <c r="E27" s="37">
        <f>VLOOKUP(Table5[[#This Row],[SN]],Table2[#All],13,0)</f>
        <v>50000</v>
      </c>
      <c r="F27" s="30">
        <f>ROUND(Table5[[#This Row],[BASIC PAY]]*12%,0)</f>
        <v>6000</v>
      </c>
      <c r="G27" s="30">
        <f>ROUND(Table5[[#This Row],[BASIC PAY]]*8%,0)</f>
        <v>4000</v>
      </c>
      <c r="H27" s="19"/>
      <c r="I27" s="19"/>
      <c r="J27" s="19"/>
      <c r="K27" s="19"/>
      <c r="L27" s="34">
        <f>SUM(Table5[[#This Row],[BASIC PAY]:[OTHERS]])</f>
        <v>60000</v>
      </c>
      <c r="M27" s="19">
        <v>3000</v>
      </c>
      <c r="N27" s="19"/>
      <c r="O27" s="35" t="str">
        <f>IF(Table5[[#This Row],[TYPE]]="NPS",ROUND((Table5[[#This Row],[BASIC PAY]]+Table5[[#This Row],[DA@12%]])*10%,0),"0")</f>
        <v>0</v>
      </c>
      <c r="P27" s="19"/>
      <c r="Q27" s="19"/>
      <c r="R27" s="19"/>
      <c r="S27" s="19"/>
      <c r="T27" s="19">
        <v>450</v>
      </c>
      <c r="U27" s="19"/>
      <c r="V27" s="19"/>
      <c r="W27" s="19"/>
      <c r="X27" s="49">
        <f>SUM(Table5[[#This Row],[GPF]:[HOUSING LOAN]])</f>
        <v>3450</v>
      </c>
      <c r="Y27" s="37">
        <f>Table5[[#This Row],[TOTAL]]-Table5[[#This Row],[DEDUCATION]]</f>
        <v>56550</v>
      </c>
      <c r="Z27" s="20" t="str">
        <f t="shared" si="0"/>
        <v>12/07-06-19</v>
      </c>
      <c r="AA27" s="21" t="str">
        <f t="shared" si="1"/>
        <v>05/09-06-19</v>
      </c>
      <c r="AB27" s="55"/>
    </row>
    <row r="28" spans="1:28" x14ac:dyDescent="0.3">
      <c r="A28" s="29">
        <v>24</v>
      </c>
      <c r="B28" s="30" t="str">
        <f>VLOOKUP(Table5[[#This Row],[SN]],Table2[#All],5,0)</f>
        <v>SURESH CHAND VIJAY</v>
      </c>
      <c r="C28" s="30" t="str">
        <f>VLOOKUP(Table5[[#This Row],[SN]],Table2[#All],3,0)</f>
        <v>PEEO</v>
      </c>
      <c r="D28" s="30" t="str">
        <f>VLOOKUP(Table5[[#This Row],[SN]],Table2[#All],4,0)</f>
        <v>GPF</v>
      </c>
      <c r="E28" s="37">
        <f>VLOOKUP(Table5[[#This Row],[SN]],Table2[#All],13,0)</f>
        <v>50000</v>
      </c>
      <c r="F28" s="30">
        <f>ROUND(Table5[[#This Row],[BASIC PAY]]*12%,0)</f>
        <v>6000</v>
      </c>
      <c r="G28" s="30">
        <f>ROUND(Table5[[#This Row],[BASIC PAY]]*8%,0)</f>
        <v>4000</v>
      </c>
      <c r="H28" s="19"/>
      <c r="I28" s="19"/>
      <c r="J28" s="19"/>
      <c r="K28" s="19"/>
      <c r="L28" s="34">
        <f>SUM(Table5[[#This Row],[BASIC PAY]:[OTHERS]])</f>
        <v>60000</v>
      </c>
      <c r="M28" s="19">
        <v>3000</v>
      </c>
      <c r="N28" s="19">
        <v>1500</v>
      </c>
      <c r="O28" s="35" t="str">
        <f>IF(Table5[[#This Row],[TYPE]]="NPS",ROUND((Table5[[#This Row],[BASIC PAY]]+Table5[[#This Row],[DA@12%]])*10%,0),"0")</f>
        <v>0</v>
      </c>
      <c r="P28" s="19"/>
      <c r="Q28" s="19"/>
      <c r="R28" s="19"/>
      <c r="S28" s="19"/>
      <c r="T28" s="19"/>
      <c r="U28" s="19"/>
      <c r="V28" s="19"/>
      <c r="W28" s="19"/>
      <c r="X28" s="49">
        <f>SUM(Table5[[#This Row],[GPF]:[HOUSING LOAN]])</f>
        <v>4500</v>
      </c>
      <c r="Y28" s="37">
        <f>Table5[[#This Row],[TOTAL]]-Table5[[#This Row],[DEDUCATION]]</f>
        <v>55500</v>
      </c>
      <c r="Z28" s="20" t="str">
        <f t="shared" si="0"/>
        <v>12/07-06-19</v>
      </c>
      <c r="AA28" s="21" t="str">
        <f t="shared" si="1"/>
        <v>05/09-06-19</v>
      </c>
      <c r="AB28" s="55"/>
    </row>
    <row r="29" spans="1:28" x14ac:dyDescent="0.3">
      <c r="A29" s="29">
        <v>25</v>
      </c>
      <c r="B29" s="30" t="str">
        <f>VLOOKUP(Table5[[#This Row],[SN]],Table2[#All],5,0)</f>
        <v>RADHAMOHAN JANGID</v>
      </c>
      <c r="C29" s="30" t="str">
        <f>VLOOKUP(Table5[[#This Row],[SN]],Table2[#All],3,0)</f>
        <v>PEEO</v>
      </c>
      <c r="D29" s="30" t="str">
        <f>VLOOKUP(Table5[[#This Row],[SN]],Table2[#All],4,0)</f>
        <v>GPF</v>
      </c>
      <c r="E29" s="37">
        <f>VLOOKUP(Table5[[#This Row],[SN]],Table2[#All],13,0)</f>
        <v>50000</v>
      </c>
      <c r="F29" s="30">
        <f>ROUND(Table5[[#This Row],[BASIC PAY]]*12%,0)</f>
        <v>6000</v>
      </c>
      <c r="G29" s="30">
        <f>ROUND(Table5[[#This Row],[BASIC PAY]]*8%,0)</f>
        <v>4000</v>
      </c>
      <c r="H29" s="19"/>
      <c r="I29" s="19"/>
      <c r="J29" s="19"/>
      <c r="K29" s="19"/>
      <c r="L29" s="34">
        <f>SUM(Table5[[#This Row],[BASIC PAY]:[OTHERS]])</f>
        <v>60000</v>
      </c>
      <c r="M29" s="19">
        <v>3000</v>
      </c>
      <c r="N29" s="19">
        <v>1500</v>
      </c>
      <c r="O29" s="35" t="str">
        <f>IF(Table5[[#This Row],[TYPE]]="NPS",ROUND((Table5[[#This Row],[BASIC PAY]]+Table5[[#This Row],[DA@12%]])*10%,0),"0")</f>
        <v>0</v>
      </c>
      <c r="P29" s="19"/>
      <c r="Q29" s="19"/>
      <c r="R29" s="19"/>
      <c r="S29" s="19"/>
      <c r="T29" s="19"/>
      <c r="U29" s="19"/>
      <c r="V29" s="19"/>
      <c r="W29" s="19"/>
      <c r="X29" s="49">
        <f>SUM(Table5[[#This Row],[GPF]:[HOUSING LOAN]])</f>
        <v>4500</v>
      </c>
      <c r="Y29" s="37">
        <f>Table5[[#This Row],[TOTAL]]-Table5[[#This Row],[DEDUCATION]]</f>
        <v>55500</v>
      </c>
      <c r="Z29" s="20" t="str">
        <f t="shared" si="0"/>
        <v>12/07-06-19</v>
      </c>
      <c r="AA29" s="21" t="str">
        <f t="shared" si="1"/>
        <v>05/09-06-19</v>
      </c>
      <c r="AB29" s="55"/>
    </row>
    <row r="30" spans="1:28" x14ac:dyDescent="0.3">
      <c r="A30" s="29">
        <v>26</v>
      </c>
      <c r="B30" s="30" t="str">
        <f>VLOOKUP(Table5[[#This Row],[SN]],Table2[#All],5,0)</f>
        <v>PRABHATI LAL SONY</v>
      </c>
      <c r="C30" s="30" t="str">
        <f>VLOOKUP(Table5[[#This Row],[SN]],Table2[#All],3,0)</f>
        <v>PEEO</v>
      </c>
      <c r="D30" s="30" t="str">
        <f>VLOOKUP(Table5[[#This Row],[SN]],Table2[#All],4,0)</f>
        <v>GPF</v>
      </c>
      <c r="E30" s="37">
        <f>VLOOKUP(Table5[[#This Row],[SN]],Table2[#All],13,0)</f>
        <v>50000</v>
      </c>
      <c r="F30" s="30">
        <f>ROUND(Table5[[#This Row],[BASIC PAY]]*12%,0)</f>
        <v>6000</v>
      </c>
      <c r="G30" s="30">
        <f>ROUND(Table5[[#This Row],[BASIC PAY]]*8%,0)</f>
        <v>4000</v>
      </c>
      <c r="H30" s="19"/>
      <c r="I30" s="19"/>
      <c r="J30" s="19"/>
      <c r="K30" s="19"/>
      <c r="L30" s="34">
        <f>SUM(Table5[[#This Row],[BASIC PAY]:[OTHERS]])</f>
        <v>60000</v>
      </c>
      <c r="M30" s="19">
        <v>3000</v>
      </c>
      <c r="N30" s="19">
        <v>1500</v>
      </c>
      <c r="O30" s="35" t="str">
        <f>IF(Table5[[#This Row],[TYPE]]="NPS",ROUND((Table5[[#This Row],[BASIC PAY]]+Table5[[#This Row],[DA@12%]])*10%,0),"0")</f>
        <v>0</v>
      </c>
      <c r="P30" s="19"/>
      <c r="Q30" s="19"/>
      <c r="R30" s="19"/>
      <c r="S30" s="19"/>
      <c r="T30" s="19"/>
      <c r="U30" s="19"/>
      <c r="V30" s="19"/>
      <c r="W30" s="19"/>
      <c r="X30" s="49">
        <f>SUM(Table5[[#This Row],[GPF]:[HOUSING LOAN]])</f>
        <v>4500</v>
      </c>
      <c r="Y30" s="37">
        <f>Table5[[#This Row],[TOTAL]]-Table5[[#This Row],[DEDUCATION]]</f>
        <v>55500</v>
      </c>
      <c r="Z30" s="20" t="str">
        <f t="shared" si="0"/>
        <v>12/07-06-19</v>
      </c>
      <c r="AA30" s="21" t="str">
        <f t="shared" si="1"/>
        <v>05/09-06-19</v>
      </c>
      <c r="AB30" s="55"/>
    </row>
    <row r="31" spans="1:28" x14ac:dyDescent="0.3">
      <c r="A31" s="29">
        <v>27</v>
      </c>
      <c r="B31" s="30" t="str">
        <f>VLOOKUP(Table5[[#This Row],[SN]],Table2[#All],5,0)</f>
        <v xml:space="preserve">MANJU BALA </v>
      </c>
      <c r="C31" s="30" t="str">
        <f>VLOOKUP(Table5[[#This Row],[SN]],Table2[#All],3,0)</f>
        <v>PEEO</v>
      </c>
      <c r="D31" s="30" t="str">
        <f>VLOOKUP(Table5[[#This Row],[SN]],Table2[#All],4,0)</f>
        <v>GPF</v>
      </c>
      <c r="E31" s="37">
        <f>VLOOKUP(Table5[[#This Row],[SN]],Table2[#All],13,0)</f>
        <v>50000</v>
      </c>
      <c r="F31" s="30">
        <f>ROUND(Table5[[#This Row],[BASIC PAY]]*12%,0)</f>
        <v>6000</v>
      </c>
      <c r="G31" s="30">
        <f>ROUND(Table5[[#This Row],[BASIC PAY]]*8%,0)</f>
        <v>4000</v>
      </c>
      <c r="H31" s="19"/>
      <c r="I31" s="19"/>
      <c r="J31" s="19"/>
      <c r="K31" s="19"/>
      <c r="L31" s="34">
        <f>SUM(Table5[[#This Row],[BASIC PAY]:[OTHERS]])</f>
        <v>60000</v>
      </c>
      <c r="M31" s="19">
        <v>3000</v>
      </c>
      <c r="N31" s="19">
        <v>1500</v>
      </c>
      <c r="O31" s="35" t="str">
        <f>IF(Table5[[#This Row],[TYPE]]="NPS",ROUND((Table5[[#This Row],[BASIC PAY]]+Table5[[#This Row],[DA@12%]])*10%,0),"0")</f>
        <v>0</v>
      </c>
      <c r="P31" s="19"/>
      <c r="Q31" s="19"/>
      <c r="R31" s="19"/>
      <c r="S31" s="19"/>
      <c r="T31" s="19">
        <v>4500</v>
      </c>
      <c r="U31" s="19"/>
      <c r="V31" s="19"/>
      <c r="W31" s="19"/>
      <c r="X31" s="49">
        <f>SUM(Table5[[#This Row],[GPF]:[HOUSING LOAN]])</f>
        <v>9000</v>
      </c>
      <c r="Y31" s="37">
        <f>Table5[[#This Row],[TOTAL]]-Table5[[#This Row],[DEDUCATION]]</f>
        <v>51000</v>
      </c>
      <c r="Z31" s="20" t="str">
        <f t="shared" si="0"/>
        <v>12/07-06-19</v>
      </c>
      <c r="AA31" s="21" t="str">
        <f t="shared" si="1"/>
        <v>05/09-06-19</v>
      </c>
      <c r="AB31" s="55"/>
    </row>
    <row r="32" spans="1:28" x14ac:dyDescent="0.3">
      <c r="A32" s="29">
        <v>28</v>
      </c>
      <c r="B32" s="30" t="str">
        <f>VLOOKUP(Table5[[#This Row],[SN]],Table2[#All],5,0)</f>
        <v>VINOD KUMAR YADAV</v>
      </c>
      <c r="C32" s="30" t="str">
        <f>VLOOKUP(Table5[[#This Row],[SN]],Table2[#All],3,0)</f>
        <v>PEEO</v>
      </c>
      <c r="D32" s="30" t="str">
        <f>VLOOKUP(Table5[[#This Row],[SN]],Table2[#All],4,0)</f>
        <v>GPF</v>
      </c>
      <c r="E32" s="37">
        <f>VLOOKUP(Table5[[#This Row],[SN]],Table2[#All],13,0)</f>
        <v>50000</v>
      </c>
      <c r="F32" s="30">
        <f>ROUND(Table5[[#This Row],[BASIC PAY]]*12%,0)</f>
        <v>6000</v>
      </c>
      <c r="G32" s="30">
        <f>ROUND(Table5[[#This Row],[BASIC PAY]]*8%,0)</f>
        <v>4000</v>
      </c>
      <c r="H32" s="19"/>
      <c r="I32" s="19"/>
      <c r="J32" s="19"/>
      <c r="K32" s="19"/>
      <c r="L32" s="34">
        <f>SUM(Table5[[#This Row],[BASIC PAY]:[OTHERS]])</f>
        <v>60000</v>
      </c>
      <c r="M32" s="19">
        <v>3000</v>
      </c>
      <c r="N32" s="19">
        <v>1500</v>
      </c>
      <c r="O32" s="35" t="str">
        <f>IF(Table5[[#This Row],[TYPE]]="NPS",ROUND((Table5[[#This Row],[BASIC PAY]]+Table5[[#This Row],[DA@12%]])*10%,0),"0")</f>
        <v>0</v>
      </c>
      <c r="P32" s="19"/>
      <c r="Q32" s="19"/>
      <c r="R32" s="19"/>
      <c r="S32" s="19"/>
      <c r="T32" s="19"/>
      <c r="U32" s="19"/>
      <c r="V32" s="19"/>
      <c r="W32" s="19"/>
      <c r="X32" s="49">
        <f>SUM(Table5[[#This Row],[GPF]:[HOUSING LOAN]])</f>
        <v>4500</v>
      </c>
      <c r="Y32" s="37">
        <f>Table5[[#This Row],[TOTAL]]-Table5[[#This Row],[DEDUCATION]]</f>
        <v>55500</v>
      </c>
      <c r="Z32" s="20" t="str">
        <f t="shared" si="0"/>
        <v>12/07-06-19</v>
      </c>
      <c r="AA32" s="21" t="str">
        <f t="shared" si="1"/>
        <v>05/09-06-19</v>
      </c>
      <c r="AB32" s="55"/>
    </row>
    <row r="33" spans="1:28" x14ac:dyDescent="0.3">
      <c r="A33" s="29">
        <v>29</v>
      </c>
      <c r="B33" s="30" t="str">
        <f>VLOOKUP(Table5[[#This Row],[SN]],Table2[#All],5,0)</f>
        <v>RAJA RAM RAIGAR</v>
      </c>
      <c r="C33" s="30" t="str">
        <f>VLOOKUP(Table5[[#This Row],[SN]],Table2[#All],3,0)</f>
        <v>PEEO</v>
      </c>
      <c r="D33" s="30" t="str">
        <f>VLOOKUP(Table5[[#This Row],[SN]],Table2[#All],4,0)</f>
        <v>GPF</v>
      </c>
      <c r="E33" s="37">
        <f>VLOOKUP(Table5[[#This Row],[SN]],Table2[#All],13,0)</f>
        <v>50000</v>
      </c>
      <c r="F33" s="30">
        <f>ROUND(Table5[[#This Row],[BASIC PAY]]*12%,0)</f>
        <v>6000</v>
      </c>
      <c r="G33" s="30">
        <f>ROUND(Table5[[#This Row],[BASIC PAY]]*8%,0)</f>
        <v>4000</v>
      </c>
      <c r="H33" s="19"/>
      <c r="I33" s="19"/>
      <c r="J33" s="19"/>
      <c r="K33" s="19"/>
      <c r="L33" s="34">
        <f>SUM(Table5[[#This Row],[BASIC PAY]:[OTHERS]])</f>
        <v>60000</v>
      </c>
      <c r="M33" s="19">
        <v>3000</v>
      </c>
      <c r="N33" s="19">
        <v>1500</v>
      </c>
      <c r="O33" s="35" t="str">
        <f>IF(Table5[[#This Row],[TYPE]]="NPS",ROUND((Table5[[#This Row],[BASIC PAY]]+Table5[[#This Row],[DA@12%]])*10%,0),"0")</f>
        <v>0</v>
      </c>
      <c r="P33" s="19"/>
      <c r="Q33" s="19"/>
      <c r="R33" s="19"/>
      <c r="S33" s="19"/>
      <c r="T33" s="19"/>
      <c r="U33" s="19"/>
      <c r="V33" s="19"/>
      <c r="W33" s="19"/>
      <c r="X33" s="49">
        <f>SUM(Table5[[#This Row],[GPF]:[HOUSING LOAN]])</f>
        <v>4500</v>
      </c>
      <c r="Y33" s="37">
        <f>Table5[[#This Row],[TOTAL]]-Table5[[#This Row],[DEDUCATION]]</f>
        <v>55500</v>
      </c>
      <c r="Z33" s="20" t="str">
        <f t="shared" si="0"/>
        <v>12/07-06-19</v>
      </c>
      <c r="AA33" s="21" t="str">
        <f t="shared" si="1"/>
        <v>05/09-06-19</v>
      </c>
      <c r="AB33" s="55"/>
    </row>
    <row r="34" spans="1:28" x14ac:dyDescent="0.3">
      <c r="A34" s="29">
        <v>30</v>
      </c>
      <c r="B34" s="30" t="str">
        <f>VLOOKUP(Table5[[#This Row],[SN]],Table2[#All],5,0)</f>
        <v>MONIKA MEENA</v>
      </c>
      <c r="C34" s="30" t="str">
        <f>VLOOKUP(Table5[[#This Row],[SN]],Table2[#All],3,0)</f>
        <v>PEEO</v>
      </c>
      <c r="D34" s="30" t="str">
        <f>VLOOKUP(Table5[[#This Row],[SN]],Table2[#All],4,0)</f>
        <v>NPS</v>
      </c>
      <c r="E34" s="37">
        <f>VLOOKUP(Table5[[#This Row],[SN]],Table2[#All],13,0)</f>
        <v>50000</v>
      </c>
      <c r="F34" s="30">
        <f>ROUND(Table5[[#This Row],[BASIC PAY]]*12%,0)</f>
        <v>6000</v>
      </c>
      <c r="G34" s="30">
        <f>ROUND(Table5[[#This Row],[BASIC PAY]]*8%,0)</f>
        <v>4000</v>
      </c>
      <c r="H34" s="19"/>
      <c r="I34" s="19"/>
      <c r="J34" s="19"/>
      <c r="K34" s="19"/>
      <c r="L34" s="34">
        <f>SUM(Table5[[#This Row],[BASIC PAY]:[OTHERS]])</f>
        <v>60000</v>
      </c>
      <c r="M34" s="19">
        <v>3000</v>
      </c>
      <c r="N34" s="19">
        <v>1500</v>
      </c>
      <c r="O34" s="35">
        <f>IF(Table5[[#This Row],[TYPE]]="NPS",ROUND((Table5[[#This Row],[BASIC PAY]]+Table5[[#This Row],[DA@12%]])*10%,0),"0")</f>
        <v>5600</v>
      </c>
      <c r="P34" s="19"/>
      <c r="Q34" s="19"/>
      <c r="R34" s="19"/>
      <c r="S34" s="19"/>
      <c r="T34" s="19"/>
      <c r="U34" s="19"/>
      <c r="V34" s="19"/>
      <c r="W34" s="19"/>
      <c r="X34" s="49">
        <f>SUM(Table5[[#This Row],[GPF]:[HOUSING LOAN]])</f>
        <v>10100</v>
      </c>
      <c r="Y34" s="37">
        <f>Table5[[#This Row],[TOTAL]]-Table5[[#This Row],[DEDUCATION]]</f>
        <v>49900</v>
      </c>
      <c r="Z34" s="20" t="str">
        <f t="shared" si="0"/>
        <v>12/07-06-19</v>
      </c>
      <c r="AA34" s="21" t="str">
        <f t="shared" si="1"/>
        <v>05/09-06-19</v>
      </c>
      <c r="AB34" s="55"/>
    </row>
    <row r="35" spans="1:28" x14ac:dyDescent="0.3">
      <c r="A35" s="29"/>
      <c r="B35" s="31" t="s">
        <v>94</v>
      </c>
      <c r="C35" s="32"/>
      <c r="D35" s="32"/>
      <c r="E35" s="33">
        <f t="shared" ref="E35:Y35" si="2">SUBTOTAL(109,E5:E34)</f>
        <v>1429900</v>
      </c>
      <c r="F35" s="33">
        <f t="shared" si="2"/>
        <v>171588</v>
      </c>
      <c r="G35" s="33">
        <f t="shared" si="2"/>
        <v>114392</v>
      </c>
      <c r="H35" s="22">
        <f t="shared" si="2"/>
        <v>300</v>
      </c>
      <c r="I35" s="22">
        <f t="shared" si="2"/>
        <v>600</v>
      </c>
      <c r="J35" s="22">
        <f t="shared" si="2"/>
        <v>0</v>
      </c>
      <c r="K35" s="22">
        <f t="shared" si="2"/>
        <v>0</v>
      </c>
      <c r="L35" s="33">
        <f t="shared" si="2"/>
        <v>1716780</v>
      </c>
      <c r="M35" s="22">
        <f t="shared" si="2"/>
        <v>92950</v>
      </c>
      <c r="N35" s="22">
        <f t="shared" si="2"/>
        <v>43200</v>
      </c>
      <c r="O35" s="36">
        <f t="shared" si="2"/>
        <v>55833</v>
      </c>
      <c r="P35" s="22">
        <f t="shared" si="2"/>
        <v>19650</v>
      </c>
      <c r="Q35" s="22">
        <f t="shared" si="2"/>
        <v>10700</v>
      </c>
      <c r="R35" s="22">
        <f t="shared" si="2"/>
        <v>5302</v>
      </c>
      <c r="S35" s="22">
        <f t="shared" si="2"/>
        <v>949</v>
      </c>
      <c r="T35" s="22">
        <f t="shared" si="2"/>
        <v>19350</v>
      </c>
      <c r="U35" s="22">
        <f t="shared" si="2"/>
        <v>220</v>
      </c>
      <c r="V35" s="22">
        <f t="shared" si="2"/>
        <v>0</v>
      </c>
      <c r="W35" s="22">
        <f t="shared" si="2"/>
        <v>0</v>
      </c>
      <c r="X35" s="33">
        <f t="shared" si="2"/>
        <v>248154</v>
      </c>
      <c r="Y35" s="33">
        <f t="shared" si="2"/>
        <v>1468626</v>
      </c>
      <c r="Z35" s="23"/>
      <c r="AA35" s="24"/>
      <c r="AB35" s="55"/>
    </row>
  </sheetData>
  <sheetProtection password="CDEE" sheet="1" objects="1" scenarios="1" autoFilter="0"/>
  <mergeCells count="6">
    <mergeCell ref="X3:Y3"/>
    <mergeCell ref="A1:AA1"/>
    <mergeCell ref="A2:AA2"/>
    <mergeCell ref="E3:L3"/>
    <mergeCell ref="A3:D3"/>
    <mergeCell ref="M3:W3"/>
  </mergeCells>
  <pageMargins left="0.25" right="0.25" top="0.75" bottom="0.75" header="0.3" footer="0.3"/>
  <pageSetup paperSize="5" orientation="landscape" verticalDpi="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E44"/>
  <sheetViews>
    <sheetView showGridLines="0" tabSelected="1" workbookViewId="0">
      <selection activeCell="E50" sqref="E50"/>
    </sheetView>
  </sheetViews>
  <sheetFormatPr defaultRowHeight="14.4" x14ac:dyDescent="0.3"/>
  <cols>
    <col min="1" max="1" width="8" customWidth="1"/>
    <col min="2" max="2" width="11.44140625" customWidth="1"/>
    <col min="3" max="3" width="16.6640625" customWidth="1"/>
    <col min="4" max="4" width="24" customWidth="1"/>
    <col min="5" max="5" width="15.5546875" customWidth="1"/>
  </cols>
  <sheetData>
    <row r="1" spans="1:5" ht="16.2" x14ac:dyDescent="0.3">
      <c r="A1" s="103" t="s">
        <v>115</v>
      </c>
      <c r="B1" s="103"/>
      <c r="C1" s="103"/>
      <c r="D1" s="103"/>
      <c r="E1" s="103"/>
    </row>
    <row r="2" spans="1:5" x14ac:dyDescent="0.3">
      <c r="A2" s="104" t="str">
        <f>BASIC!$A$1</f>
        <v>OFFICE OF MHB GOVT.SENIOR SECONDARY SCHOOL PATODI (BARMER)13891</v>
      </c>
      <c r="B2" s="104"/>
      <c r="C2" s="104"/>
      <c r="D2" s="104"/>
      <c r="E2" s="104"/>
    </row>
    <row r="3" spans="1:5" ht="18.600000000000001" x14ac:dyDescent="0.45">
      <c r="A3" s="105" t="s">
        <v>116</v>
      </c>
      <c r="B3" s="105"/>
      <c r="C3" s="105"/>
      <c r="D3" s="105"/>
      <c r="E3" s="105"/>
    </row>
    <row r="4" spans="1:5" ht="18.600000000000001" x14ac:dyDescent="0.45">
      <c r="A4" s="39"/>
      <c r="B4" s="39"/>
      <c r="C4" s="39"/>
      <c r="D4" s="39"/>
      <c r="E4" s="39"/>
    </row>
    <row r="5" spans="1:5" ht="15.6" customHeight="1" x14ac:dyDescent="0.35">
      <c r="A5" s="92" t="s">
        <v>117</v>
      </c>
      <c r="B5" s="92"/>
      <c r="C5" s="92"/>
      <c r="D5" s="92"/>
      <c r="E5" s="92"/>
    </row>
    <row r="6" spans="1:5" ht="18" customHeight="1" x14ac:dyDescent="0.35">
      <c r="A6" s="106" t="str">
        <f>VLOOKUP($D$9,BASIC!B3:N33,4,0)</f>
        <v>SANJAYVEER SINGH</v>
      </c>
      <c r="B6" s="106"/>
      <c r="C6" s="106"/>
      <c r="D6" s="93" t="str">
        <f>VLOOKUP($D$9,BASIC!B3:N33,6,0)</f>
        <v>SR.TEACER</v>
      </c>
      <c r="E6" s="93"/>
    </row>
    <row r="7" spans="1:5" ht="15.6" customHeight="1" x14ac:dyDescent="0.35">
      <c r="A7" s="107" t="s">
        <v>118</v>
      </c>
      <c r="B7" s="107"/>
      <c r="C7" s="107"/>
      <c r="D7" s="94">
        <f>SALERY!AA3</f>
        <v>43586</v>
      </c>
      <c r="E7" s="94"/>
    </row>
    <row r="8" spans="1:5" ht="15.6" customHeight="1" x14ac:dyDescent="0.3">
      <c r="A8" s="87" t="s">
        <v>144</v>
      </c>
      <c r="B8" s="87"/>
      <c r="C8" s="87"/>
      <c r="D8" s="87"/>
      <c r="E8" s="87"/>
    </row>
    <row r="9" spans="1:5" ht="15.6" customHeight="1" x14ac:dyDescent="0.3">
      <c r="A9" s="38">
        <v>1</v>
      </c>
      <c r="B9" s="95" t="s">
        <v>145</v>
      </c>
      <c r="C9" s="95"/>
      <c r="D9" s="96" t="s">
        <v>56</v>
      </c>
      <c r="E9" s="97"/>
    </row>
    <row r="10" spans="1:5" ht="15.6" customHeight="1" x14ac:dyDescent="0.3">
      <c r="A10" s="40">
        <v>2</v>
      </c>
      <c r="B10" s="83" t="s">
        <v>146</v>
      </c>
      <c r="C10" s="83"/>
      <c r="D10" s="41">
        <f>VLOOKUP($D$9,Table2[[#All],[EMPLOYEE ID]:[PHOTO]],5,0)</f>
        <v>28025</v>
      </c>
      <c r="E10" s="75"/>
    </row>
    <row r="11" spans="1:5" ht="15.6" customHeight="1" x14ac:dyDescent="0.3">
      <c r="A11" s="40">
        <v>3</v>
      </c>
      <c r="B11" s="83" t="s">
        <v>147</v>
      </c>
      <c r="C11" s="83"/>
      <c r="D11" s="41" t="str">
        <f>VLOOKUP($D$9,Table2[[#All],[EMPLOYEE ID]:[PHOTO]],7,0)</f>
        <v>BGYPS4985F</v>
      </c>
      <c r="E11" s="76"/>
    </row>
    <row r="12" spans="1:5" ht="15.6" customHeight="1" x14ac:dyDescent="0.3">
      <c r="A12" s="40">
        <v>4</v>
      </c>
      <c r="B12" s="83" t="s">
        <v>148</v>
      </c>
      <c r="C12" s="83"/>
      <c r="D12" s="42">
        <f>VLOOKUP($D$9,Table2[[#All],[EMPLOYEE ID]:[PHOTO]],8,0)</f>
        <v>51053684239</v>
      </c>
      <c r="E12" s="76"/>
    </row>
    <row r="13" spans="1:5" ht="15.6" customHeight="1" x14ac:dyDescent="0.3">
      <c r="A13" s="40">
        <v>5</v>
      </c>
      <c r="B13" s="83" t="s">
        <v>149</v>
      </c>
      <c r="C13" s="83"/>
      <c r="D13" s="42">
        <f>VLOOKUP($D$9,Table2[[#All],[EMPLOYEE ID]:[PHOTO]],9,0)</f>
        <v>0</v>
      </c>
      <c r="E13" s="76"/>
    </row>
    <row r="14" spans="1:5" ht="15.6" customHeight="1" x14ac:dyDescent="0.3">
      <c r="A14" s="40">
        <v>6</v>
      </c>
      <c r="B14" s="83" t="s">
        <v>150</v>
      </c>
      <c r="C14" s="83"/>
      <c r="D14" s="42">
        <f>VLOOKUP($D$9,Table2[[#All],[EMPLOYEE ID]:[PHOTO]],10,0)</f>
        <v>1049448</v>
      </c>
      <c r="E14" s="76"/>
    </row>
    <row r="15" spans="1:5" ht="15.6" customHeight="1" x14ac:dyDescent="0.3">
      <c r="A15" s="40">
        <v>7</v>
      </c>
      <c r="B15" s="83" t="s">
        <v>151</v>
      </c>
      <c r="C15" s="83"/>
      <c r="D15" s="42">
        <f>VLOOKUP($D$9,Table2[[#All],[EMPLOYEE ID]:[PHOTO]],5,0)</f>
        <v>28025</v>
      </c>
      <c r="E15" s="77"/>
    </row>
    <row r="16" spans="1:5" ht="15.6" x14ac:dyDescent="0.3">
      <c r="A16" s="87" t="s">
        <v>119</v>
      </c>
      <c r="B16" s="87"/>
      <c r="C16" s="87"/>
      <c r="D16" s="87"/>
      <c r="E16" s="87"/>
    </row>
    <row r="17" spans="1:5" x14ac:dyDescent="0.3">
      <c r="A17" s="40" t="s">
        <v>120</v>
      </c>
      <c r="B17" s="100" t="s">
        <v>121</v>
      </c>
      <c r="C17" s="100"/>
      <c r="D17" s="101" t="s">
        <v>122</v>
      </c>
      <c r="E17" s="102"/>
    </row>
    <row r="18" spans="1:5" x14ac:dyDescent="0.3">
      <c r="A18" s="43">
        <v>1</v>
      </c>
      <c r="B18" s="89" t="s">
        <v>123</v>
      </c>
      <c r="C18" s="89"/>
      <c r="D18" s="79">
        <f>VLOOKUP(A6,SALERY!B4:AA34,4,0)</f>
        <v>49300</v>
      </c>
      <c r="E18" s="80"/>
    </row>
    <row r="19" spans="1:5" x14ac:dyDescent="0.3">
      <c r="A19" s="43">
        <v>2</v>
      </c>
      <c r="B19" s="89" t="s">
        <v>124</v>
      </c>
      <c r="C19" s="89"/>
      <c r="D19" s="79">
        <f>VLOOKUP(A6,SALERY!B4:AA34,5,0)</f>
        <v>5916</v>
      </c>
      <c r="E19" s="80"/>
    </row>
    <row r="20" spans="1:5" x14ac:dyDescent="0.3">
      <c r="A20" s="43">
        <v>3</v>
      </c>
      <c r="B20" s="89" t="s">
        <v>125</v>
      </c>
      <c r="C20" s="89"/>
      <c r="D20" s="79">
        <f>VLOOKUP(A6,SALERY!B4:AA34,6,0)</f>
        <v>3944</v>
      </c>
      <c r="E20" s="80"/>
    </row>
    <row r="21" spans="1:5" x14ac:dyDescent="0.3">
      <c r="A21" s="43">
        <v>4</v>
      </c>
      <c r="B21" s="84" t="s">
        <v>152</v>
      </c>
      <c r="C21" s="85"/>
      <c r="D21" s="79">
        <f>VLOOKUP(A6,SALERY!B4:AA34,7,0)</f>
        <v>0</v>
      </c>
      <c r="E21" s="80"/>
    </row>
    <row r="22" spans="1:5" x14ac:dyDescent="0.3">
      <c r="A22" s="43">
        <v>5</v>
      </c>
      <c r="B22" s="84" t="s">
        <v>153</v>
      </c>
      <c r="C22" s="85"/>
      <c r="D22" s="79">
        <f>VLOOKUP(A6,SALERY!B4:AA34,8,0)</f>
        <v>0</v>
      </c>
      <c r="E22" s="80"/>
    </row>
    <row r="23" spans="1:5" x14ac:dyDescent="0.3">
      <c r="A23" s="43">
        <v>6</v>
      </c>
      <c r="B23" s="84" t="s">
        <v>154</v>
      </c>
      <c r="C23" s="85"/>
      <c r="D23" s="79">
        <f>VLOOKUP(A6,SALERY!B4:AA34,9,0)</f>
        <v>0</v>
      </c>
      <c r="E23" s="80"/>
    </row>
    <row r="24" spans="1:5" x14ac:dyDescent="0.3">
      <c r="A24" s="43">
        <v>7</v>
      </c>
      <c r="B24" s="89" t="s">
        <v>126</v>
      </c>
      <c r="C24" s="89"/>
      <c r="D24" s="79">
        <f>VLOOKUP(A6,SALERY!B4:AA34,10,0)</f>
        <v>0</v>
      </c>
      <c r="E24" s="80"/>
    </row>
    <row r="25" spans="1:5" ht="15.6" x14ac:dyDescent="0.3">
      <c r="A25" s="98" t="s">
        <v>127</v>
      </c>
      <c r="B25" s="98"/>
      <c r="C25" s="98"/>
      <c r="D25" s="99">
        <f>SUM(D18:E24)</f>
        <v>59160</v>
      </c>
      <c r="E25" s="99"/>
    </row>
    <row r="26" spans="1:5" ht="15.6" x14ac:dyDescent="0.3">
      <c r="A26" s="87" t="s">
        <v>128</v>
      </c>
      <c r="B26" s="87"/>
      <c r="C26" s="87"/>
      <c r="D26" s="87"/>
      <c r="E26" s="87"/>
    </row>
    <row r="27" spans="1:5" x14ac:dyDescent="0.3">
      <c r="A27" s="44" t="s">
        <v>129</v>
      </c>
      <c r="B27" s="88" t="s">
        <v>130</v>
      </c>
      <c r="C27" s="88"/>
      <c r="D27" s="79" t="s">
        <v>131</v>
      </c>
      <c r="E27" s="80"/>
    </row>
    <row r="28" spans="1:5" x14ac:dyDescent="0.3">
      <c r="A28" s="43">
        <v>1</v>
      </c>
      <c r="B28" s="89" t="s">
        <v>132</v>
      </c>
      <c r="C28" s="89"/>
      <c r="D28" s="79">
        <f>VLOOKUP(A6,SALERY!B4:AA34,12,0)</f>
        <v>3000</v>
      </c>
      <c r="E28" s="80"/>
    </row>
    <row r="29" spans="1:5" x14ac:dyDescent="0.3">
      <c r="A29" s="43">
        <v>2</v>
      </c>
      <c r="B29" s="89" t="s">
        <v>133</v>
      </c>
      <c r="C29" s="89"/>
      <c r="D29" s="79">
        <f>VLOOKUP(A6,SALERY!B4:AA34,13,0)</f>
        <v>1500</v>
      </c>
      <c r="E29" s="80"/>
    </row>
    <row r="30" spans="1:5" x14ac:dyDescent="0.3">
      <c r="A30" s="43">
        <v>3</v>
      </c>
      <c r="B30" s="84" t="s">
        <v>134</v>
      </c>
      <c r="C30" s="85"/>
      <c r="D30" s="79">
        <f>VLOOKUP(A6,SALERY!B4:AA34,14,0)</f>
        <v>5522</v>
      </c>
      <c r="E30" s="80"/>
    </row>
    <row r="31" spans="1:5" x14ac:dyDescent="0.3">
      <c r="A31" s="43">
        <v>4</v>
      </c>
      <c r="B31" s="89" t="s">
        <v>135</v>
      </c>
      <c r="C31" s="89"/>
      <c r="D31" s="79">
        <f>VLOOKUP(A6,SALERY!B4:AA34,15,0)</f>
        <v>2500</v>
      </c>
      <c r="E31" s="80"/>
    </row>
    <row r="32" spans="1:5" x14ac:dyDescent="0.3">
      <c r="A32" s="43">
        <v>5</v>
      </c>
      <c r="B32" s="89" t="s">
        <v>136</v>
      </c>
      <c r="C32" s="89"/>
      <c r="D32" s="79">
        <f>VLOOKUP(A6,SALERY!B4:AA34,16,0)</f>
        <v>0</v>
      </c>
      <c r="E32" s="80"/>
    </row>
    <row r="33" spans="1:5" x14ac:dyDescent="0.3">
      <c r="A33" s="43">
        <v>6</v>
      </c>
      <c r="B33" s="89" t="s">
        <v>137</v>
      </c>
      <c r="C33" s="89"/>
      <c r="D33" s="79">
        <f>VLOOKUP(A6,SALERY!B4:AA34,17,0)</f>
        <v>566</v>
      </c>
      <c r="E33" s="80"/>
    </row>
    <row r="34" spans="1:5" x14ac:dyDescent="0.3">
      <c r="A34" s="43">
        <v>7</v>
      </c>
      <c r="B34" s="89" t="s">
        <v>138</v>
      </c>
      <c r="C34" s="89"/>
      <c r="D34" s="79">
        <f>VLOOKUP(A6,SALERY!B4:AA34,18,0)</f>
        <v>0</v>
      </c>
      <c r="E34" s="80"/>
    </row>
    <row r="35" spans="1:5" x14ac:dyDescent="0.3">
      <c r="A35" s="43">
        <v>8</v>
      </c>
      <c r="B35" s="89" t="s">
        <v>140</v>
      </c>
      <c r="C35" s="89"/>
      <c r="D35" s="79">
        <f>VLOOKUP(A6,SALERY!B4:AA34,19,0)</f>
        <v>0</v>
      </c>
      <c r="E35" s="80"/>
    </row>
    <row r="36" spans="1:5" x14ac:dyDescent="0.3">
      <c r="A36" s="43">
        <v>9</v>
      </c>
      <c r="B36" s="89" t="s">
        <v>139</v>
      </c>
      <c r="C36" s="89"/>
      <c r="D36" s="79">
        <f>VLOOKUP(A6,SALERY!B4:AA34,20,0)</f>
        <v>0</v>
      </c>
      <c r="E36" s="80"/>
    </row>
    <row r="37" spans="1:5" x14ac:dyDescent="0.3">
      <c r="A37" s="43">
        <v>10</v>
      </c>
      <c r="B37" s="84" t="s">
        <v>155</v>
      </c>
      <c r="C37" s="85"/>
      <c r="D37" s="79">
        <f>VLOOKUP(A6,SALERY!B4:AA34,21,0)</f>
        <v>0</v>
      </c>
      <c r="E37" s="80"/>
    </row>
    <row r="38" spans="1:5" x14ac:dyDescent="0.3">
      <c r="A38" s="43">
        <v>11</v>
      </c>
      <c r="B38" s="84" t="s">
        <v>156</v>
      </c>
      <c r="C38" s="85"/>
      <c r="D38" s="79">
        <f>VLOOKUP(A6,SALERY!B4:AA34,22,0)</f>
        <v>0</v>
      </c>
      <c r="E38" s="80"/>
    </row>
    <row r="39" spans="1:5" ht="15.6" x14ac:dyDescent="0.3">
      <c r="A39" s="86" t="s">
        <v>141</v>
      </c>
      <c r="B39" s="86"/>
      <c r="C39" s="86"/>
      <c r="D39" s="98">
        <f>SUM(D28:E38)</f>
        <v>13088</v>
      </c>
      <c r="E39" s="98"/>
    </row>
    <row r="40" spans="1:5" ht="15.6" x14ac:dyDescent="0.3">
      <c r="A40" s="86" t="s">
        <v>142</v>
      </c>
      <c r="B40" s="86"/>
      <c r="C40" s="86"/>
      <c r="D40" s="90">
        <f>D25-D39</f>
        <v>46072</v>
      </c>
      <c r="E40" s="86"/>
    </row>
    <row r="41" spans="1:5" x14ac:dyDescent="0.3">
      <c r="A41" s="81" t="s">
        <v>159</v>
      </c>
      <c r="B41" s="81"/>
      <c r="C41" s="82" t="str">
        <f>[1]!SpellNumber(D40)</f>
        <v xml:space="preserve">Rupees FourtySix Thousand SeventyTwo Only </v>
      </c>
      <c r="D41" s="82"/>
      <c r="E41" s="82"/>
    </row>
    <row r="42" spans="1:5" x14ac:dyDescent="0.3">
      <c r="A42" s="78" t="s">
        <v>157</v>
      </c>
      <c r="B42" s="78"/>
      <c r="C42" s="50" t="str">
        <f>VLOOKUP(A6,SALERY!B4:AA34,25,0)</f>
        <v>12/07-06-19</v>
      </c>
      <c r="D42" s="46"/>
      <c r="E42" s="46"/>
    </row>
    <row r="43" spans="1:5" x14ac:dyDescent="0.3">
      <c r="A43" s="78" t="s">
        <v>158</v>
      </c>
      <c r="B43" s="78"/>
      <c r="C43" s="45" t="str">
        <f>VLOOKUP(A6,SALERY!B4:AA34,26,0)</f>
        <v>05/09-06-19</v>
      </c>
      <c r="D43" s="46"/>
      <c r="E43" s="46"/>
    </row>
    <row r="44" spans="1:5" x14ac:dyDescent="0.3">
      <c r="A44" s="46"/>
      <c r="B44" s="46"/>
      <c r="C44" s="46"/>
      <c r="D44" s="91" t="s">
        <v>143</v>
      </c>
      <c r="E44" s="91"/>
    </row>
  </sheetData>
  <sheetProtection password="CDEE" sheet="1" objects="1" scenarios="1"/>
  <mergeCells count="71">
    <mergeCell ref="A1:E1"/>
    <mergeCell ref="A2:E2"/>
    <mergeCell ref="A3:E3"/>
    <mergeCell ref="A6:C6"/>
    <mergeCell ref="A7:C7"/>
    <mergeCell ref="A25:C25"/>
    <mergeCell ref="D25:E25"/>
    <mergeCell ref="A16:E16"/>
    <mergeCell ref="B17:C17"/>
    <mergeCell ref="D17:E17"/>
    <mergeCell ref="B18:C18"/>
    <mergeCell ref="D18:E18"/>
    <mergeCell ref="B19:C19"/>
    <mergeCell ref="D19:E19"/>
    <mergeCell ref="D34:E34"/>
    <mergeCell ref="B36:C36"/>
    <mergeCell ref="D35:E35"/>
    <mergeCell ref="B30:C30"/>
    <mergeCell ref="D30:E30"/>
    <mergeCell ref="B31:C31"/>
    <mergeCell ref="D31:E31"/>
    <mergeCell ref="B32:C32"/>
    <mergeCell ref="D32:E32"/>
    <mergeCell ref="D40:E40"/>
    <mergeCell ref="D44:E44"/>
    <mergeCell ref="A5:E5"/>
    <mergeCell ref="D6:E6"/>
    <mergeCell ref="D7:E7"/>
    <mergeCell ref="A8:E8"/>
    <mergeCell ref="B9:C9"/>
    <mergeCell ref="D9:E9"/>
    <mergeCell ref="B35:C35"/>
    <mergeCell ref="D36:E36"/>
    <mergeCell ref="A39:C39"/>
    <mergeCell ref="D39:E39"/>
    <mergeCell ref="B38:C38"/>
    <mergeCell ref="B33:C33"/>
    <mergeCell ref="D33:E33"/>
    <mergeCell ref="B34:C34"/>
    <mergeCell ref="B11:C11"/>
    <mergeCell ref="B14:C14"/>
    <mergeCell ref="B12:C12"/>
    <mergeCell ref="B13:C13"/>
    <mergeCell ref="A40:C40"/>
    <mergeCell ref="A26:E26"/>
    <mergeCell ref="B27:C27"/>
    <mergeCell ref="D27:E27"/>
    <mergeCell ref="B28:C28"/>
    <mergeCell ref="D28:E28"/>
    <mergeCell ref="B29:C29"/>
    <mergeCell ref="D29:E29"/>
    <mergeCell ref="B20:C20"/>
    <mergeCell ref="D20:E20"/>
    <mergeCell ref="B24:C24"/>
    <mergeCell ref="D24:E24"/>
    <mergeCell ref="E10:E15"/>
    <mergeCell ref="A42:B42"/>
    <mergeCell ref="A43:B43"/>
    <mergeCell ref="D21:E21"/>
    <mergeCell ref="D22:E22"/>
    <mergeCell ref="D23:E23"/>
    <mergeCell ref="D37:E37"/>
    <mergeCell ref="D38:E38"/>
    <mergeCell ref="A41:B41"/>
    <mergeCell ref="C41:E41"/>
    <mergeCell ref="B15:C15"/>
    <mergeCell ref="B21:C21"/>
    <mergeCell ref="B22:C22"/>
    <mergeCell ref="B23:C23"/>
    <mergeCell ref="B37:C37"/>
    <mergeCell ref="B10:C10"/>
  </mergeCells>
  <pageMargins left="1" right="0.25" top="0.75" bottom="0.75" header="0.3" footer="0.3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664" yWindow="421" count="1">
        <x14:dataValidation type="list" allowBlank="1" showInputMessage="1" showErrorMessage="1">
          <x14:formula1>
            <xm:f>BASIC!$B$4:$B$33</xm:f>
          </x14:formula1>
          <xm:sqref>D9:E9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USE</vt:lpstr>
      <vt:lpstr>BASIC</vt:lpstr>
      <vt:lpstr>SALERY</vt:lpstr>
      <vt:lpstr>SLIP</vt:lpstr>
      <vt:lpstr>SLIP!Print_Area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</dc:creator>
  <cp:lastModifiedBy>kamal</cp:lastModifiedBy>
  <cp:lastPrinted>2019-05-25T12:05:57Z</cp:lastPrinted>
  <dcterms:created xsi:type="dcterms:W3CDTF">2019-05-25T01:34:33Z</dcterms:created>
  <dcterms:modified xsi:type="dcterms:W3CDTF">2019-05-25T12:20:15Z</dcterms:modified>
</cp:coreProperties>
</file>