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activeTab="1"/>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E4" i="2"/>
  <c r="H6" i="1" s="1"/>
  <c r="H27" i="3"/>
  <c r="F27"/>
  <c r="E7" i="1"/>
  <c r="E2" i="2"/>
  <c r="L15" i="6"/>
  <c r="H15"/>
  <c r="N107"/>
  <c r="H76"/>
  <c r="AC34" i="13"/>
  <c r="Z34"/>
  <c r="AC35"/>
  <c r="AC36"/>
  <c r="AB35"/>
  <c r="Z35"/>
  <c r="AA35"/>
  <c r="AE36" l="1"/>
  <c r="AD36"/>
  <c r="AB36"/>
  <c r="AA36"/>
  <c r="Z36"/>
  <c r="W8" i="1" l="1"/>
  <c r="E21"/>
  <c r="D20"/>
  <c r="AM18"/>
  <c r="AM15"/>
  <c r="AN16"/>
  <c r="G887"/>
  <c r="AM17"/>
  <c r="AN13"/>
  <c r="AP13" s="1"/>
  <c r="AN14"/>
  <c r="AP14" s="1"/>
  <c r="AN15"/>
  <c r="AP15" s="1"/>
  <c r="AN12"/>
  <c r="G888"/>
  <c r="G889"/>
  <c r="G890"/>
  <c r="G891"/>
  <c r="G892"/>
  <c r="G893"/>
  <c r="G894"/>
  <c r="G895"/>
  <c r="G896"/>
  <c r="G897"/>
  <c r="G898"/>
  <c r="G899"/>
  <c r="D883"/>
  <c r="D882"/>
  <c r="Q25"/>
  <c r="Q26"/>
  <c r="Q27"/>
  <c r="K25"/>
  <c r="K26"/>
  <c r="K27"/>
  <c r="Z25"/>
  <c r="Z26"/>
  <c r="Z27"/>
  <c r="Y25"/>
  <c r="Y26"/>
  <c r="Y27"/>
  <c r="AP12" l="1"/>
  <c r="M22"/>
  <c r="M23"/>
  <c r="M24"/>
  <c r="M25"/>
  <c r="M26"/>
  <c r="M27"/>
  <c r="AM16"/>
  <c r="AO12" s="1"/>
  <c r="E1"/>
  <c r="AN18" l="1"/>
  <c r="AP18" s="1"/>
  <c r="AN20"/>
  <c r="AP20" s="1"/>
  <c r="AN22"/>
  <c r="AP22" s="1"/>
  <c r="AN17"/>
  <c r="AP17" s="1"/>
  <c r="AP16"/>
  <c r="AN19"/>
  <c r="AN21"/>
  <c r="AP21" s="1"/>
  <c r="AN23"/>
  <c r="AP23" s="1"/>
  <c r="AO14"/>
  <c r="C9" s="1"/>
  <c r="AO16"/>
  <c r="C11" s="1"/>
  <c r="AO18"/>
  <c r="C13" s="1"/>
  <c r="AO20"/>
  <c r="C15" s="1"/>
  <c r="AO22"/>
  <c r="C17" s="1"/>
  <c r="AO24"/>
  <c r="AO13"/>
  <c r="C8" s="1"/>
  <c r="AO15"/>
  <c r="C10" s="1"/>
  <c r="AO17"/>
  <c r="C12" s="1"/>
  <c r="AO19"/>
  <c r="C14" s="1"/>
  <c r="AO21"/>
  <c r="C16" s="1"/>
  <c r="AO23"/>
  <c r="C18" s="1"/>
  <c r="C7"/>
  <c r="V7" l="1"/>
  <c r="T7"/>
  <c r="R7"/>
  <c r="N7"/>
  <c r="X7"/>
  <c r="U7"/>
  <c r="S7"/>
  <c r="X16"/>
  <c r="R16"/>
  <c r="T16"/>
  <c r="V16"/>
  <c r="S16"/>
  <c r="U16"/>
  <c r="N16"/>
  <c r="X12"/>
  <c r="R12"/>
  <c r="T12"/>
  <c r="V12"/>
  <c r="S12"/>
  <c r="U12"/>
  <c r="N12"/>
  <c r="X8"/>
  <c r="R8"/>
  <c r="T8"/>
  <c r="V8"/>
  <c r="S8"/>
  <c r="U8"/>
  <c r="N8"/>
  <c r="S17"/>
  <c r="U17"/>
  <c r="X17"/>
  <c r="R17"/>
  <c r="T17"/>
  <c r="V17"/>
  <c r="N17"/>
  <c r="S13"/>
  <c r="U13"/>
  <c r="X13"/>
  <c r="R13"/>
  <c r="T13"/>
  <c r="V13"/>
  <c r="N13"/>
  <c r="S9"/>
  <c r="U9"/>
  <c r="X9"/>
  <c r="R9"/>
  <c r="T9"/>
  <c r="V9"/>
  <c r="N9"/>
  <c r="R18"/>
  <c r="T18"/>
  <c r="V18"/>
  <c r="X18"/>
  <c r="S18"/>
  <c r="U18"/>
  <c r="N18"/>
  <c r="X14"/>
  <c r="R14"/>
  <c r="T14"/>
  <c r="V14"/>
  <c r="S14"/>
  <c r="U14"/>
  <c r="N14"/>
  <c r="X10"/>
  <c r="R10"/>
  <c r="T10"/>
  <c r="V10"/>
  <c r="S10"/>
  <c r="U10"/>
  <c r="N10"/>
  <c r="S15"/>
  <c r="U15"/>
  <c r="X15"/>
  <c r="R15"/>
  <c r="T15"/>
  <c r="V15"/>
  <c r="N15"/>
  <c r="S11"/>
  <c r="U11"/>
  <c r="X11"/>
  <c r="R11"/>
  <c r="T11"/>
  <c r="V11"/>
  <c r="N11"/>
  <c r="D7"/>
  <c r="H7"/>
  <c r="L7"/>
  <c r="G7"/>
  <c r="D16"/>
  <c r="G16"/>
  <c r="L16"/>
  <c r="H16"/>
  <c r="D12"/>
  <c r="G12"/>
  <c r="L12"/>
  <c r="H12"/>
  <c r="D8"/>
  <c r="G8"/>
  <c r="L8"/>
  <c r="H8"/>
  <c r="D17"/>
  <c r="L17"/>
  <c r="H17"/>
  <c r="G17"/>
  <c r="D13"/>
  <c r="L13"/>
  <c r="H13"/>
  <c r="G13"/>
  <c r="D9"/>
  <c r="L9"/>
  <c r="H9"/>
  <c r="G9"/>
  <c r="D18"/>
  <c r="G18"/>
  <c r="H18"/>
  <c r="D14"/>
  <c r="G14"/>
  <c r="L14"/>
  <c r="H14"/>
  <c r="D10"/>
  <c r="G10"/>
  <c r="L10"/>
  <c r="H10"/>
  <c r="D15"/>
  <c r="L15"/>
  <c r="H15"/>
  <c r="G15"/>
  <c r="D11"/>
  <c r="L11"/>
  <c r="H11"/>
  <c r="G11"/>
  <c r="AP19"/>
  <c r="E20" s="1"/>
  <c r="E18" l="1"/>
  <c r="F18"/>
  <c r="E9"/>
  <c r="F9"/>
  <c r="E13"/>
  <c r="F13"/>
  <c r="E17"/>
  <c r="F17"/>
  <c r="E8"/>
  <c r="F8"/>
  <c r="E12"/>
  <c r="F12"/>
  <c r="E16"/>
  <c r="F16"/>
  <c r="F7"/>
  <c r="E11"/>
  <c r="F11"/>
  <c r="E15"/>
  <c r="F15"/>
  <c r="E10"/>
  <c r="F10"/>
  <c r="E14"/>
  <c r="F14"/>
  <c r="L18"/>
  <c r="M21"/>
  <c r="K36" i="13"/>
  <c r="I36"/>
  <c r="AD35"/>
  <c r="I35" s="1"/>
  <c r="Z33"/>
  <c r="M33"/>
  <c r="K33"/>
  <c r="I33"/>
  <c r="G36"/>
  <c r="G34"/>
  <c r="G35"/>
  <c r="E36"/>
  <c r="E35"/>
  <c r="E34"/>
  <c r="C36"/>
  <c r="C35"/>
  <c r="C34"/>
  <c r="L7"/>
  <c r="L22" s="1"/>
  <c r="AA7" i="3"/>
  <c r="AA8"/>
  <c r="AA9"/>
  <c r="AA10"/>
  <c r="AA11"/>
  <c r="AA12"/>
  <c r="AA13"/>
  <c r="AA14"/>
  <c r="AA15"/>
  <c r="AA16"/>
  <c r="AA17"/>
  <c r="AA18"/>
  <c r="AA19"/>
  <c r="AA20"/>
  <c r="AA21"/>
  <c r="AA22"/>
  <c r="AA23"/>
  <c r="AA24"/>
  <c r="AA25"/>
  <c r="AA26"/>
  <c r="AA6"/>
  <c r="I106" i="6"/>
  <c r="I107"/>
  <c r="I108"/>
  <c r="I109"/>
  <c r="I110"/>
  <c r="I111"/>
  <c r="I105"/>
  <c r="I96"/>
  <c r="I95"/>
  <c r="I94"/>
  <c r="I3" i="2"/>
  <c r="E6"/>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O16" l="1"/>
  <c r="I65" i="6" s="1"/>
  <c r="Q24" i="1"/>
  <c r="Y24" s="1"/>
  <c r="Z24" s="1"/>
  <c r="K24"/>
  <c r="O7"/>
  <c r="O18"/>
  <c r="O16"/>
  <c r="O12"/>
  <c r="O8"/>
  <c r="O17"/>
  <c r="O13"/>
  <c r="O9"/>
  <c r="O14"/>
  <c r="O10"/>
  <c r="O15"/>
  <c r="O11"/>
  <c r="J7"/>
  <c r="J8"/>
  <c r="J11"/>
  <c r="J9"/>
  <c r="J10"/>
  <c r="J16"/>
  <c r="J13"/>
  <c r="J18"/>
  <c r="J14"/>
  <c r="J15"/>
  <c r="J12"/>
  <c r="J17"/>
  <c r="M20"/>
  <c r="O22"/>
  <c r="O21"/>
  <c r="P18"/>
  <c r="Q22"/>
  <c r="K22"/>
  <c r="Q23"/>
  <c r="Y23" s="1"/>
  <c r="Z23" s="1"/>
  <c r="K23"/>
  <c r="K16"/>
  <c r="Q18"/>
  <c r="Q21"/>
  <c r="Y21" s="1"/>
  <c r="Z21" s="1"/>
  <c r="Y22"/>
  <c r="Z22" s="1"/>
  <c r="P17"/>
  <c r="Q17"/>
  <c r="K17"/>
  <c r="Q16"/>
  <c r="P16"/>
  <c r="K18"/>
  <c r="Q8"/>
  <c r="Q7"/>
  <c r="P10"/>
  <c r="P12"/>
  <c r="P14"/>
  <c r="P7"/>
  <c r="P9"/>
  <c r="P11"/>
  <c r="P13"/>
  <c r="P15"/>
  <c r="P8"/>
  <c r="K9"/>
  <c r="K11"/>
  <c r="K13"/>
  <c r="K15"/>
  <c r="K21"/>
  <c r="Q10"/>
  <c r="Q12"/>
  <c r="Q14"/>
  <c r="Y20"/>
  <c r="K8"/>
  <c r="K10"/>
  <c r="K12"/>
  <c r="K14"/>
  <c r="Q9"/>
  <c r="Q11"/>
  <c r="Q13"/>
  <c r="Q15"/>
  <c r="Y19"/>
  <c r="K7"/>
  <c r="J26" i="3"/>
  <c r="P26"/>
  <c r="U26"/>
  <c r="M36" i="13"/>
  <c r="G39" i="2"/>
  <c r="P24" i="3"/>
  <c r="J25"/>
  <c r="P25"/>
  <c r="K3"/>
  <c r="I19" i="1"/>
  <c r="M19" s="1"/>
  <c r="X56" i="10"/>
  <c r="O42"/>
  <c r="O43"/>
  <c r="O41"/>
  <c r="O40"/>
  <c r="O39"/>
  <c r="O38"/>
  <c r="O37"/>
  <c r="O36"/>
  <c r="O33"/>
  <c r="M29"/>
  <c r="M28"/>
  <c r="M27"/>
  <c r="M26"/>
  <c r="M25"/>
  <c r="M24"/>
  <c r="M23"/>
  <c r="M22"/>
  <c r="M21"/>
  <c r="G29"/>
  <c r="G28"/>
  <c r="G27"/>
  <c r="G24"/>
  <c r="G23"/>
  <c r="I92" i="6" s="1"/>
  <c r="G22" i="10"/>
  <c r="I91" i="6" s="1"/>
  <c r="Z20" i="1" l="1"/>
  <c r="Z19"/>
  <c r="Y7"/>
  <c r="M7"/>
  <c r="M10"/>
  <c r="M9"/>
  <c r="M8"/>
  <c r="U24" i="3"/>
  <c r="B59" i="2"/>
  <c r="B39"/>
  <c r="U25" i="3"/>
  <c r="B60" i="2"/>
  <c r="B40"/>
  <c r="N24" i="3"/>
  <c r="I13" i="10"/>
  <c r="F13"/>
  <c r="K11"/>
  <c r="K8"/>
  <c r="K7"/>
  <c r="D13" l="1"/>
  <c r="Z7" i="1"/>
  <c r="Y8"/>
  <c r="Z8" s="1"/>
  <c r="M11"/>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Y9" i="1" l="1"/>
  <c r="Z9" s="1"/>
  <c r="M12"/>
  <c r="X24" i="3"/>
  <c r="O44" i="10"/>
  <c r="K13"/>
  <c r="O14" s="1"/>
  <c r="J17" i="9"/>
  <c r="O59" i="10" s="1"/>
  <c r="E33" i="13"/>
  <c r="C33"/>
  <c r="J5"/>
  <c r="C4"/>
  <c r="D15"/>
  <c r="C5" i="14"/>
  <c r="C5" i="13" s="1"/>
  <c r="C3" i="14"/>
  <c r="C3" i="13" s="1"/>
  <c r="Y10" i="1" l="1"/>
  <c r="Z10" s="1"/>
  <c r="M13"/>
  <c r="G33" i="13"/>
  <c r="AC33" s="1"/>
  <c r="B13"/>
  <c r="AD33"/>
  <c r="AD34"/>
  <c r="I34" s="1"/>
  <c r="Y11" i="1" l="1"/>
  <c r="Z11" s="1"/>
  <c r="M14"/>
  <c r="AE34" i="13"/>
  <c r="K34" s="1"/>
  <c r="M34" s="1"/>
  <c r="AE35"/>
  <c r="K35" s="1"/>
  <c r="M35" s="1"/>
  <c r="AE33"/>
  <c r="M37" l="1"/>
  <c r="L27" s="1"/>
  <c r="Y12" i="1"/>
  <c r="Z12" s="1"/>
  <c r="M15"/>
  <c r="Y13" l="1"/>
  <c r="Z13" s="1"/>
  <c r="M16"/>
  <c r="B37" i="2"/>
  <c r="B58"/>
  <c r="B57"/>
  <c r="B25"/>
  <c r="AA26" i="6" s="1"/>
  <c r="C26" s="1"/>
  <c r="AW8" i="1"/>
  <c r="AV8"/>
  <c r="Y14" l="1"/>
  <c r="Z14" s="1"/>
  <c r="M17"/>
  <c r="M18"/>
  <c r="B26" i="2"/>
  <c r="AA27" i="6" s="1"/>
  <c r="C27" s="1"/>
  <c r="B45" i="2"/>
  <c r="C128" i="6"/>
  <c r="Y15" i="1" l="1"/>
  <c r="Z15" s="1"/>
  <c r="B46" i="2"/>
  <c r="F46"/>
  <c r="F47"/>
  <c r="F48"/>
  <c r="F49"/>
  <c r="F50"/>
  <c r="F51"/>
  <c r="F52"/>
  <c r="F53"/>
  <c r="F54"/>
  <c r="F55"/>
  <c r="F56"/>
  <c r="F57"/>
  <c r="F58"/>
  <c r="F59"/>
  <c r="F60"/>
  <c r="F45"/>
  <c r="Y16" i="1" l="1"/>
  <c r="Z16" s="1"/>
  <c r="B47" i="2"/>
  <c r="B27"/>
  <c r="AA28" i="6" s="1"/>
  <c r="C28" s="1"/>
  <c r="C29" i="3"/>
  <c r="R29"/>
  <c r="B39" i="9"/>
  <c r="Y18" i="1" l="1"/>
  <c r="Z18" s="1"/>
  <c r="Y17"/>
  <c r="Z17" s="1"/>
  <c r="B28" i="2"/>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A1" i="10"/>
  <c r="K106" i="6"/>
  <c r="K107"/>
  <c r="K108"/>
  <c r="K111"/>
  <c r="H9"/>
  <c r="H8"/>
  <c r="A7"/>
  <c r="H7"/>
  <c r="L11"/>
  <c r="H11"/>
  <c r="I89" s="1"/>
  <c r="E11"/>
  <c r="C50"/>
  <c r="K44"/>
  <c r="C24"/>
  <c r="I97" l="1"/>
  <c r="K80"/>
  <c r="H80"/>
  <c r="H73"/>
  <c r="H79"/>
  <c r="H74"/>
  <c r="H72"/>
  <c r="N119"/>
  <c r="I100"/>
  <c r="I98"/>
  <c r="K98" s="1"/>
  <c r="B50" i="2"/>
  <c r="B30"/>
  <c r="AA31" i="6" s="1"/>
  <c r="C31" s="1"/>
  <c r="K110"/>
  <c r="N110"/>
  <c r="K109"/>
  <c r="N109"/>
  <c r="K91"/>
  <c r="N80"/>
  <c r="M25"/>
  <c r="K25"/>
  <c r="I25"/>
  <c r="F25"/>
  <c r="Y1" i="3"/>
  <c r="D2"/>
  <c r="B6"/>
  <c r="C3"/>
  <c r="T2"/>
  <c r="L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G27" s="1"/>
  <c r="H6"/>
  <c r="K6"/>
  <c r="M6"/>
  <c r="N6"/>
  <c r="O6"/>
  <c r="Q6"/>
  <c r="R6"/>
  <c r="S6"/>
  <c r="T6"/>
  <c r="V6"/>
  <c r="W6"/>
  <c r="X5"/>
  <c r="M5"/>
  <c r="N5"/>
  <c r="O5"/>
  <c r="P5"/>
  <c r="Q5"/>
  <c r="R5"/>
  <c r="S5"/>
  <c r="T5"/>
  <c r="U5"/>
  <c r="V5"/>
  <c r="W5"/>
  <c r="D5"/>
  <c r="E5"/>
  <c r="F5"/>
  <c r="G5"/>
  <c r="H5"/>
  <c r="I5"/>
  <c r="J5"/>
  <c r="K5"/>
  <c r="L5"/>
  <c r="C5"/>
  <c r="B5"/>
  <c r="A5"/>
  <c r="B19"/>
  <c r="H62" i="10" l="1"/>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T27"/>
  <c r="R27"/>
  <c r="S27"/>
  <c r="K27"/>
  <c r="G21" i="10" l="1"/>
  <c r="I86" i="6" s="1"/>
  <c r="G26" i="10"/>
  <c r="I88" i="6" s="1"/>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C27" i="9" s="1"/>
  <c r="E8" i="3"/>
  <c r="D29" i="9" s="1"/>
  <c r="C8" i="3"/>
  <c r="C29" i="9" s="1"/>
  <c r="E7" i="3" l="1"/>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D39" i="9" l="1"/>
  <c r="G35" s="1"/>
  <c r="C38"/>
  <c r="C39" s="1"/>
  <c r="C27" i="3"/>
  <c r="L6"/>
  <c r="Y6"/>
  <c r="I7"/>
  <c r="E27"/>
  <c r="D17"/>
  <c r="D27" s="1"/>
  <c r="J17"/>
  <c r="J27" s="1"/>
  <c r="P16"/>
  <c r="X16"/>
  <c r="G36" i="9" l="1"/>
  <c r="G37" s="1"/>
  <c r="G31" s="1"/>
  <c r="G32" s="1"/>
  <c r="G5" s="1"/>
  <c r="L7" i="3"/>
  <c r="I8"/>
  <c r="X17"/>
  <c r="X27" s="1"/>
  <c r="P17"/>
  <c r="P27" s="1"/>
  <c r="M20" i="10" s="1"/>
  <c r="I90" i="6" s="1"/>
  <c r="G41" i="9" l="1"/>
  <c r="I62" i="6"/>
  <c r="F68"/>
  <c r="K69" s="1"/>
  <c r="K90"/>
  <c r="N90"/>
  <c r="L8" i="3"/>
  <c r="Y8"/>
  <c r="I9"/>
  <c r="AB13" i="4"/>
  <c r="Y7" i="3"/>
  <c r="O32" i="10"/>
  <c r="I99" i="6" s="1"/>
  <c r="M30" i="10"/>
  <c r="O31" s="1"/>
  <c r="K99" i="6" l="1"/>
  <c r="N99"/>
  <c r="L9" i="3"/>
  <c r="Y9"/>
  <c r="I10"/>
  <c r="O34" i="10"/>
  <c r="O45" s="1"/>
  <c r="N113" i="6" s="1"/>
  <c r="L10" i="3"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M70"/>
  <c r="L20"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L26" s="1"/>
  <c r="L28" s="1"/>
  <c r="Z21"/>
  <c r="AC21" s="1"/>
  <c r="O55" i="10"/>
  <c r="N116" i="6" s="1"/>
  <c r="N115"/>
  <c r="O56" i="10" l="1"/>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<sst xmlns="http://schemas.openxmlformats.org/spreadsheetml/2006/main" count="837" uniqueCount="559">
  <si>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</si>
  <si>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</si>
  <si>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</si>
  <si>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</si>
  <si>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</si>
  <si>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</si>
  <si>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</si>
  <si>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</si>
  <si>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</si>
  <si>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</si>
  <si>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</si>
  <si>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</si>
  <si>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</si>
  <si>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</si>
  <si>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</si>
  <si>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</si>
  <si>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</si>
  <si>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</si>
  <si>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</si>
  <si>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</si>
  <si>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</si>
  <si>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</si>
  <si>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</si>
  <si>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</si>
  <si>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</si>
  <si>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</si>
  <si>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</si>
  <si>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</si>
  <si>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</si>
  <si>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</si>
  <si>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</si>
  <si>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</si>
  <si>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</si>
  <si>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</si>
  <si>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</si>
  <si>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</si>
  <si>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</si>
  <si>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</si>
  <si>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</si>
  <si>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</si>
  <si>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</si>
  <si>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</si>
  <si>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</si>
  <si>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</si>
  <si>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</si>
  <si>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</si>
  <si>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</si>
  <si>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</si>
  <si>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</si>
  <si>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</si>
  <si>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</si>
  <si>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</si>
  <si>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</si>
  <si>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</si>
  <si>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</si>
  <si>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</si>
  <si>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</si>
  <si>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</si>
  <si>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</si>
  <si>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</si>
  <si>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</si>
  <si>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</si>
  <si>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</si>
  <si>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</si>
  <si>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</si>
  <si>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</si>
  <si>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</si>
  <si>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</si>
  <si>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</si>
  <si>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</si>
  <si>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</si>
  <si>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</si>
  <si>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</si>
  <si>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</si>
  <si>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</si>
  <si>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</si>
  <si>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</si>
  <si>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</si>
  <si>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</si>
  <si>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</si>
  <si>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</si>
  <si>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</si>
  <si>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</si>
  <si>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</si>
  <si>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</si>
  <si>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</si>
  <si>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</si>
  <si>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</si>
  <si>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</si>
  <si>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</si>
  <si>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</si>
  <si>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</si>
  <si>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</si>
  <si>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</si>
  <si>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</si>
  <si>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</si>
  <si>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</si>
  <si>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</si>
  <si>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</si>
  <si>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</si>
  <si>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</si>
  <si>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</si>
  <si>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</si>
  <si>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</si>
  <si>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</si>
  <si>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</si>
  <si>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</si>
  <si>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</si>
  <si>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</si>
  <si>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</si>
  <si>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</si>
  <si>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</si>
  <si>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</si>
  <si>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</si>
  <si>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</si>
  <si>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</si>
  <si>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</si>
  <si>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</si>
  <si>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</si>
  <si>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</si>
  <si>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</si>
  <si>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</si>
  <si>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</si>
  <si>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</si>
  <si>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</si>
  <si>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</si>
  <si>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</si>
  <si>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</si>
  <si>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</si>
  <si>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</si>
  <si>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</si>
  <si>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</si>
  <si>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</si>
  <si>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</si>
  <si>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</si>
  <si>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</si>
  <si>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</si>
  <si>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</si>
  <si>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</si>
  <si>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</si>
  <si>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</si>
  <si>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</si>
  <si>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</si>
  <si>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</si>
  <si>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</si>
  <si>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</si>
  <si>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</si>
  <si>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</si>
  <si>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</si>
  <si>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</si>
  <si>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</si>
  <si>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</si>
  <si>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</si>
  <si>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</si>
  <si>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</si>
  <si>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</si>
  <si>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</si>
  <si>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</si>
  <si>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</si>
  <si>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</si>
  <si>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</si>
  <si>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</si>
  <si>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</si>
  <si>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</si>
  <si>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</si>
  <si>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</si>
  <si>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</si>
  <si>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</si>
  <si>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</si>
  <si>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</si>
  <si>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</si>
  <si>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</si>
  <si>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</si>
  <si>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</si>
  <si>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</si>
  <si>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</si>
  <si>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</si>
  <si>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</si>
  <si>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</si>
  <si>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</si>
  <si>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</si>
  <si>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</si>
  <si>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</si>
  <si>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</si>
  <si>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</si>
  <si>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</si>
  <si>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</si>
  <si>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</si>
  <si>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</si>
  <si>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</si>
  <si>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</si>
  <si>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</si>
  <si>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</si>
  <si>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</si>
  <si>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</si>
  <si>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</si>
  <si>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</si>
  <si>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</si>
  <si>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</si>
  <si>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</si>
  <si>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</si>
  <si>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</si>
  <si>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</si>
  <si>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</si>
  <si>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</si>
  <si>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</si>
  <si>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</si>
  <si>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</si>
  <si>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</si>
  <si>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</si>
  <si>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</si>
  <si>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</si>
  <si>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</si>
  <si>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</si>
  <si>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</si>
  <si>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</si>
  <si>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</si>
  <si>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</si>
  <si>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</si>
  <si>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</si>
  <si>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</si>
  <si>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</si>
  <si>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</si>
  <si>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</si>
  <si>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</si>
  <si>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</si>
  <si>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</si>
  <si>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</si>
  <si>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</si>
  <si>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</si>
  <si>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</si>
  <si>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</si>
  <si>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</si>
  <si>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</si>
  <si>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</si>
  <si>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</si>
  <si>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</si>
  <si>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</si>
  <si>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</si>
  <si>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</si>
  <si>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</si>
  <si>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</si>
  <si>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</si>
  <si>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</si>
  <si>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</si>
  <si>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</si>
  <si>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</si>
  <si>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</si>
  <si>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</si>
  <si>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</si>
  <si>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</si>
  <si>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</si>
  <si>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</si>
  <si>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</si>
  <si>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</si>
  <si>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</si>
  <si>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</si>
  <si>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</si>
  <si>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</si>
  <si>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</si>
  <si>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</si>
  <si>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</si>
  <si>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</si>
  <si>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</si>
  <si>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</si>
  <si>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</si>
  <si>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</si>
  <si>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</si>
  <si>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</si>
  <si>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</si>
  <si>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</si>
  <si>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</si>
  <si>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</si>
  <si>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</si>
  <si>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</si>
  <si>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</si>
  <si>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</si>
  <si>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</si>
  <si>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</si>
  <si>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</si>
  <si>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</si>
  <si>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</si>
  <si>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</si>
  <si>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</si>
  <si>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</si>
  <si>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</si>
  <si>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</si>
  <si>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</si>
  <si>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</si>
  <si>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</si>
  <si>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</si>
  <si>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</si>
  <si>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</si>
  <si>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</si>
  <si>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</si>
  <si>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</si>
  <si>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</si>
  <si>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</si>
  <si>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</si>
  <si>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</si>
  <si>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</si>
  <si>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</si>
  <si>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</si>
  <si>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</si>
  <si>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</si>
  <si>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</si>
  <si>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</si>
  <si>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</si>
  <si>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</si>
  <si>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</si>
  <si>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</si>
  <si>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</si>
  <si>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</si>
  <si>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</si>
  <si>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</si>
  <si>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</si>
  <si>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</si>
  <si>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</si>
  <si>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</si>
  <si>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</si>
  <si>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</si>
  <si>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</si>
  <si>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</si>
  <si>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</si>
  <si>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</si>
  <si>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</si>
  <si>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</si>
  <si>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</si>
  <si>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</si>
  <si>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</si>
  <si>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</si>
  <si>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</si>
  <si>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</si>
  <si>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</si>
  <si>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</si>
  <si>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</si>
  <si>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</si>
  <si>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</si>
  <si>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</si>
  <si>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</si>
  <si>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</si>
  <si>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</si>
  <si>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</si>
  <si>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</si>
  <si>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</si>
  <si>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</si>
  <si>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</si>
  <si>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</si>
  <si>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</si>
  <si>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</si>
  <si>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</si>
  <si>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</si>
  <si>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</si>
  <si>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</si>
  <si>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</si>
  <si>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</si>
  <si>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</si>
  <si>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</si>
  <si>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</si>
  <si>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</si>
  <si>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</si>
  <si>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</si>
  <si>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</si>
  <si>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</si>
  <si>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</si>
  <si>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</si>
  <si>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</si>
  <si>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</si>
  <si>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</si>
  <si>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</si>
  <si>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</si>
  <si>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</si>
  <si>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</si>
  <si>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</si>
  <si>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</si>
  <si>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</si>
  <si>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</si>
  <si>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</si>
  <si>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</si>
  <si>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</si>
  <si>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</si>
  <si>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</si>
  <si>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</si>
  <si>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</si>
  <si>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</si>
  <si>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</si>
  <si>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</si>
  <si>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</si>
  <si>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</si>
  <si>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</si>
  <si>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</si>
  <si>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</si>
  <si>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</si>
  <si>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</si>
  <si>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</si>
  <si>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</si>
  <si>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</si>
  <si>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</si>
  <si>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</si>
  <si>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</si>
  <si>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</si>
  <si>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</si>
  <si>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</si>
  <si>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</si>
  <si>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</si>
  <si>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</si>
  <si>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</si>
  <si>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</si>
  <si>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</si>
  <si>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</si>
  <si>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</si>
  <si>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</si>
  <si>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</si>
  <si>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</si>
  <si>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</si>
  <si>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</si>
  <si>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</si>
  <si>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</si>
  <si>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</si>
  <si>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</si>
  <si>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vk; %  o"kZ&amp;2018&amp;19 esa izkIr dqy osru ¼ dj ;ksX; lqfo/kkvksa ds eqY; lfgr ½</t>
  </si>
  <si>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</si>
  <si>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</si>
  <si>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</si>
  <si>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</si>
  <si>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</si>
  <si>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</si>
  <si>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</si>
  <si>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</si>
  <si>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</si>
  <si>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</si>
  <si>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</si>
  <si>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</si>
  <si>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</si>
  <si>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</si>
  <si>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</si>
  <si>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</si>
  <si>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</si>
  <si>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</si>
  <si>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</si>
  <si>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</si>
  <si>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</si>
  <si>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</si>
  <si>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</si>
  <si>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</si>
  <si>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</si>
  <si>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</si>
  <si>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</si>
  <si>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</si>
  <si>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</si>
  <si>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</si>
  <si>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</si>
  <si>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</si>
  <si>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</si>
  <si>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</si>
  <si>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</si>
  <si>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</si>
  <si>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</si>
  <si>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</si>
  <si>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</si>
  <si>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</si>
  <si>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</si>
  <si>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</si>
  <si>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</si>
  <si>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</si>
  <si>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</si>
  <si>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</si>
  <si>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</si>
  <si>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</si>
  <si>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</si>
  <si>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</si>
  <si>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</si>
  <si>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</si>
  <si>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</si>
  <si>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</si>
  <si>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</si>
  <si>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</si>
  <si>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</si>
  <si>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</si>
  <si>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</si>
  <si>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</si>
  <si>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</si>
  <si>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</si>
  <si>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</si>
  <si>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</si>
  <si>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</si>
  <si>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</si>
  <si>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</si>
  <si>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</si>
  <si>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</si>
  <si>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</si>
  <si>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</si>
  <si>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</si>
  <si>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</si>
  <si>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</si>
  <si>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</si>
  <si>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</si>
  <si>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t>GOVERNMENT SENIOR SECONDARY SCHOOL INDERWARA , RANI (PALI)</t>
  </si>
  <si>
    <t>G.S.S.S INDERWARA</t>
  </si>
  <si>
    <t>JDHG13119B</t>
  </si>
  <si>
    <t>MISHRI LAL</t>
  </si>
  <si>
    <r>
      <t>fodykax HkÙkk</t>
    </r>
    <r>
      <rPr>
        <b/>
        <sz val="16"/>
        <color rgb="FFC0C03E"/>
        <rFont val="Kruti Dev 010"/>
      </rPr>
      <t xml:space="preserve"> %&amp;</t>
    </r>
  </si>
  <si>
    <t>vxj gkW rks jkf'k %&amp;</t>
  </si>
  <si>
    <t xml:space="preserve">      vkidks osru fey jgk gSA</t>
  </si>
  <si>
    <t xml:space="preserve"> </t>
  </si>
  <si>
    <t>GSSS INDERWARA  (PALI)</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</si>
  <si>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</si>
  <si>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</si>
  <si>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</si>
  <si>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</si>
  <si>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</si>
  <si>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</si>
  <si>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</si>
  <si>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</si>
  <si>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</si>
  <si>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</si>
  <si>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</si>
  <si>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</si>
  <si>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</si>
  <si>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</si>
  <si>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</si>
  <si>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</si>
  <si>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</si>
  <si>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</si>
  <si>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</si>
  <si>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</si>
  <si>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</si>
  <si>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</si>
  <si>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</si>
  <si>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</si>
  <si>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</si>
  <si>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</si>
  <si>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</si>
  <si>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</si>
  <si>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</si>
  <si>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</si>
  <si>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</si>
  <si>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</si>
  <si>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</si>
  <si>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flr- 2018 ls fnl- 2019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</si>
  <si>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</si>
  <si>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</si>
  <si>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</si>
  <si>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</si>
  <si>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</si>
  <si>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</si>
  <si>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</si>
  <si>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</si>
  <si>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</si>
  <si>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</si>
  <si>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</si>
  <si>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</si>
  <si>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</si>
  <si>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ADEPLxxxxx</t>
  </si>
  <si>
    <t>10xxx33</t>
  </si>
  <si>
    <t>9xxxx66</t>
  </si>
  <si>
    <t>RJPA20032xxxxxx88</t>
  </si>
  <si>
    <t>510xxxxxxxx56</t>
  </si>
  <si>
    <t>Makwana</t>
  </si>
</sst>
</file>

<file path=xl/styles.xml><?xml version="1.0" encoding="utf-8"?>
<styleSheet xmlns="http://schemas.openxmlformats.org/spreadsheetml/2006/main">
  <numFmts count="4">
    <numFmt numFmtId="43" formatCode="_(* #,##0.00_);_(* \(#,##0.00\);_(* &quot;-&quot;??_);_(@_)"/>
    <numFmt numFmtId="164" formatCode="[$-409]mmmm\-yy;@"/>
    <numFmt numFmtId="165" formatCode="[$-409]mmm/yy;@"/>
    <numFmt numFmtId="166" formatCode="mmm\-yy"/>
  </numFmts>
  <fonts count="217">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66"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6"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1" fillId="23" borderId="28" xfId="0" applyFont="1" applyFill="1" applyBorder="1" applyAlignment="1" applyProtection="1">
      <alignment horizontal="center" vertical="top" wrapText="1"/>
      <protection hidden="1"/>
    </xf>
    <xf numFmtId="0" fontId="201"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2"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4" fillId="9" borderId="85"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1" fontId="4" fillId="9" borderId="85"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85" xfId="0" applyNumberFormat="1" applyFont="1" applyFill="1" applyBorder="1" applyAlignment="1" applyProtection="1">
      <alignment horizontal="left" vertical="center"/>
      <protection locked="0"/>
    </xf>
    <xf numFmtId="0" fontId="48" fillId="9" borderId="85" xfId="0"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212" fillId="9" borderId="24" xfId="0" applyFont="1" applyFill="1" applyBorder="1" applyAlignment="1" applyProtection="1">
      <alignment horizontal="center" vertical="center"/>
      <protection hidden="1"/>
    </xf>
    <xf numFmtId="0" fontId="212" fillId="9" borderId="25"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4" fillId="11" borderId="85" xfId="0" applyFont="1" applyFill="1" applyBorder="1" applyAlignment="1" applyProtection="1">
      <alignment horizontal="left" vertical="center"/>
      <protection hidden="1"/>
    </xf>
    <xf numFmtId="0" fontId="4" fillId="9" borderId="86" xfId="0" applyFont="1" applyFill="1" applyBorder="1" applyAlignment="1" applyProtection="1">
      <alignment horizontal="left" vertical="center"/>
      <protection locked="0"/>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0" applyFont="1" applyFill="1" applyBorder="1" applyAlignment="1" applyProtection="1">
      <alignment horizontal="center" vertical="center"/>
      <protection hidden="1"/>
    </xf>
    <xf numFmtId="0" fontId="210" fillId="9" borderId="25" xfId="0" applyFont="1" applyFill="1" applyBorder="1" applyAlignment="1" applyProtection="1">
      <alignment horizontal="center" vertical="center"/>
      <protection hidden="1"/>
    </xf>
    <xf numFmtId="0" fontId="211" fillId="9" borderId="24" xfId="22" applyFont="1" applyFill="1" applyBorder="1" applyAlignment="1" applyProtection="1">
      <alignment horizontal="center" vertical="center"/>
      <protection hidden="1"/>
    </xf>
    <xf numFmtId="0" fontId="211" fillId="9" borderId="25" xfId="22" applyFont="1"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7"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2" fontId="213" fillId="14" borderId="0" xfId="9" applyNumberFormat="1" applyFont="1" applyFill="1" applyBorder="1" applyAlignment="1" applyProtection="1">
      <alignment horizontal="left" vertical="center"/>
      <protection hidden="1"/>
    </xf>
    <xf numFmtId="2" fontId="213"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8"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7" xfId="9"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1" fontId="4" fillId="0" borderId="18"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81" fillId="0" borderId="60" xfId="2" applyFont="1" applyBorder="1" applyAlignment="1">
      <alignment horizontal="left" vertical="center"/>
    </xf>
    <xf numFmtId="0" fontId="179"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32" fillId="0" borderId="60" xfId="2" applyFont="1" applyBorder="1" applyAlignment="1">
      <alignment horizontal="center"/>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55" fillId="0" borderId="77"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78" xfId="2" applyFont="1" applyBorder="1" applyAlignment="1">
      <alignment horizontal="center" vertical="top"/>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56" fillId="0" borderId="60" xfId="2" applyFont="1" applyBorder="1" applyAlignment="1">
      <alignment horizontal="left"/>
    </xf>
    <xf numFmtId="0" fontId="55" fillId="0" borderId="60" xfId="2" applyFont="1" applyFill="1" applyBorder="1" applyAlignment="1">
      <alignment horizontal="left"/>
    </xf>
    <xf numFmtId="0" fontId="50" fillId="0" borderId="60" xfId="2" applyFont="1" applyBorder="1" applyAlignment="1">
      <alignment horizontal="right"/>
    </xf>
    <xf numFmtId="0" fontId="55" fillId="0" borderId="60" xfId="2" applyFont="1" applyBorder="1" applyAlignment="1">
      <alignment horizontal="right" vertical="center"/>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55" fillId="0" borderId="60" xfId="2" applyFont="1" applyBorder="1" applyAlignment="1">
      <alignment horizontal="left"/>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55" fillId="0" borderId="60" xfId="2" applyFont="1" applyBorder="1" applyAlignment="1">
      <alignment horizontal="left" vertical="center"/>
    </xf>
    <xf numFmtId="0" fontId="192" fillId="0" borderId="0" xfId="6" applyFont="1" applyAlignment="1" applyProtection="1">
      <alignment horizontal="center"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2" fontId="33" fillId="0" borderId="60" xfId="2" applyNumberFormat="1" applyFont="1" applyBorder="1" applyAlignment="1">
      <alignment horizontal="center" vertical="center"/>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55" fillId="0" borderId="75" xfId="2" applyFont="1" applyBorder="1" applyAlignment="1">
      <alignment horizontal="center" vertical="top"/>
    </xf>
    <xf numFmtId="0" fontId="55" fillId="0" borderId="60" xfId="2"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179" fillId="0" borderId="76" xfId="2" applyFont="1" applyBorder="1" applyAlignment="1">
      <alignment horizontal="left" vertical="center"/>
    </xf>
    <xf numFmtId="2" fontId="179" fillId="0" borderId="60" xfId="0" applyNumberFormat="1" applyFont="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1" fontId="3" fillId="0" borderId="60" xfId="0" applyNumberFormat="1" applyFont="1" applyBorder="1" applyAlignment="1">
      <alignment horizontal="center" vertical="center"/>
    </xf>
    <xf numFmtId="0" fontId="3" fillId="0" borderId="60" xfId="0"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0" fillId="0" borderId="60" xfId="0"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xf>
    <xf numFmtId="0" fontId="19" fillId="0" borderId="60" xfId="0" applyFont="1" applyBorder="1" applyAlignment="1">
      <alignment horizontal="left" vertical="top"/>
    </xf>
    <xf numFmtId="0" fontId="168" fillId="0" borderId="60" xfId="0" applyFont="1" applyBorder="1" applyAlignment="1">
      <alignment horizontal="center" vertical="center"/>
    </xf>
    <xf numFmtId="0" fontId="19" fillId="0" borderId="60" xfId="0" applyFont="1" applyBorder="1" applyAlignment="1">
      <alignment horizontal="left" vertical="top" wrapText="1"/>
    </xf>
    <xf numFmtId="0" fontId="148" fillId="0" borderId="60" xfId="0" applyFont="1" applyBorder="1" applyAlignment="1">
      <alignment horizontal="center" vertical="center"/>
    </xf>
    <xf numFmtId="0" fontId="167" fillId="0" borderId="60" xfId="0" applyFont="1" applyBorder="1" applyAlignment="1">
      <alignment horizontal="center" vertical="center"/>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0" fillId="0" borderId="0" xfId="0" applyAlignment="1">
      <alignment horizontal="left" vertical="top"/>
    </xf>
    <xf numFmtId="0" fontId="11" fillId="0" borderId="60" xfId="0" applyFont="1" applyBorder="1" applyAlignment="1">
      <alignment horizontal="left" vertical="top" wrapText="1"/>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22" fillId="0" borderId="60" xfId="0" applyFont="1" applyBorder="1" applyAlignment="1">
      <alignment horizontal="left" vertical="top" wrapText="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24" xfId="0" applyFont="1" applyBorder="1" applyAlignment="1" applyProtection="1">
      <alignment horizontal="right" vertical="center"/>
      <protection locked="0"/>
    </xf>
    <xf numFmtId="0" fontId="31" fillId="0" borderId="24"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24" xfId="0" applyFont="1" applyBorder="1" applyAlignment="1" applyProtection="1">
      <alignment horizontal="left" vertical="center" wrapText="1"/>
      <protection hidden="1"/>
    </xf>
    <xf numFmtId="0" fontId="34" fillId="0" borderId="24" xfId="0" applyFont="1" applyBorder="1" applyAlignment="1" applyProtection="1">
      <alignment horizontal="center" vertical="center" wrapText="1"/>
      <protection locked="0" hidden="1"/>
    </xf>
    <xf numFmtId="0" fontId="35" fillId="0" borderId="24" xfId="0" applyFont="1" applyBorder="1" applyAlignment="1" applyProtection="1">
      <alignment horizont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11" fillId="0" borderId="24"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0" fillId="0" borderId="24" xfId="0" applyFont="1" applyBorder="1" applyAlignment="1" applyProtection="1">
      <alignment horizontal="center"/>
      <protection hidden="1"/>
    </xf>
    <xf numFmtId="0" fontId="31" fillId="0" borderId="24" xfId="0" applyFont="1" applyBorder="1" applyAlignment="1" applyProtection="1">
      <alignment horizontal="left" vertical="center"/>
      <protection hidden="1"/>
    </xf>
    <xf numFmtId="0" fontId="8" fillId="0" borderId="24"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22" fillId="0" borderId="24" xfId="0" applyFont="1" applyBorder="1" applyAlignment="1" applyProtection="1">
      <alignment horizontal="center"/>
      <protection hidden="1"/>
    </xf>
    <xf numFmtId="0" fontId="9" fillId="0" borderId="24" xfId="0" applyFont="1" applyBorder="1" applyAlignment="1" applyProtection="1">
      <alignment horizontal="right" vertical="center"/>
      <protection hidden="1"/>
    </xf>
    <xf numFmtId="0" fontId="40" fillId="0" borderId="24" xfId="0" applyFont="1" applyBorder="1" applyAlignment="1" applyProtection="1">
      <alignment horizontal="left" vertic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0" fillId="0" borderId="24" xfId="0" applyFont="1" applyBorder="1" applyAlignment="1" applyProtection="1">
      <alignment horizontal="center"/>
      <protection locked="0" hidden="1"/>
    </xf>
    <xf numFmtId="0" fontId="77" fillId="0" borderId="0" xfId="0" applyFont="1" applyBorder="1" applyAlignment="1" applyProtection="1">
      <alignment horizontal="center" vertical="center" wrapText="1"/>
      <protection hidden="1"/>
    </xf>
    <xf numFmtId="0" fontId="30"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33" fillId="0" borderId="24" xfId="0" applyFont="1" applyBorder="1" applyAlignment="1" applyProtection="1">
      <alignment horizontal="center" vertical="center"/>
      <protection locked="0" hidden="1"/>
    </xf>
    <xf numFmtId="0" fontId="40"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35" fillId="0" borderId="25" xfId="0" applyFont="1" applyBorder="1" applyAlignment="1" applyProtection="1">
      <alignment horizontal="left" vertical="center"/>
      <protection hidden="1"/>
    </xf>
    <xf numFmtId="0" fontId="35" fillId="0" borderId="26"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24" xfId="0"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5" fillId="0" borderId="24"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3" fillId="0" borderId="24" xfId="0" applyFont="1" applyBorder="1" applyAlignment="1" applyProtection="1">
      <alignment horizontal="center" vertical="center" wrapText="1"/>
      <protection locked="0" hidden="1"/>
    </xf>
    <xf numFmtId="0" fontId="33" fillId="0" borderId="24" xfId="0" applyNumberFormat="1" applyFont="1" applyBorder="1" applyAlignment="1" applyProtection="1">
      <alignment horizontal="center" vertical="center"/>
      <protection locked="0" hidden="1"/>
    </xf>
    <xf numFmtId="14" fontId="32"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14" fontId="23" fillId="0" borderId="24"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31"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locked="0" hidden="1"/>
    </xf>
    <xf numFmtId="1" fontId="30" fillId="0" borderId="24" xfId="1" applyNumberFormat="1" applyFont="1" applyBorder="1" applyAlignment="1" applyProtection="1">
      <alignment horizontal="center" vertical="center"/>
      <protection hidden="1"/>
    </xf>
    <xf numFmtId="0" fontId="30" fillId="0" borderId="24" xfId="0" applyFont="1" applyBorder="1" applyAlignment="1" applyProtection="1">
      <alignment horizontal="center" vertical="center"/>
      <protection locked="0" hidden="1"/>
    </xf>
    <xf numFmtId="1" fontId="30" fillId="0" borderId="24" xfId="0" applyNumberFormat="1"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35"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protection hidden="1"/>
    </xf>
    <xf numFmtId="0" fontId="37" fillId="0" borderId="24" xfId="0" applyFont="1" applyBorder="1" applyAlignment="1" applyProtection="1">
      <alignment horizontal="center" vertic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4" fillId="0" borderId="24"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workbookViewId="0">
      <selection activeCell="A27" sqref="A27:B27"/>
    </sheetView>
  </sheetViews>
  <sheetFormatPr defaultColWidth="0" defaultRowHeight="15" zeroHeight="1"/>
  <cols>
    <col min="1" max="1" width="9.140625" customWidth="1"/>
    <col min="2" max="2" width="134.140625" customWidth="1"/>
    <col min="3" max="16384" width="9.140625" hidden="1"/>
  </cols>
  <sheetData>
    <row r="1" spans="1:2" ht="39" customHeight="1" thickTop="1">
      <c r="A1" s="453" t="s">
        <v>343</v>
      </c>
      <c r="B1" s="454"/>
    </row>
    <row r="2" spans="1:2" ht="138.75" customHeight="1" thickBot="1">
      <c r="A2" s="173"/>
      <c r="B2" s="272" t="s">
        <v>477</v>
      </c>
    </row>
    <row r="3" spans="1:2" ht="24.75" customHeight="1" thickTop="1" thickBot="1">
      <c r="A3" s="466" t="s">
        <v>314</v>
      </c>
      <c r="B3" s="466"/>
    </row>
    <row r="4" spans="1:2" ht="21.75" customHeight="1" thickTop="1" thickBot="1">
      <c r="A4" s="467" t="s">
        <v>342</v>
      </c>
      <c r="B4" s="467"/>
    </row>
    <row r="5" spans="1:2" ht="78.75" customHeight="1" thickTop="1" thickBot="1">
      <c r="A5" s="129">
        <v>1</v>
      </c>
      <c r="B5" s="432" t="s">
        <v>526</v>
      </c>
    </row>
    <row r="6" spans="1:2" s="118" customFormat="1" ht="42" customHeight="1" thickTop="1" thickBot="1">
      <c r="A6" s="129">
        <v>2</v>
      </c>
      <c r="B6" s="432" t="s">
        <v>527</v>
      </c>
    </row>
    <row r="7" spans="1:2" ht="39" thickTop="1" thickBot="1">
      <c r="A7" s="129">
        <v>3</v>
      </c>
      <c r="B7" s="432" t="s">
        <v>315</v>
      </c>
    </row>
    <row r="8" spans="1:2" ht="39" thickTop="1" thickBot="1">
      <c r="A8" s="129">
        <v>4</v>
      </c>
      <c r="B8" s="432" t="s">
        <v>316</v>
      </c>
    </row>
    <row r="9" spans="1:2" ht="114" thickTop="1" thickBot="1">
      <c r="A9" s="129">
        <v>5</v>
      </c>
      <c r="B9" s="432" t="s">
        <v>528</v>
      </c>
    </row>
    <row r="10" spans="1:2" ht="56.25" customHeight="1" thickTop="1" thickBot="1">
      <c r="A10" s="129">
        <v>6</v>
      </c>
      <c r="B10" s="432" t="s">
        <v>478</v>
      </c>
    </row>
    <row r="11" spans="1:2" s="119" customFormat="1" ht="44.25" customHeight="1" thickTop="1" thickBot="1">
      <c r="A11" s="129">
        <v>7</v>
      </c>
      <c r="B11" s="432" t="s">
        <v>479</v>
      </c>
    </row>
    <row r="12" spans="1:2" ht="24" customHeight="1" thickTop="1" thickBot="1">
      <c r="A12" s="127">
        <v>8</v>
      </c>
      <c r="B12" s="433" t="s">
        <v>340</v>
      </c>
    </row>
    <row r="13" spans="1:2" ht="20.25" thickTop="1" thickBot="1">
      <c r="A13" s="130">
        <v>9</v>
      </c>
      <c r="B13" s="433" t="s">
        <v>317</v>
      </c>
    </row>
    <row r="14" spans="1:2" ht="20.25" thickTop="1" thickBot="1">
      <c r="A14" s="131" t="s">
        <v>311</v>
      </c>
      <c r="B14" s="131"/>
    </row>
    <row r="15" spans="1:2" ht="39" thickTop="1" thickBot="1">
      <c r="A15" s="129">
        <v>10</v>
      </c>
      <c r="B15" s="128" t="s">
        <v>480</v>
      </c>
    </row>
    <row r="16" spans="1:2" ht="20.25" thickTop="1" thickBot="1">
      <c r="A16" s="131" t="s">
        <v>312</v>
      </c>
      <c r="B16" s="131"/>
    </row>
    <row r="17" spans="1:2" ht="37.5" customHeight="1" thickTop="1" thickBot="1">
      <c r="A17" s="129">
        <v>11</v>
      </c>
      <c r="B17" s="128" t="s">
        <v>318</v>
      </c>
    </row>
    <row r="18" spans="1:2" s="121" customFormat="1" ht="19.5" customHeight="1" thickTop="1" thickBot="1">
      <c r="A18" s="468" t="s">
        <v>366</v>
      </c>
      <c r="B18" s="469"/>
    </row>
    <row r="19" spans="1:2" s="121" customFormat="1" ht="37.5" customHeight="1" thickTop="1" thickBot="1">
      <c r="A19" s="129">
        <v>12</v>
      </c>
      <c r="B19" s="128" t="s">
        <v>319</v>
      </c>
    </row>
    <row r="20" spans="1:2" ht="20.25" thickTop="1" thickBot="1">
      <c r="A20" s="465" t="s">
        <v>313</v>
      </c>
      <c r="B20" s="465"/>
    </row>
    <row r="21" spans="1:2" ht="39.75" customHeight="1" thickTop="1" thickBot="1">
      <c r="A21" s="470" t="s">
        <v>341</v>
      </c>
      <c r="B21" s="470"/>
    </row>
    <row r="22" spans="1:2" ht="38.25" customHeight="1" thickTop="1" thickBot="1">
      <c r="A22" s="464" t="s">
        <v>333</v>
      </c>
      <c r="B22" s="464"/>
    </row>
    <row r="23" spans="1:2" ht="64.5" customHeight="1" thickTop="1">
      <c r="A23" s="163"/>
      <c r="B23" s="434" t="s">
        <v>529</v>
      </c>
    </row>
    <row r="24" spans="1:2" ht="11.25" customHeight="1">
      <c r="A24" s="164"/>
      <c r="B24" s="165"/>
    </row>
    <row r="25" spans="1:2" ht="23.25">
      <c r="A25" s="455" t="s">
        <v>339</v>
      </c>
      <c r="B25" s="456"/>
    </row>
    <row r="26" spans="1:2" ht="23.25">
      <c r="A26" s="457" t="s">
        <v>481</v>
      </c>
      <c r="B26" s="458"/>
    </row>
    <row r="27" spans="1:2" ht="23.25">
      <c r="A27" s="459" t="s">
        <v>483</v>
      </c>
      <c r="B27" s="460"/>
    </row>
    <row r="28" spans="1:2" ht="23.25">
      <c r="A28" s="461" t="s">
        <v>337</v>
      </c>
      <c r="B28" s="462"/>
    </row>
    <row r="29" spans="1:2" ht="23.25">
      <c r="A29" s="463" t="s">
        <v>482</v>
      </c>
      <c r="B29" s="452"/>
    </row>
    <row r="30" spans="1:2" s="124" customFormat="1" ht="23.25">
      <c r="A30" s="451" t="s">
        <v>336</v>
      </c>
      <c r="B30" s="452"/>
    </row>
    <row r="31" spans="1:2" ht="29.25">
      <c r="A31" s="449" t="s">
        <v>338</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topLeftCell="A4" zoomScaleSheetLayoutView="100" workbookViewId="0">
      <selection activeCell="K31" sqref="K31:L31"/>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13" t="s">
        <v>75</v>
      </c>
      <c r="B1" s="813"/>
      <c r="C1" s="813"/>
      <c r="D1" s="813"/>
      <c r="E1" s="813"/>
      <c r="F1" s="813"/>
      <c r="G1" s="813"/>
      <c r="H1" s="813"/>
      <c r="I1" s="813"/>
      <c r="J1" s="813"/>
      <c r="K1" s="813"/>
      <c r="L1" s="813"/>
      <c r="M1" s="813"/>
      <c r="N1" s="813"/>
      <c r="O1" s="90"/>
    </row>
    <row r="2" spans="1:17" ht="21.75" customHeight="1">
      <c r="A2" s="813" t="s">
        <v>74</v>
      </c>
      <c r="B2" s="813"/>
      <c r="C2" s="813"/>
      <c r="D2" s="813"/>
      <c r="E2" s="813"/>
      <c r="F2" s="813"/>
      <c r="G2" s="813"/>
      <c r="H2" s="813"/>
      <c r="I2" s="813"/>
      <c r="J2" s="813"/>
      <c r="K2" s="813"/>
      <c r="L2" s="813"/>
      <c r="M2" s="813"/>
      <c r="N2" s="813"/>
      <c r="O2" s="90"/>
    </row>
    <row r="3" spans="1:17" ht="15" customHeight="1">
      <c r="A3" s="814" t="s">
        <v>19</v>
      </c>
      <c r="B3" s="814"/>
      <c r="C3" s="814"/>
      <c r="D3" s="814"/>
      <c r="E3" s="814"/>
      <c r="F3" s="814"/>
      <c r="G3" s="814"/>
      <c r="H3" s="814"/>
      <c r="I3" s="814"/>
      <c r="J3" s="814"/>
      <c r="K3" s="814"/>
      <c r="L3" s="814"/>
      <c r="M3" s="814"/>
      <c r="N3" s="814"/>
      <c r="O3" s="90"/>
    </row>
    <row r="4" spans="1:17" ht="15.75" customHeight="1" thickBot="1">
      <c r="A4" s="814" t="s">
        <v>120</v>
      </c>
      <c r="B4" s="814"/>
      <c r="C4" s="814"/>
      <c r="D4" s="814"/>
      <c r="E4" s="814"/>
      <c r="F4" s="814"/>
      <c r="G4" s="814"/>
      <c r="H4" s="814"/>
      <c r="I4" s="814"/>
      <c r="J4" s="814"/>
      <c r="K4" s="814"/>
      <c r="L4" s="814"/>
      <c r="M4" s="814"/>
      <c r="N4" s="814"/>
      <c r="O4" s="90"/>
    </row>
    <row r="5" spans="1:17" ht="18.75" customHeight="1" thickTop="1" thickBot="1">
      <c r="A5" s="815" t="s">
        <v>68</v>
      </c>
      <c r="B5" s="815"/>
      <c r="C5" s="815"/>
      <c r="D5" s="815"/>
      <c r="E5" s="815"/>
      <c r="F5" s="815"/>
      <c r="G5" s="815"/>
      <c r="H5" s="815" t="s">
        <v>121</v>
      </c>
      <c r="I5" s="815"/>
      <c r="J5" s="815"/>
      <c r="K5" s="815"/>
      <c r="L5" s="815"/>
      <c r="M5" s="815"/>
      <c r="N5" s="815"/>
    </row>
    <row r="6" spans="1:17" ht="18" customHeight="1" thickTop="1" thickBot="1">
      <c r="A6" s="818" t="s">
        <v>122</v>
      </c>
      <c r="B6" s="818"/>
      <c r="C6" s="818"/>
      <c r="D6" s="818"/>
      <c r="E6" s="818"/>
      <c r="F6" s="818"/>
      <c r="G6" s="818"/>
      <c r="H6" s="818" t="s">
        <v>20</v>
      </c>
      <c r="I6" s="818"/>
      <c r="J6" s="818"/>
      <c r="K6" s="818"/>
      <c r="L6" s="818"/>
      <c r="M6" s="818"/>
      <c r="N6" s="818"/>
    </row>
    <row r="7" spans="1:17" ht="18.75" customHeight="1" thickTop="1" thickBot="1">
      <c r="A7" s="816" t="str">
        <f>IF(AND(Master!H16=""),"",UPPER(Master!H16))</f>
        <v>DEEO PALI</v>
      </c>
      <c r="B7" s="816"/>
      <c r="C7" s="816"/>
      <c r="D7" s="816"/>
      <c r="E7" s="816"/>
      <c r="F7" s="816"/>
      <c r="G7" s="816"/>
      <c r="H7" s="816" t="str">
        <f>IF(AND(Master!D9=""),"",UPPER(Master!D9))</f>
        <v>HEERA LAL JAT</v>
      </c>
      <c r="I7" s="816"/>
      <c r="J7" s="816"/>
      <c r="K7" s="816"/>
      <c r="L7" s="816"/>
      <c r="M7" s="816"/>
      <c r="N7" s="816"/>
    </row>
    <row r="8" spans="1:17" ht="19.5" customHeight="1" thickTop="1" thickBot="1">
      <c r="A8" s="816"/>
      <c r="B8" s="816"/>
      <c r="C8" s="816"/>
      <c r="D8" s="816"/>
      <c r="E8" s="816"/>
      <c r="F8" s="816"/>
      <c r="G8" s="816"/>
      <c r="H8" s="816" t="str">
        <f>IF(AND(Master!H9=""),"",UPPER(Master!H9))</f>
        <v>SR. TEACHER</v>
      </c>
      <c r="I8" s="816"/>
      <c r="J8" s="816"/>
      <c r="K8" s="816"/>
      <c r="L8" s="816"/>
      <c r="M8" s="816"/>
      <c r="N8" s="816"/>
    </row>
    <row r="9" spans="1:17" ht="18.75" customHeight="1" thickTop="1" thickBot="1">
      <c r="A9" s="816"/>
      <c r="B9" s="816"/>
      <c r="C9" s="816"/>
      <c r="D9" s="816"/>
      <c r="E9" s="816"/>
      <c r="F9" s="816"/>
      <c r="G9" s="816"/>
      <c r="H9" s="771" t="str">
        <f>IF(AND(Master!D10=""),"",UPPER(Master!D10))</f>
        <v>G.S.S.S INDERWARA</v>
      </c>
      <c r="I9" s="771"/>
      <c r="J9" s="771"/>
      <c r="K9" s="771"/>
      <c r="L9" s="771"/>
      <c r="M9" s="771"/>
      <c r="N9" s="771"/>
    </row>
    <row r="10" spans="1:17" ht="30" customHeight="1" thickTop="1" thickBot="1">
      <c r="A10" s="797" t="s">
        <v>117</v>
      </c>
      <c r="B10" s="797"/>
      <c r="C10" s="797"/>
      <c r="D10" s="797"/>
      <c r="E10" s="797" t="s">
        <v>116</v>
      </c>
      <c r="F10" s="797"/>
      <c r="G10" s="797"/>
      <c r="H10" s="797" t="s">
        <v>118</v>
      </c>
      <c r="I10" s="797"/>
      <c r="J10" s="797"/>
      <c r="K10" s="797"/>
      <c r="L10" s="817" t="s">
        <v>119</v>
      </c>
      <c r="M10" s="817"/>
      <c r="N10" s="817"/>
    </row>
    <row r="11" spans="1:17" ht="23.25" customHeight="1" thickTop="1" thickBot="1">
      <c r="A11" s="820"/>
      <c r="B11" s="820"/>
      <c r="C11" s="820"/>
      <c r="D11" s="820"/>
      <c r="E11" s="785" t="str">
        <f>IF(AND(Master!H12=""),"",UPPER(Master!H12))</f>
        <v>JDHG13119B</v>
      </c>
      <c r="F11" s="785"/>
      <c r="G11" s="785"/>
      <c r="H11" s="797" t="str">
        <f>IF(AND(Master!D12=""),"",UPPER(Master!D12))</f>
        <v>ADEPLXXXXX</v>
      </c>
      <c r="I11" s="797"/>
      <c r="J11" s="797"/>
      <c r="K11" s="797"/>
      <c r="L11" s="785" t="str">
        <f>IF(AND(Master!D11=""),"",UPPER(Master!D11))</f>
        <v>RJPA20032XXXXXX88</v>
      </c>
      <c r="M11" s="785"/>
      <c r="N11" s="785"/>
    </row>
    <row r="12" spans="1:17" ht="18" customHeight="1" thickTop="1" thickBot="1">
      <c r="A12" s="844" t="s">
        <v>70</v>
      </c>
      <c r="B12" s="845"/>
      <c r="C12" s="845"/>
      <c r="D12" s="845"/>
      <c r="E12" s="845"/>
      <c r="F12" s="845"/>
      <c r="G12" s="846"/>
      <c r="H12" s="797" t="s">
        <v>123</v>
      </c>
      <c r="I12" s="797"/>
      <c r="J12" s="797"/>
      <c r="K12" s="797"/>
      <c r="L12" s="824" t="s">
        <v>22</v>
      </c>
      <c r="M12" s="824"/>
      <c r="N12" s="824"/>
    </row>
    <row r="13" spans="1:17" ht="21.75" customHeight="1" thickTop="1" thickBot="1">
      <c r="A13" s="783" t="s">
        <v>71</v>
      </c>
      <c r="B13" s="783"/>
      <c r="C13" s="847"/>
      <c r="D13" s="848"/>
      <c r="E13" s="848"/>
      <c r="F13" s="848"/>
      <c r="G13" s="849"/>
      <c r="H13" s="783" t="s">
        <v>21</v>
      </c>
      <c r="I13" s="783"/>
      <c r="J13" s="783"/>
      <c r="K13" s="783"/>
      <c r="L13" s="824"/>
      <c r="M13" s="824"/>
      <c r="N13" s="824"/>
    </row>
    <row r="14" spans="1:17" ht="18" customHeight="1" thickTop="1" thickBot="1">
      <c r="A14" s="783"/>
      <c r="B14" s="783"/>
      <c r="C14" s="850"/>
      <c r="D14" s="851"/>
      <c r="E14" s="851"/>
      <c r="F14" s="851"/>
      <c r="G14" s="852"/>
      <c r="H14" s="783" t="s">
        <v>23</v>
      </c>
      <c r="I14" s="783"/>
      <c r="J14" s="783" t="s">
        <v>24</v>
      </c>
      <c r="K14" s="783"/>
      <c r="L14" s="824"/>
      <c r="M14" s="824"/>
      <c r="N14" s="824"/>
    </row>
    <row r="15" spans="1:17" ht="21.75" customHeight="1" thickTop="1" thickBot="1">
      <c r="A15" s="783" t="s">
        <v>72</v>
      </c>
      <c r="B15" s="783"/>
      <c r="C15" s="819"/>
      <c r="D15" s="819"/>
      <c r="E15" s="136" t="s">
        <v>73</v>
      </c>
      <c r="F15" s="819"/>
      <c r="G15" s="819"/>
      <c r="H15" s="823">
        <f>IF(AND(Master!D18=""),"",Master!D18)</f>
        <v>43525</v>
      </c>
      <c r="I15" s="823"/>
      <c r="J15" s="823">
        <f>IF(AND(Master!H18=""),"",Master!H18)</f>
        <v>43921</v>
      </c>
      <c r="K15" s="823"/>
      <c r="L15" s="797" t="str">
        <f>IF(AND(Master!H19=""),"",CONCATENATE(Master!D19," - ",Master!H19))</f>
        <v>2020 - 2021</v>
      </c>
      <c r="M15" s="797"/>
      <c r="N15" s="797"/>
      <c r="Q15" s="88"/>
    </row>
    <row r="16" spans="1:17" ht="21" customHeight="1" thickTop="1" thickBot="1">
      <c r="A16" s="804" t="s">
        <v>124</v>
      </c>
      <c r="B16" s="804"/>
      <c r="C16" s="804"/>
      <c r="D16" s="804"/>
      <c r="E16" s="804"/>
      <c r="F16" s="804"/>
      <c r="G16" s="804"/>
      <c r="H16" s="804"/>
      <c r="I16" s="804"/>
      <c r="J16" s="804"/>
      <c r="K16" s="804"/>
      <c r="L16" s="804"/>
      <c r="M16" s="804"/>
      <c r="N16" s="804"/>
    </row>
    <row r="17" spans="1:35" ht="48" customHeight="1" thickTop="1" thickBot="1">
      <c r="A17" s="797" t="s">
        <v>76</v>
      </c>
      <c r="B17" s="797"/>
      <c r="C17" s="797"/>
      <c r="D17" s="817" t="s">
        <v>81</v>
      </c>
      <c r="E17" s="817"/>
      <c r="F17" s="817"/>
      <c r="G17" s="817"/>
      <c r="H17" s="817"/>
      <c r="I17" s="822" t="s">
        <v>82</v>
      </c>
      <c r="J17" s="822"/>
      <c r="K17" s="822" t="s">
        <v>83</v>
      </c>
      <c r="L17" s="822"/>
      <c r="M17" s="821" t="s">
        <v>84</v>
      </c>
      <c r="N17" s="821"/>
    </row>
    <row r="18" spans="1:35" ht="15.95" customHeight="1" thickTop="1" thickBot="1">
      <c r="A18" s="804" t="s">
        <v>77</v>
      </c>
      <c r="B18" s="804"/>
      <c r="C18" s="804"/>
      <c r="D18" s="742"/>
      <c r="E18" s="742"/>
      <c r="F18" s="742"/>
      <c r="G18" s="742"/>
      <c r="H18" s="742"/>
      <c r="I18" s="805">
        <f>SUM('GA55 Summry'!U6:U8)</f>
        <v>1500</v>
      </c>
      <c r="J18" s="805"/>
      <c r="K18" s="788">
        <f>I18</f>
        <v>1500</v>
      </c>
      <c r="L18" s="788"/>
      <c r="M18" s="788">
        <f>K18</f>
        <v>1500</v>
      </c>
      <c r="N18" s="807"/>
    </row>
    <row r="19" spans="1:35" ht="15.95" customHeight="1" thickTop="1" thickBot="1">
      <c r="A19" s="804" t="s">
        <v>78</v>
      </c>
      <c r="B19" s="804"/>
      <c r="C19" s="804"/>
      <c r="D19" s="742"/>
      <c r="E19" s="742"/>
      <c r="F19" s="742"/>
      <c r="G19" s="742"/>
      <c r="H19" s="742"/>
      <c r="I19" s="805">
        <f>SUM('GA55 Summry'!U9:U11)</f>
        <v>1500</v>
      </c>
      <c r="J19" s="805"/>
      <c r="K19" s="788">
        <f t="shared" ref="K19:K21" si="0">I19</f>
        <v>1500</v>
      </c>
      <c r="L19" s="788"/>
      <c r="M19" s="788">
        <f t="shared" ref="M19:M21" si="1">K19</f>
        <v>1500</v>
      </c>
      <c r="N19" s="807"/>
    </row>
    <row r="20" spans="1:35" ht="15.95" customHeight="1" thickTop="1" thickBot="1">
      <c r="A20" s="804" t="s">
        <v>79</v>
      </c>
      <c r="B20" s="804"/>
      <c r="C20" s="804"/>
      <c r="D20" s="742"/>
      <c r="E20" s="742"/>
      <c r="F20" s="742"/>
      <c r="G20" s="742"/>
      <c r="H20" s="742"/>
      <c r="I20" s="805">
        <f>SUM('GA55 Summry'!U12:U14)</f>
        <v>1500</v>
      </c>
      <c r="J20" s="805"/>
      <c r="K20" s="788">
        <f t="shared" si="0"/>
        <v>1500</v>
      </c>
      <c r="L20" s="788"/>
      <c r="M20" s="788">
        <f t="shared" si="1"/>
        <v>1500</v>
      </c>
      <c r="N20" s="807"/>
    </row>
    <row r="21" spans="1:35" ht="15.95" customHeight="1" thickTop="1" thickBot="1">
      <c r="A21" s="804" t="s">
        <v>80</v>
      </c>
      <c r="B21" s="804"/>
      <c r="C21" s="804"/>
      <c r="D21" s="742"/>
      <c r="E21" s="742"/>
      <c r="F21" s="742"/>
      <c r="G21" s="742"/>
      <c r="H21" s="742"/>
      <c r="I21" s="805">
        <f>SUM('GA55 Summry'!U15:U26)</f>
        <v>1500</v>
      </c>
      <c r="J21" s="805"/>
      <c r="K21" s="788">
        <f t="shared" si="0"/>
        <v>1500</v>
      </c>
      <c r="L21" s="788"/>
      <c r="M21" s="788">
        <f t="shared" si="1"/>
        <v>1500</v>
      </c>
      <c r="N21" s="807"/>
    </row>
    <row r="22" spans="1:35" ht="15.95" customHeight="1" thickTop="1" thickBot="1">
      <c r="A22" s="853" t="s">
        <v>85</v>
      </c>
      <c r="B22" s="854"/>
      <c r="C22" s="854"/>
      <c r="D22" s="854"/>
      <c r="E22" s="854"/>
      <c r="F22" s="854"/>
      <c r="G22" s="854"/>
      <c r="H22" s="855"/>
      <c r="I22" s="806">
        <f>SUM(I18:J21)</f>
        <v>6000</v>
      </c>
      <c r="J22" s="806"/>
      <c r="K22" s="808">
        <f>I22</f>
        <v>6000</v>
      </c>
      <c r="L22" s="808"/>
      <c r="M22" s="808">
        <f>K22</f>
        <v>6000</v>
      </c>
      <c r="N22" s="797"/>
    </row>
    <row r="23" spans="1:35" ht="37.5" customHeight="1" thickTop="1" thickBot="1">
      <c r="A23" s="809"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09"/>
      <c r="C23" s="809"/>
      <c r="D23" s="809"/>
      <c r="E23" s="809"/>
      <c r="F23" s="809"/>
      <c r="G23" s="809"/>
      <c r="H23" s="809"/>
      <c r="I23" s="809"/>
      <c r="J23" s="809"/>
      <c r="K23" s="809"/>
      <c r="L23" s="809"/>
      <c r="M23" s="809"/>
      <c r="N23" s="809"/>
    </row>
    <row r="24" spans="1:35" ht="20.25" customHeight="1" thickTop="1" thickBot="1">
      <c r="A24" s="756" t="s">
        <v>86</v>
      </c>
      <c r="B24" s="756"/>
      <c r="C24" s="756" t="str">
        <f>IF(AND(Master!E22=""),"",IF(AND(Master!E22=Master!C23),Master!B23,IF(AND(Master!E22=Master!C43),Master!B43,"")))</f>
        <v>Tax deposited in respect of the deductee (Rs.)</v>
      </c>
      <c r="D24" s="756"/>
      <c r="E24" s="756"/>
      <c r="F24" s="757" t="str">
        <f>IF(AND(Master!E22=""),"",IF(AND(Master!E22=Master!C23),Master!C23,IF(AND(Master!E22=Master!C43),Master!C43,"")))</f>
        <v>Book Identification Number (BIN)</v>
      </c>
      <c r="G24" s="757"/>
      <c r="H24" s="757"/>
      <c r="I24" s="757"/>
      <c r="J24" s="757"/>
      <c r="K24" s="757"/>
      <c r="L24" s="757"/>
      <c r="M24" s="757"/>
      <c r="N24" s="757"/>
    </row>
    <row r="25" spans="1:35" ht="44.25" customHeight="1" thickTop="1" thickBot="1">
      <c r="A25" s="756"/>
      <c r="B25" s="756"/>
      <c r="C25" s="756"/>
      <c r="D25" s="756"/>
      <c r="E25" s="756"/>
      <c r="F25" s="812" t="str">
        <f>IF(AND(Master!E22=""),"",IF(AND(Master!E22=Master!C23),Master!C24,IF(AND(Master!E22=Master!C43),Master!C44,"")))</f>
        <v>Receipt Numbers Of Form no. 24G</v>
      </c>
      <c r="G25" s="812"/>
      <c r="H25" s="812"/>
      <c r="I25" s="811" t="str">
        <f>IF(AND(Master!E22=""),"",IF(AND(Master!E22=Master!C23),Master!D24,IF(AND(Master!E22=Master!C43),Master!D44,"")))</f>
        <v>DDO Serial Number in Form No. 24G</v>
      </c>
      <c r="J25" s="811"/>
      <c r="K25" s="811" t="str">
        <f>IF(AND(Master!E22=""),"",IF(AND(Master!E22=Master!C23),Master!E24,IF(AND(Master!E22=Master!C43),Master!E44,"")))</f>
        <v>Date Of transfer Voucher    (dd/mm/yyyy)</v>
      </c>
      <c r="L25" s="811"/>
      <c r="M25" s="810" t="str">
        <f>IF(AND(Master!E22=""),"",IF(AND(Master!E22=Master!C23),Master!F24,IF(AND(Master!E22=Master!C43),Master!F44,"")))</f>
        <v>Status of matching with form no. 24G</v>
      </c>
      <c r="N25" s="810"/>
      <c r="AI25" s="34" t="s">
        <v>269</v>
      </c>
    </row>
    <row r="26" spans="1:35" ht="18" customHeight="1" thickTop="1" thickBot="1">
      <c r="A26" s="772">
        <v>1</v>
      </c>
      <c r="B26" s="772"/>
      <c r="C26" s="794">
        <f>IF(AND(AA26=""),"",AA26)</f>
        <v>500</v>
      </c>
      <c r="D26" s="794"/>
      <c r="E26" s="794"/>
      <c r="F26" s="794">
        <f t="shared" ref="F26:F41" si="2">IF(AND(AB26=0),"",AB26)</f>
        <v>45</v>
      </c>
      <c r="G26" s="794"/>
      <c r="H26" s="794"/>
      <c r="I26" s="795">
        <f t="shared" ref="I26:I41" si="3">IF(AND(AC26=0),"",AC26)</f>
        <v>45</v>
      </c>
      <c r="J26" s="795"/>
      <c r="K26" s="796">
        <f t="shared" ref="K26:K41" si="4">IF(AND(AD26=0),"",AD26)</f>
        <v>42877</v>
      </c>
      <c r="L26" s="796"/>
      <c r="M26" s="797" t="str">
        <f>IF(AND(Master!$E$22=""),"",IF(AND(Master!$E$22=Master!$C$23),Master!F25,IF(AND(Master!$E$22=Master!$C$43),Master!F45,"")))</f>
        <v>Yes</v>
      </c>
      <c r="N26" s="797"/>
      <c r="AA26" s="34">
        <f>IF(AND(Master!$E$22=""),"",IF(AND(Master!$E$22=Master!$C$23),Master!B25,IF(AND(Master!$E$22=Master!$C$43),Master!B45,"")))</f>
        <v>500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270</v>
      </c>
    </row>
    <row r="27" spans="1:35" ht="18" customHeight="1" thickTop="1" thickBot="1">
      <c r="A27" s="772">
        <v>2</v>
      </c>
      <c r="B27" s="772"/>
      <c r="C27" s="794">
        <f>IF(AND(Master!$E$22=""),"",IF(AND(AA27=""),"",AA27))</f>
        <v>500</v>
      </c>
      <c r="D27" s="794"/>
      <c r="E27" s="794"/>
      <c r="F27" s="794">
        <f t="shared" si="2"/>
        <v>25</v>
      </c>
      <c r="G27" s="794"/>
      <c r="H27" s="794"/>
      <c r="I27" s="795" t="str">
        <f t="shared" si="3"/>
        <v/>
      </c>
      <c r="J27" s="795"/>
      <c r="K27" s="796" t="str">
        <f t="shared" si="4"/>
        <v/>
      </c>
      <c r="L27" s="796"/>
      <c r="M27" s="797" t="str">
        <f>IF(AND(Master!$E$22=""),"",IF(AND(Master!$E$22=Master!$C$23),Master!F26,IF(AND(Master!$E$22=Master!$C$43),Master!F46,"")))</f>
        <v>Yes</v>
      </c>
      <c r="N27" s="797"/>
      <c r="AA27" s="34">
        <f>IF(AND(Master!$E$22=""),"",IF(AND(Master!$E$22=Master!$C$23),Master!B26,IF(AND(Master!$E$22=Master!$C$43),Master!B46,"")))</f>
        <v>500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c r="A28" s="772">
        <v>3</v>
      </c>
      <c r="B28" s="772"/>
      <c r="C28" s="794">
        <f>IF(AND(Master!$E$22=""),"",IF(AND(AA28=""),"",AA28))</f>
        <v>500</v>
      </c>
      <c r="D28" s="794"/>
      <c r="E28" s="794"/>
      <c r="F28" s="794" t="str">
        <f t="shared" si="2"/>
        <v/>
      </c>
      <c r="G28" s="794"/>
      <c r="H28" s="794"/>
      <c r="I28" s="795" t="str">
        <f t="shared" si="3"/>
        <v/>
      </c>
      <c r="J28" s="795"/>
      <c r="K28" s="796" t="str">
        <f t="shared" si="4"/>
        <v/>
      </c>
      <c r="L28" s="796"/>
      <c r="M28" s="797" t="str">
        <f>IF(AND(Master!$E$22=""),"",IF(AND(Master!$E$22=Master!$C$23),Master!F27,IF(AND(Master!$E$22=Master!$C$43),Master!F47,"")))</f>
        <v>-</v>
      </c>
      <c r="N28" s="797"/>
      <c r="AA28" s="34">
        <f>IF(AND(Master!$E$22=""),"",IF(AND(Master!$E$22=Master!$C$23),Master!B27,IF(AND(Master!$E$22=Master!$C$43),Master!B47,"")))</f>
        <v>500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c r="A29" s="772">
        <v>4</v>
      </c>
      <c r="B29" s="772"/>
      <c r="C29" s="794">
        <f>IF(AND(Master!$E$22=""),"",IF(AND(AA29=""),"",AA29))</f>
        <v>500</v>
      </c>
      <c r="D29" s="794"/>
      <c r="E29" s="794"/>
      <c r="F29" s="794" t="str">
        <f t="shared" si="2"/>
        <v/>
      </c>
      <c r="G29" s="794"/>
      <c r="H29" s="794"/>
      <c r="I29" s="795" t="str">
        <f t="shared" si="3"/>
        <v/>
      </c>
      <c r="J29" s="795"/>
      <c r="K29" s="796" t="str">
        <f t="shared" si="4"/>
        <v/>
      </c>
      <c r="L29" s="796"/>
      <c r="M29" s="797" t="str">
        <f>IF(AND(Master!$E$22=""),"",IF(AND(Master!$E$22=Master!$C$23),Master!F28,IF(AND(Master!$E$22=Master!$C$43),Master!F48,"")))</f>
        <v>-</v>
      </c>
      <c r="N29" s="797"/>
      <c r="AA29" s="34">
        <f>IF(AND(Master!$E$22=""),"",IF(AND(Master!$E$22=Master!$C$23),Master!B28,IF(AND(Master!$E$22=Master!$C$43),Master!B48,"")))</f>
        <v>500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c r="A30" s="772">
        <v>5</v>
      </c>
      <c r="B30" s="772"/>
      <c r="C30" s="794">
        <f>IF(AND(Master!$E$22=""),"",IF(AND(AA30=""),"",AA30))</f>
        <v>500</v>
      </c>
      <c r="D30" s="794"/>
      <c r="E30" s="794"/>
      <c r="F30" s="794" t="str">
        <f t="shared" si="2"/>
        <v/>
      </c>
      <c r="G30" s="794"/>
      <c r="H30" s="794"/>
      <c r="I30" s="795" t="str">
        <f t="shared" si="3"/>
        <v/>
      </c>
      <c r="J30" s="795"/>
      <c r="K30" s="796" t="str">
        <f t="shared" si="4"/>
        <v/>
      </c>
      <c r="L30" s="796"/>
      <c r="M30" s="797" t="str">
        <f>IF(AND(Master!$E$22=""),"",IF(AND(Master!$E$22=Master!$C$23),Master!F29,IF(AND(Master!$E$22=Master!$C$43),Master!F49,"")))</f>
        <v>-</v>
      </c>
      <c r="N30" s="797"/>
      <c r="AA30" s="34">
        <f>IF(AND(Master!$E$22=""),"",IF(AND(Master!$E$22=Master!$C$23),Master!B29,IF(AND(Master!$E$22=Master!$C$43),Master!B49,"")))</f>
        <v>500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c r="A31" s="772">
        <v>6</v>
      </c>
      <c r="B31" s="772"/>
      <c r="C31" s="794">
        <f>IF(AND(Master!$E$22=""),"",IF(AND(AA31=""),"",AA31))</f>
        <v>500</v>
      </c>
      <c r="D31" s="794"/>
      <c r="E31" s="794"/>
      <c r="F31" s="794" t="str">
        <f t="shared" si="2"/>
        <v/>
      </c>
      <c r="G31" s="794"/>
      <c r="H31" s="794"/>
      <c r="I31" s="795" t="str">
        <f t="shared" si="3"/>
        <v/>
      </c>
      <c r="J31" s="795"/>
      <c r="K31" s="796" t="str">
        <f t="shared" si="4"/>
        <v/>
      </c>
      <c r="L31" s="796"/>
      <c r="M31" s="797" t="str">
        <f>IF(AND(Master!$E$22=""),"",IF(AND(Master!$E$22=Master!$C$23),Master!F30,IF(AND(Master!$E$22=Master!$C$43),Master!F50,"")))</f>
        <v>-</v>
      </c>
      <c r="N31" s="797"/>
      <c r="AA31" s="34">
        <f>IF(AND(Master!$E$22=""),"",IF(AND(Master!$E$22=Master!$C$23),Master!B30,IF(AND(Master!$E$22=Master!$C$43),Master!B50,"")))</f>
        <v>500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c r="A32" s="772">
        <v>7</v>
      </c>
      <c r="B32" s="772"/>
      <c r="C32" s="794">
        <f>IF(AND(Master!$E$22=""),"",IF(AND(AA32=""),"",AA32))</f>
        <v>500</v>
      </c>
      <c r="D32" s="794"/>
      <c r="E32" s="794"/>
      <c r="F32" s="794">
        <f t="shared" si="2"/>
        <v>8</v>
      </c>
      <c r="G32" s="794"/>
      <c r="H32" s="794"/>
      <c r="I32" s="795" t="str">
        <f t="shared" si="3"/>
        <v/>
      </c>
      <c r="J32" s="795"/>
      <c r="K32" s="796" t="str">
        <f t="shared" si="4"/>
        <v/>
      </c>
      <c r="L32" s="796"/>
      <c r="M32" s="797" t="str">
        <f>IF(AND(Master!$E$22=""),"",IF(AND(Master!$E$22=Master!$C$23),Master!F31,IF(AND(Master!$E$22=Master!$C$43),Master!F51,"")))</f>
        <v>Yes</v>
      </c>
      <c r="N32" s="797"/>
      <c r="AA32" s="34">
        <f>IF(AND(Master!$E$22=""),"",IF(AND(Master!$E$22=Master!$C$23),Master!B31,IF(AND(Master!$E$22=Master!$C$43),Master!B51,"")))</f>
        <v>500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c r="A33" s="772">
        <v>8</v>
      </c>
      <c r="B33" s="772"/>
      <c r="C33" s="794">
        <f>IF(AND(Master!$E$22=""),"",IF(AND(AA33=""),"",AA33))</f>
        <v>500</v>
      </c>
      <c r="D33" s="794"/>
      <c r="E33" s="794"/>
      <c r="F33" s="794">
        <f t="shared" si="2"/>
        <v>9</v>
      </c>
      <c r="G33" s="794"/>
      <c r="H33" s="794"/>
      <c r="I33" s="795" t="str">
        <f t="shared" si="3"/>
        <v/>
      </c>
      <c r="J33" s="795"/>
      <c r="K33" s="796" t="str">
        <f t="shared" si="4"/>
        <v/>
      </c>
      <c r="L33" s="796"/>
      <c r="M33" s="797" t="str">
        <f>IF(AND(Master!$E$22=""),"",IF(AND(Master!$E$22=Master!$C$23),Master!F32,IF(AND(Master!$E$22=Master!$C$43),Master!F52,"")))</f>
        <v>Yes</v>
      </c>
      <c r="N33" s="797"/>
      <c r="AA33" s="34">
        <f>IF(AND(Master!$E$22=""),"",IF(AND(Master!$E$22=Master!$C$23),Master!B32,IF(AND(Master!$E$22=Master!$C$43),Master!B52,"")))</f>
        <v>500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c r="A34" s="772">
        <v>9</v>
      </c>
      <c r="B34" s="772"/>
      <c r="C34" s="794">
        <f>IF(AND(Master!$E$22=""),"",IF(AND(AA34=""),"",AA34))</f>
        <v>500</v>
      </c>
      <c r="D34" s="794"/>
      <c r="E34" s="794"/>
      <c r="F34" s="794">
        <f t="shared" si="2"/>
        <v>10</v>
      </c>
      <c r="G34" s="794"/>
      <c r="H34" s="794"/>
      <c r="I34" s="795" t="str">
        <f t="shared" si="3"/>
        <v/>
      </c>
      <c r="J34" s="795"/>
      <c r="K34" s="796" t="str">
        <f t="shared" si="4"/>
        <v/>
      </c>
      <c r="L34" s="796"/>
      <c r="M34" s="797" t="str">
        <f>IF(AND(Master!$E$22=""),"",IF(AND(Master!$E$22=Master!$C$23),Master!F33,IF(AND(Master!$E$22=Master!$C$43),Master!F53,"")))</f>
        <v>Yes</v>
      </c>
      <c r="N34" s="797"/>
      <c r="AA34" s="34">
        <f>IF(AND(Master!$E$22=""),"",IF(AND(Master!$E$22=Master!$C$23),Master!B33,IF(AND(Master!$E$22=Master!$C$43),Master!B53,"")))</f>
        <v>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72">
        <v>10</v>
      </c>
      <c r="B35" s="772"/>
      <c r="C35" s="794">
        <f>IF(AND(Master!$E$22=""),"",IF(AND(AA35=""),"",AA35))</f>
        <v>500</v>
      </c>
      <c r="D35" s="794"/>
      <c r="E35" s="794"/>
      <c r="F35" s="794">
        <f t="shared" si="2"/>
        <v>15</v>
      </c>
      <c r="G35" s="794"/>
      <c r="H35" s="794"/>
      <c r="I35" s="795" t="str">
        <f t="shared" si="3"/>
        <v/>
      </c>
      <c r="J35" s="795"/>
      <c r="K35" s="796" t="str">
        <f t="shared" si="4"/>
        <v/>
      </c>
      <c r="L35" s="796"/>
      <c r="M35" s="797" t="str">
        <f>IF(AND(Master!$E$22=""),"",IF(AND(Master!$E$22=Master!$C$23),Master!F34,IF(AND(Master!$E$22=Master!$C$43),Master!F54,"")))</f>
        <v>Yes</v>
      </c>
      <c r="N35" s="797"/>
      <c r="AA35" s="34">
        <f>IF(AND(Master!$E$22=""),"",IF(AND(Master!$E$22=Master!$C$23),Master!B34,IF(AND(Master!$E$22=Master!$C$43),Master!B54,"")))</f>
        <v>500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72">
        <v>11</v>
      </c>
      <c r="B36" s="772"/>
      <c r="C36" s="794">
        <f>IF(AND(Master!$E$22=""),"",IF(AND(AA36=""),"",AA36))</f>
        <v>500</v>
      </c>
      <c r="D36" s="794"/>
      <c r="E36" s="794"/>
      <c r="F36" s="794" t="str">
        <f t="shared" si="2"/>
        <v/>
      </c>
      <c r="G36" s="794"/>
      <c r="H36" s="794"/>
      <c r="I36" s="795" t="str">
        <f t="shared" si="3"/>
        <v/>
      </c>
      <c r="J36" s="795"/>
      <c r="K36" s="796" t="str">
        <f t="shared" si="4"/>
        <v/>
      </c>
      <c r="L36" s="796"/>
      <c r="M36" s="797" t="str">
        <f>IF(AND(Master!$E$22=""),"",IF(AND(Master!$E$22=Master!$C$23),Master!F35,IF(AND(Master!$E$22=Master!$C$43),Master!F55,"")))</f>
        <v>-</v>
      </c>
      <c r="N36" s="797"/>
      <c r="AA36" s="34">
        <f>IF(AND(Master!$E$22=""),"",IF(AND(Master!$E$22=Master!$C$23),Master!B35,IF(AND(Master!$E$22=Master!$C$43),Master!B55,"")))</f>
        <v>500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72">
        <v>12</v>
      </c>
      <c r="B37" s="772"/>
      <c r="C37" s="794">
        <f>IF(AND(Master!$E$22=""),"",IF(AND(AA37=""),"",AA37))</f>
        <v>500</v>
      </c>
      <c r="D37" s="794"/>
      <c r="E37" s="794"/>
      <c r="F37" s="794" t="str">
        <f t="shared" si="2"/>
        <v/>
      </c>
      <c r="G37" s="794"/>
      <c r="H37" s="794"/>
      <c r="I37" s="795" t="str">
        <f t="shared" si="3"/>
        <v/>
      </c>
      <c r="J37" s="795"/>
      <c r="K37" s="796" t="str">
        <f t="shared" si="4"/>
        <v/>
      </c>
      <c r="L37" s="796"/>
      <c r="M37" s="797" t="str">
        <f>IF(AND(Master!$E$22=""),"",IF(AND(Master!$E$22=Master!$C$23),Master!F36,IF(AND(Master!$E$22=Master!$C$43),Master!F56,"")))</f>
        <v>-</v>
      </c>
      <c r="N37" s="797"/>
      <c r="AA37" s="34">
        <f>IF(AND(Master!$E$22=""),"",IF(AND(Master!$E$22=Master!$C$23),Master!B36,IF(AND(Master!$E$22=Master!$C$43),Master!B56,"")))</f>
        <v>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72">
        <v>13</v>
      </c>
      <c r="B38" s="772"/>
      <c r="C38" s="794" t="str">
        <f>IF(AND(Master!$E$22=""),"",IF(AND(AA38=""),"",AA38))</f>
        <v/>
      </c>
      <c r="D38" s="794"/>
      <c r="E38" s="794"/>
      <c r="F38" s="794" t="str">
        <f t="shared" si="2"/>
        <v/>
      </c>
      <c r="G38" s="794"/>
      <c r="H38" s="794"/>
      <c r="I38" s="795" t="str">
        <f t="shared" si="3"/>
        <v/>
      </c>
      <c r="J38" s="795"/>
      <c r="K38" s="796" t="str">
        <f t="shared" si="4"/>
        <v/>
      </c>
      <c r="L38" s="796"/>
      <c r="M38" s="797" t="str">
        <f>IF(AND(Master!$E$22=""),"",IF(AND(Master!$E$22=Master!$C$23),Master!F37,IF(AND(Master!$E$22=Master!$C$43),Master!F57,"")))</f>
        <v>-</v>
      </c>
      <c r="N38" s="79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72">
        <v>14</v>
      </c>
      <c r="B39" s="772"/>
      <c r="C39" s="794" t="str">
        <f>IF(AND(Master!$E$22=""),"",IF(AND(AA39=""),"",AA39))</f>
        <v/>
      </c>
      <c r="D39" s="794"/>
      <c r="E39" s="794"/>
      <c r="F39" s="794" t="str">
        <f t="shared" si="2"/>
        <v/>
      </c>
      <c r="G39" s="794"/>
      <c r="H39" s="794"/>
      <c r="I39" s="795" t="str">
        <f t="shared" si="3"/>
        <v/>
      </c>
      <c r="J39" s="795"/>
      <c r="K39" s="796" t="str">
        <f t="shared" si="4"/>
        <v/>
      </c>
      <c r="L39" s="796"/>
      <c r="M39" s="797" t="str">
        <f>IF(AND(Master!$E$22=""),"",IF(AND(Master!$E$22=Master!$C$23),Master!F38,IF(AND(Master!$E$22=Master!$C$43),Master!F60,"")))</f>
        <v>-</v>
      </c>
      <c r="N39" s="797"/>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72">
        <v>15</v>
      </c>
      <c r="B40" s="772"/>
      <c r="C40" s="794" t="str">
        <f>IF(AND(Master!$E$22=""),"",IF(AND(AA40=""),"",AA40))</f>
        <v/>
      </c>
      <c r="D40" s="794"/>
      <c r="E40" s="794"/>
      <c r="F40" s="794" t="str">
        <f t="shared" si="2"/>
        <v/>
      </c>
      <c r="G40" s="794"/>
      <c r="H40" s="794"/>
      <c r="I40" s="795" t="str">
        <f t="shared" si="3"/>
        <v/>
      </c>
      <c r="J40" s="795"/>
      <c r="K40" s="796" t="str">
        <f t="shared" si="4"/>
        <v/>
      </c>
      <c r="L40" s="796"/>
      <c r="M40" s="797" t="str">
        <f>IF(AND(Master!$E$22=""),"",IF(AND(Master!$E$22=Master!$C$23),Master!F39,IF(AND(Master!$E$22=Master!$C$43),Master!F61,"")))</f>
        <v>-</v>
      </c>
      <c r="N40" s="79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72">
        <v>16</v>
      </c>
      <c r="B41" s="772"/>
      <c r="C41" s="794" t="str">
        <f>IF(AND(Master!$E$22=""),"",IF(AND(AA41=""),"",AA41))</f>
        <v/>
      </c>
      <c r="D41" s="794"/>
      <c r="E41" s="794"/>
      <c r="F41" s="794">
        <f t="shared" si="2"/>
        <v>1</v>
      </c>
      <c r="G41" s="794"/>
      <c r="H41" s="794"/>
      <c r="I41" s="795" t="str">
        <f t="shared" si="3"/>
        <v/>
      </c>
      <c r="J41" s="795"/>
      <c r="K41" s="796" t="str">
        <f t="shared" si="4"/>
        <v/>
      </c>
      <c r="L41" s="796"/>
      <c r="M41" s="797" t="str">
        <f>IF(AND(Master!$E$22=""),"",IF(AND(Master!$E$22=Master!$C$23),Master!F40,IF(AND(Master!$E$22=Master!$C$43),Master!F62,"")))</f>
        <v>Yes</v>
      </c>
      <c r="N41" s="79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785" t="s">
        <v>4</v>
      </c>
      <c r="B42" s="785"/>
      <c r="C42" s="803">
        <f>IF(AND(Master!$E$22=""),"",IF(AND(Master!$E$22=Master!$C$23),Master!B41,IF(AND(Master!$E$22=Master!$C$43),Master!B61,"")))</f>
        <v>6000</v>
      </c>
      <c r="D42" s="803"/>
      <c r="E42" s="803"/>
      <c r="F42" s="799" t="s">
        <v>146</v>
      </c>
      <c r="G42" s="799"/>
      <c r="H42" s="799"/>
      <c r="I42" s="800" t="s">
        <v>146</v>
      </c>
      <c r="J42" s="800"/>
      <c r="K42" s="800" t="s">
        <v>146</v>
      </c>
      <c r="L42" s="800"/>
      <c r="M42" s="798" t="s">
        <v>146</v>
      </c>
      <c r="N42" s="798"/>
    </row>
    <row r="43" spans="1:30" ht="23.25" customHeight="1" thickTop="1">
      <c r="A43" s="122"/>
      <c r="B43" s="122"/>
      <c r="C43" s="122"/>
      <c r="D43" s="122"/>
      <c r="E43" s="122"/>
      <c r="F43" s="762" t="s">
        <v>93</v>
      </c>
      <c r="G43" s="762"/>
      <c r="H43" s="762"/>
      <c r="I43" s="762"/>
      <c r="J43" s="762"/>
      <c r="K43" s="122"/>
      <c r="L43" s="122"/>
      <c r="M43" s="122"/>
      <c r="N43" s="122"/>
      <c r="O43" s="90"/>
    </row>
    <row r="44" spans="1:30" ht="20.100000000000001" customHeight="1">
      <c r="A44" s="125" t="s">
        <v>65</v>
      </c>
      <c r="B44" s="759" t="str">
        <f>UPPER(IF(Master!D17="","",(Master!D17)))</f>
        <v>MISHRI LAL</v>
      </c>
      <c r="C44" s="759"/>
      <c r="D44" s="759"/>
      <c r="E44" s="759"/>
      <c r="F44" s="759"/>
      <c r="G44" s="760" t="s">
        <v>94</v>
      </c>
      <c r="H44" s="760"/>
      <c r="I44" s="760"/>
      <c r="J44" s="760"/>
      <c r="K44" s="759" t="str">
        <f>UPPER(IF(Master!H17="","",Master!H17))</f>
        <v>MAKWANA</v>
      </c>
      <c r="L44" s="759"/>
      <c r="M44" s="759"/>
      <c r="N44" s="759"/>
      <c r="O44" s="90"/>
    </row>
    <row r="45" spans="1:30" ht="20.100000000000001" customHeight="1">
      <c r="A45" s="801" t="s">
        <v>95</v>
      </c>
      <c r="B45" s="801"/>
      <c r="C45" s="801"/>
      <c r="D45" s="801"/>
      <c r="E45" s="759" t="str">
        <f>UPPER(IF(Master!D16="","",Master!D16))</f>
        <v>GSSS INDERWARA  (PALI)</v>
      </c>
      <c r="F45" s="759"/>
      <c r="G45" s="759"/>
      <c r="H45" s="842" t="s">
        <v>96</v>
      </c>
      <c r="I45" s="842"/>
      <c r="J45" s="842"/>
      <c r="K45" s="842"/>
      <c r="L45" s="842"/>
      <c r="M45" s="842"/>
      <c r="N45" s="132">
        <f>IF(AND(C42=""),"",ROUND(C42,0))</f>
        <v>6000</v>
      </c>
      <c r="O45" s="90"/>
      <c r="P45" s="116"/>
    </row>
    <row r="46" spans="1:30" ht="20.100000000000001" customHeight="1">
      <c r="A46" s="782" t="s">
        <v>310</v>
      </c>
      <c r="B46" s="782"/>
      <c r="C46" s="802"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02"/>
      <c r="E46" s="802"/>
      <c r="F46" s="802"/>
      <c r="G46" s="802"/>
      <c r="H46" s="802"/>
      <c r="I46" s="802"/>
      <c r="J46" s="802"/>
      <c r="K46" s="782" t="s">
        <v>309</v>
      </c>
      <c r="L46" s="843"/>
      <c r="M46" s="843"/>
      <c r="N46" s="843"/>
      <c r="O46" s="90"/>
    </row>
    <row r="47" spans="1:30" ht="20.100000000000001" customHeight="1">
      <c r="A47" s="782" t="s">
        <v>97</v>
      </c>
      <c r="B47" s="782"/>
      <c r="C47" s="782"/>
      <c r="D47" s="782"/>
      <c r="E47" s="782"/>
      <c r="F47" s="782"/>
      <c r="G47" s="782"/>
      <c r="H47" s="782"/>
      <c r="I47" s="782"/>
      <c r="J47" s="782"/>
      <c r="K47" s="782"/>
      <c r="L47" s="782"/>
      <c r="M47" s="782"/>
      <c r="N47" s="782"/>
      <c r="O47" s="90"/>
    </row>
    <row r="48" spans="1:30" ht="20.100000000000001" customHeight="1" thickBot="1">
      <c r="A48" s="782" t="s">
        <v>98</v>
      </c>
      <c r="B48" s="782"/>
      <c r="C48" s="782"/>
      <c r="D48" s="782"/>
      <c r="E48" s="782"/>
      <c r="F48" s="782"/>
      <c r="G48" s="782"/>
      <c r="H48" s="782"/>
      <c r="I48" s="782"/>
      <c r="J48" s="782"/>
      <c r="K48" s="782"/>
      <c r="L48" s="782"/>
      <c r="M48" s="782"/>
      <c r="N48" s="782"/>
      <c r="O48" s="90"/>
    </row>
    <row r="49" spans="1:33" ht="30.95" customHeight="1" thickTop="1" thickBot="1">
      <c r="A49" s="741" t="s">
        <v>99</v>
      </c>
      <c r="B49" s="741"/>
      <c r="C49" s="742"/>
      <c r="D49" s="742"/>
      <c r="E49" s="742"/>
      <c r="F49" s="742"/>
      <c r="G49" s="742"/>
      <c r="H49" s="742"/>
      <c r="I49" s="743" t="s">
        <v>101</v>
      </c>
      <c r="J49" s="743"/>
      <c r="K49" s="743"/>
      <c r="L49" s="743"/>
      <c r="M49" s="743"/>
      <c r="N49" s="743"/>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c r="A50" s="741" t="s">
        <v>1</v>
      </c>
      <c r="B50" s="741"/>
      <c r="C50" s="744">
        <f ca="1">TODAY()</f>
        <v>43777</v>
      </c>
      <c r="D50" s="745"/>
      <c r="E50" s="745"/>
      <c r="F50" s="745"/>
      <c r="G50" s="745"/>
      <c r="H50" s="746"/>
      <c r="I50" s="743"/>
      <c r="J50" s="743"/>
      <c r="K50" s="743"/>
      <c r="L50" s="743"/>
      <c r="M50" s="743"/>
      <c r="N50" s="743"/>
    </row>
    <row r="51" spans="1:33" ht="30.95" customHeight="1" thickTop="1" thickBot="1">
      <c r="A51" s="741" t="s">
        <v>5</v>
      </c>
      <c r="B51" s="741"/>
      <c r="C51" s="741"/>
      <c r="D51" s="755" t="str">
        <f>UPPER(IF(Master!D16="","",Master!D16))</f>
        <v>GSSS INDERWARA  (PALI)</v>
      </c>
      <c r="E51" s="755"/>
      <c r="F51" s="755"/>
      <c r="G51" s="755"/>
      <c r="H51" s="755"/>
      <c r="I51" s="756" t="s">
        <v>100</v>
      </c>
      <c r="J51" s="756"/>
      <c r="K51" s="757" t="str">
        <f>IF(AND(Master!D17=""),"",CONCATENATE("( ",UPPER(Master!D17)," )"))</f>
        <v>( MISHRI LAL )</v>
      </c>
      <c r="L51" s="757"/>
      <c r="M51" s="757"/>
      <c r="N51" s="757"/>
    </row>
    <row r="52" spans="1:33" ht="22.5" customHeight="1" thickTop="1">
      <c r="A52" s="787" t="s">
        <v>102</v>
      </c>
      <c r="B52" s="787"/>
      <c r="C52" s="787"/>
      <c r="D52" s="122"/>
      <c r="E52" s="122"/>
      <c r="F52" s="122"/>
      <c r="G52" s="122"/>
      <c r="H52" s="122"/>
      <c r="I52" s="32"/>
      <c r="J52" s="32"/>
      <c r="K52" s="32"/>
      <c r="L52" s="32"/>
      <c r="M52" s="126"/>
      <c r="N52" s="126"/>
      <c r="O52" s="90"/>
    </row>
    <row r="53" spans="1:33" s="89" customFormat="1" ht="24.95" customHeight="1">
      <c r="A53" s="123">
        <v>1</v>
      </c>
      <c r="B53" s="786" t="s">
        <v>103</v>
      </c>
      <c r="C53" s="786"/>
      <c r="D53" s="786"/>
      <c r="E53" s="786"/>
      <c r="F53" s="786"/>
      <c r="G53" s="786"/>
      <c r="H53" s="786"/>
      <c r="I53" s="786"/>
      <c r="J53" s="786"/>
      <c r="K53" s="786"/>
      <c r="L53" s="786"/>
      <c r="M53" s="786"/>
      <c r="N53" s="786"/>
      <c r="O53" s="133"/>
    </row>
    <row r="54" spans="1:33" s="89" customFormat="1" ht="24.95" customHeight="1">
      <c r="A54" s="123">
        <v>2</v>
      </c>
      <c r="B54" s="786" t="s">
        <v>104</v>
      </c>
      <c r="C54" s="786"/>
      <c r="D54" s="786"/>
      <c r="E54" s="786"/>
      <c r="F54" s="786"/>
      <c r="G54" s="786"/>
      <c r="H54" s="786"/>
      <c r="I54" s="786"/>
      <c r="J54" s="786"/>
      <c r="K54" s="786"/>
      <c r="L54" s="786"/>
      <c r="M54" s="786"/>
      <c r="N54" s="786"/>
      <c r="O54" s="133"/>
      <c r="R54" s="840"/>
      <c r="S54" s="840"/>
      <c r="T54" s="840"/>
      <c r="U54" s="840"/>
    </row>
    <row r="55" spans="1:33" s="89" customFormat="1" ht="24.95" customHeight="1">
      <c r="A55" s="123">
        <v>3</v>
      </c>
      <c r="B55" s="786" t="s">
        <v>105</v>
      </c>
      <c r="C55" s="786"/>
      <c r="D55" s="786"/>
      <c r="E55" s="786"/>
      <c r="F55" s="786"/>
      <c r="G55" s="786"/>
      <c r="H55" s="786"/>
      <c r="I55" s="786"/>
      <c r="J55" s="786"/>
      <c r="K55" s="786"/>
      <c r="L55" s="786"/>
      <c r="M55" s="786"/>
      <c r="N55" s="786"/>
      <c r="O55" s="133"/>
    </row>
    <row r="56" spans="1:33" s="89" customFormat="1" ht="39.75" customHeight="1">
      <c r="A56" s="123">
        <v>4</v>
      </c>
      <c r="B56" s="786" t="s">
        <v>106</v>
      </c>
      <c r="C56" s="786"/>
      <c r="D56" s="786"/>
      <c r="E56" s="786"/>
      <c r="F56" s="786"/>
      <c r="G56" s="786"/>
      <c r="H56" s="786"/>
      <c r="I56" s="786"/>
      <c r="J56" s="786"/>
      <c r="K56" s="786"/>
      <c r="L56" s="786"/>
      <c r="M56" s="786"/>
      <c r="N56" s="786"/>
      <c r="O56" s="133"/>
    </row>
    <row r="57" spans="1:33" s="89" customFormat="1" ht="50.25" customHeight="1">
      <c r="A57" s="123">
        <v>5</v>
      </c>
      <c r="B57" s="786" t="s">
        <v>107</v>
      </c>
      <c r="C57" s="786"/>
      <c r="D57" s="786"/>
      <c r="E57" s="786"/>
      <c r="F57" s="786"/>
      <c r="G57" s="786"/>
      <c r="H57" s="786"/>
      <c r="I57" s="786"/>
      <c r="J57" s="786"/>
      <c r="K57" s="786"/>
      <c r="L57" s="786"/>
      <c r="M57" s="786"/>
      <c r="N57" s="786"/>
      <c r="O57" s="133"/>
    </row>
    <row r="58" spans="1:33" s="89" customFormat="1" ht="24.95" customHeight="1">
      <c r="A58" s="123">
        <v>6</v>
      </c>
      <c r="B58" s="786" t="s">
        <v>108</v>
      </c>
      <c r="C58" s="786"/>
      <c r="D58" s="786"/>
      <c r="E58" s="786"/>
      <c r="F58" s="786"/>
      <c r="G58" s="786"/>
      <c r="H58" s="786"/>
      <c r="I58" s="786"/>
      <c r="J58" s="786"/>
      <c r="K58" s="786"/>
      <c r="L58" s="786"/>
      <c r="M58" s="786"/>
      <c r="N58" s="786"/>
      <c r="O58" s="133"/>
    </row>
    <row r="59" spans="1:33" ht="18.75" customHeight="1">
      <c r="A59" s="33"/>
      <c r="B59" s="33"/>
      <c r="C59" s="122"/>
      <c r="D59" s="122"/>
      <c r="E59" s="122"/>
      <c r="F59" s="122"/>
      <c r="G59" s="759" t="s">
        <v>109</v>
      </c>
      <c r="H59" s="759"/>
      <c r="I59" s="759"/>
      <c r="J59" s="32"/>
      <c r="K59" s="32"/>
      <c r="L59" s="126"/>
      <c r="M59" s="126"/>
      <c r="N59" s="126"/>
      <c r="O59" s="90"/>
    </row>
    <row r="60" spans="1:33" ht="15" customHeight="1" thickBot="1">
      <c r="A60" s="841" t="s">
        <v>25</v>
      </c>
      <c r="B60" s="841"/>
      <c r="C60" s="841"/>
      <c r="D60" s="841"/>
      <c r="E60" s="841"/>
      <c r="F60" s="841"/>
      <c r="G60" s="841"/>
      <c r="H60" s="841"/>
      <c r="I60" s="841"/>
      <c r="J60" s="841"/>
      <c r="K60" s="841"/>
      <c r="L60" s="841"/>
      <c r="M60" s="841"/>
      <c r="N60" s="841"/>
      <c r="O60" s="90"/>
    </row>
    <row r="61" spans="1:33" ht="18" customHeight="1" thickTop="1" thickBot="1">
      <c r="A61" s="137">
        <v>1</v>
      </c>
      <c r="B61" s="856" t="s">
        <v>26</v>
      </c>
      <c r="C61" s="857"/>
      <c r="D61" s="857"/>
      <c r="E61" s="857"/>
      <c r="F61" s="857"/>
      <c r="G61" s="857"/>
      <c r="H61" s="857"/>
      <c r="I61" s="857"/>
      <c r="J61" s="857"/>
      <c r="K61" s="857"/>
      <c r="L61" s="857"/>
      <c r="M61" s="857"/>
      <c r="N61" s="858"/>
    </row>
    <row r="62" spans="1:33" ht="24" customHeight="1" thickTop="1" thickBot="1">
      <c r="A62" s="137"/>
      <c r="B62" s="135" t="s">
        <v>27</v>
      </c>
      <c r="C62" s="809" t="s">
        <v>28</v>
      </c>
      <c r="D62" s="809"/>
      <c r="E62" s="809"/>
      <c r="F62" s="809"/>
      <c r="G62" s="809"/>
      <c r="H62" s="137" t="s">
        <v>29</v>
      </c>
      <c r="I62" s="437" t="str">
        <f>IF(AND(COMPUTATION!O5=""),"",COMPUTATION!O5)</f>
        <v/>
      </c>
      <c r="J62" s="827"/>
      <c r="K62" s="828"/>
      <c r="L62" s="828"/>
      <c r="M62" s="828"/>
      <c r="N62" s="829"/>
    </row>
    <row r="63" spans="1:33" ht="13.5" customHeight="1" thickTop="1" thickBot="1">
      <c r="A63" s="772"/>
      <c r="B63" s="772" t="s">
        <v>30</v>
      </c>
      <c r="C63" s="809" t="s">
        <v>110</v>
      </c>
      <c r="D63" s="809"/>
      <c r="E63" s="809"/>
      <c r="F63" s="809"/>
      <c r="G63" s="809"/>
      <c r="H63" s="772" t="s">
        <v>29</v>
      </c>
      <c r="I63" s="788">
        <f>IF(AND(COMPUTATION!O4=""),"",COMPUTATION!O4)</f>
        <v>747656</v>
      </c>
      <c r="J63" s="830"/>
      <c r="K63" s="831"/>
      <c r="L63" s="831"/>
      <c r="M63" s="831"/>
      <c r="N63" s="832"/>
    </row>
    <row r="64" spans="1:33" ht="17.25" customHeight="1" thickTop="1" thickBot="1">
      <c r="A64" s="772"/>
      <c r="B64" s="772"/>
      <c r="C64" s="809"/>
      <c r="D64" s="809"/>
      <c r="E64" s="809"/>
      <c r="F64" s="809"/>
      <c r="G64" s="809"/>
      <c r="H64" s="772"/>
      <c r="I64" s="788"/>
      <c r="J64" s="830"/>
      <c r="K64" s="831"/>
      <c r="L64" s="831"/>
      <c r="M64" s="831"/>
      <c r="N64" s="832"/>
    </row>
    <row r="65" spans="1:14" ht="36.75" customHeight="1" thickTop="1" thickBot="1">
      <c r="A65" s="137"/>
      <c r="B65" s="135" t="s">
        <v>31</v>
      </c>
      <c r="C65" s="809" t="s">
        <v>111</v>
      </c>
      <c r="D65" s="809"/>
      <c r="E65" s="809"/>
      <c r="F65" s="809"/>
      <c r="G65" s="809"/>
      <c r="H65" s="137" t="s">
        <v>29</v>
      </c>
      <c r="I65" s="438">
        <f>IF(AND(COMPUTATION!O16=""),"",COMPUTATION!E16)</f>
        <v>0</v>
      </c>
      <c r="J65" s="833"/>
      <c r="K65" s="834"/>
      <c r="L65" s="834"/>
      <c r="M65" s="834"/>
      <c r="N65" s="835"/>
    </row>
    <row r="66" spans="1:14" ht="18.75" customHeight="1" thickTop="1" thickBot="1">
      <c r="A66" s="137"/>
      <c r="B66" s="140" t="s">
        <v>32</v>
      </c>
      <c r="C66" s="836"/>
      <c r="D66" s="837"/>
      <c r="E66" s="837"/>
      <c r="F66" s="837"/>
      <c r="G66" s="837"/>
      <c r="H66" s="837"/>
      <c r="I66" s="838"/>
      <c r="J66" s="141" t="s">
        <v>29</v>
      </c>
      <c r="K66" s="789">
        <f>IF(AND(H7=""),"",I63+I65)</f>
        <v>747656</v>
      </c>
      <c r="L66" s="790"/>
      <c r="M66" s="790"/>
      <c r="N66" s="791"/>
    </row>
    <row r="67" spans="1:14" ht="20.25" customHeight="1" thickTop="1" thickBot="1">
      <c r="A67" s="137">
        <v>2</v>
      </c>
      <c r="B67" s="784" t="s">
        <v>287</v>
      </c>
      <c r="C67" s="784"/>
      <c r="D67" s="784"/>
      <c r="E67" s="784"/>
      <c r="F67" s="784"/>
      <c r="G67" s="784"/>
      <c r="H67" s="784"/>
      <c r="I67" s="784"/>
      <c r="J67" s="784"/>
      <c r="K67" s="784"/>
      <c r="L67" s="784"/>
      <c r="M67" s="784"/>
      <c r="N67" s="784"/>
    </row>
    <row r="68" spans="1:14" ht="17.25" customHeight="1" thickTop="1" thickBot="1">
      <c r="A68" s="137"/>
      <c r="B68" s="783" t="s">
        <v>126</v>
      </c>
      <c r="C68" s="783"/>
      <c r="D68" s="783"/>
      <c r="E68" s="138" t="s">
        <v>29</v>
      </c>
      <c r="F68" s="807">
        <f>IF(AND(H7=""),"",COMPUTATION!O5)</f>
        <v>0</v>
      </c>
      <c r="G68" s="807"/>
      <c r="H68" s="749"/>
      <c r="I68" s="749"/>
      <c r="J68" s="749"/>
      <c r="K68" s="749"/>
      <c r="L68" s="749"/>
      <c r="M68" s="749"/>
      <c r="N68" s="749"/>
    </row>
    <row r="69" spans="1:14" ht="17.25" customHeight="1" thickTop="1" thickBot="1">
      <c r="A69" s="137"/>
      <c r="B69" s="772"/>
      <c r="C69" s="772"/>
      <c r="D69" s="772"/>
      <c r="E69" s="772"/>
      <c r="F69" s="772"/>
      <c r="G69" s="772"/>
      <c r="H69" s="772"/>
      <c r="I69" s="772"/>
      <c r="J69" s="141" t="s">
        <v>29</v>
      </c>
      <c r="K69" s="826">
        <f>IF(AND(H7=""),"",SUM(F68))</f>
        <v>0</v>
      </c>
      <c r="L69" s="826"/>
      <c r="M69" s="792"/>
      <c r="N69" s="793"/>
    </row>
    <row r="70" spans="1:14" ht="20.25" customHeight="1" thickTop="1" thickBot="1">
      <c r="A70" s="137">
        <v>3</v>
      </c>
      <c r="B70" s="859" t="s">
        <v>33</v>
      </c>
      <c r="C70" s="859"/>
      <c r="D70" s="859"/>
      <c r="E70" s="859"/>
      <c r="F70" s="859"/>
      <c r="G70" s="859"/>
      <c r="H70" s="859"/>
      <c r="I70" s="859"/>
      <c r="J70" s="859"/>
      <c r="K70" s="859"/>
      <c r="L70" s="141" t="s">
        <v>29</v>
      </c>
      <c r="M70" s="825">
        <f>IF(AND(H7=""),"",K66-K69)</f>
        <v>747656</v>
      </c>
      <c r="N70" s="825"/>
    </row>
    <row r="71" spans="1:14" ht="17.25" customHeight="1" thickTop="1" thickBot="1">
      <c r="A71" s="137">
        <v>4</v>
      </c>
      <c r="B71" s="763" t="s">
        <v>288</v>
      </c>
      <c r="C71" s="763"/>
      <c r="D71" s="763"/>
      <c r="E71" s="763"/>
      <c r="F71" s="763"/>
      <c r="G71" s="763"/>
      <c r="H71" s="763"/>
      <c r="I71" s="763"/>
      <c r="J71" s="827"/>
      <c r="K71" s="828"/>
      <c r="L71" s="828"/>
      <c r="M71" s="828"/>
      <c r="N71" s="829"/>
    </row>
    <row r="72" spans="1:14" ht="16.5" customHeight="1" thickTop="1" thickBot="1">
      <c r="A72" s="137"/>
      <c r="B72" s="135" t="s">
        <v>27</v>
      </c>
      <c r="C72" s="839" t="s">
        <v>34</v>
      </c>
      <c r="D72" s="839"/>
      <c r="E72" s="839"/>
      <c r="F72" s="839"/>
      <c r="G72" s="138" t="s">
        <v>29</v>
      </c>
      <c r="H72" s="770">
        <f>IF(AND(H7=""),"",COMPUTATION!K7)</f>
        <v>0</v>
      </c>
      <c r="I72" s="770"/>
      <c r="J72" s="830"/>
      <c r="K72" s="831"/>
      <c r="L72" s="831"/>
      <c r="M72" s="831"/>
      <c r="N72" s="832"/>
    </row>
    <row r="73" spans="1:14" ht="16.5" customHeight="1" thickTop="1" thickBot="1">
      <c r="A73" s="137"/>
      <c r="B73" s="135" t="s">
        <v>30</v>
      </c>
      <c r="C73" s="839" t="s">
        <v>35</v>
      </c>
      <c r="D73" s="839"/>
      <c r="E73" s="839"/>
      <c r="F73" s="839"/>
      <c r="G73" s="138" t="s">
        <v>29</v>
      </c>
      <c r="H73" s="770">
        <f>IF(AND(H7=""),"",COMPUTATION!K8)</f>
        <v>0</v>
      </c>
      <c r="I73" s="770"/>
      <c r="J73" s="830"/>
      <c r="K73" s="831"/>
      <c r="L73" s="831"/>
      <c r="M73" s="831"/>
      <c r="N73" s="832"/>
    </row>
    <row r="74" spans="1:14" ht="16.5" customHeight="1" thickTop="1" thickBot="1">
      <c r="A74" s="274"/>
      <c r="B74" s="135" t="s">
        <v>31</v>
      </c>
      <c r="C74" s="839" t="s">
        <v>368</v>
      </c>
      <c r="D74" s="839"/>
      <c r="E74" s="839"/>
      <c r="F74" s="839"/>
      <c r="G74" s="138" t="s">
        <v>29</v>
      </c>
      <c r="H74" s="770">
        <f>IF(AND(H7=""),"",COMPUTATION!G13)</f>
        <v>0</v>
      </c>
      <c r="I74" s="770"/>
      <c r="J74" s="830"/>
      <c r="K74" s="831"/>
      <c r="L74" s="831"/>
      <c r="M74" s="831"/>
      <c r="N74" s="832"/>
    </row>
    <row r="75" spans="1:14" ht="16.5" customHeight="1" thickTop="1" thickBot="1">
      <c r="A75" s="409"/>
      <c r="B75" s="135" t="s">
        <v>32</v>
      </c>
      <c r="C75" s="839" t="s">
        <v>492</v>
      </c>
      <c r="D75" s="839"/>
      <c r="E75" s="839"/>
      <c r="F75" s="839"/>
      <c r="G75" s="138" t="s">
        <v>29</v>
      </c>
      <c r="H75" s="770">
        <f>IF(AND(H7=""),"",COMPUTATION!O9)</f>
        <v>50000</v>
      </c>
      <c r="I75" s="770"/>
      <c r="J75" s="830"/>
      <c r="K75" s="831"/>
      <c r="L75" s="831"/>
      <c r="M75" s="831"/>
      <c r="N75" s="832"/>
    </row>
    <row r="76" spans="1:14" ht="20.25" customHeight="1" thickTop="1" thickBot="1">
      <c r="A76" s="137">
        <v>5</v>
      </c>
      <c r="B76" s="763" t="s">
        <v>36</v>
      </c>
      <c r="C76" s="763"/>
      <c r="D76" s="763"/>
      <c r="E76" s="763"/>
      <c r="F76" s="139"/>
      <c r="G76" s="141" t="s">
        <v>29</v>
      </c>
      <c r="H76" s="771">
        <f>IF(AND(H7=""),"",H72+H73+H74+H75)</f>
        <v>50000</v>
      </c>
      <c r="I76" s="771"/>
      <c r="J76" s="833"/>
      <c r="K76" s="834"/>
      <c r="L76" s="834"/>
      <c r="M76" s="834"/>
      <c r="N76" s="835"/>
    </row>
    <row r="77" spans="1:14" ht="17.25" customHeight="1" thickTop="1" thickBot="1">
      <c r="A77" s="137">
        <v>6</v>
      </c>
      <c r="B77" s="773" t="s">
        <v>37</v>
      </c>
      <c r="C77" s="774"/>
      <c r="D77" s="774"/>
      <c r="E77" s="774"/>
      <c r="F77" s="774"/>
      <c r="G77" s="774"/>
      <c r="H77" s="774"/>
      <c r="I77" s="774"/>
      <c r="J77" s="774"/>
      <c r="K77" s="774"/>
      <c r="L77" s="775"/>
      <c r="M77" s="141" t="s">
        <v>29</v>
      </c>
      <c r="N77" s="406">
        <f>IF(AND(H7=""),"",M70-H76)</f>
        <v>697656</v>
      </c>
    </row>
    <row r="78" spans="1:14" ht="18" customHeight="1" thickTop="1" thickBot="1">
      <c r="A78" s="137">
        <v>7</v>
      </c>
      <c r="B78" s="773" t="s">
        <v>38</v>
      </c>
      <c r="C78" s="774"/>
      <c r="D78" s="774"/>
      <c r="E78" s="774"/>
      <c r="F78" s="774"/>
      <c r="G78" s="774"/>
      <c r="H78" s="774"/>
      <c r="I78" s="774"/>
      <c r="J78" s="774"/>
      <c r="K78" s="774"/>
      <c r="L78" s="775"/>
      <c r="M78" s="138"/>
      <c r="N78" s="135"/>
    </row>
    <row r="79" spans="1:14" ht="19.5" customHeight="1" thickTop="1" thickBot="1">
      <c r="A79" s="135"/>
      <c r="B79" s="772" t="s">
        <v>289</v>
      </c>
      <c r="C79" s="772"/>
      <c r="D79" s="772"/>
      <c r="E79" s="772"/>
      <c r="F79" s="772"/>
      <c r="G79" s="138" t="s">
        <v>29</v>
      </c>
      <c r="H79" s="772">
        <f>IF(AND(H7=""),"",COMPUTATION!E16)</f>
        <v>0</v>
      </c>
      <c r="I79" s="772"/>
      <c r="J79" s="776" t="s">
        <v>367</v>
      </c>
      <c r="K79" s="777"/>
      <c r="L79" s="777"/>
      <c r="M79" s="777"/>
      <c r="N79" s="778"/>
    </row>
    <row r="80" spans="1:14" ht="18.75" customHeight="1" thickTop="1" thickBot="1">
      <c r="A80" s="135"/>
      <c r="B80" s="772" t="s">
        <v>64</v>
      </c>
      <c r="C80" s="772"/>
      <c r="D80" s="772"/>
      <c r="E80" s="772"/>
      <c r="F80" s="772"/>
      <c r="G80" s="138" t="s">
        <v>29</v>
      </c>
      <c r="H80" s="772">
        <f>IF(AND(H7=""),"",COMPUTATION!E15)</f>
        <v>0</v>
      </c>
      <c r="I80" s="772"/>
      <c r="J80" s="138" t="s">
        <v>29</v>
      </c>
      <c r="K80" s="772">
        <f>IF(AND(H7=""),"",COMPUTATION!K11)</f>
        <v>0</v>
      </c>
      <c r="L80" s="772"/>
      <c r="M80" s="138" t="s">
        <v>29</v>
      </c>
      <c r="N80" s="141">
        <f>IF(AND(H7=""),"",H79+H80+K80)</f>
        <v>0</v>
      </c>
    </row>
    <row r="81" spans="1:15" ht="21.75" customHeight="1" thickTop="1" thickBot="1">
      <c r="A81" s="142">
        <v>8</v>
      </c>
      <c r="B81" s="774" t="s">
        <v>39</v>
      </c>
      <c r="C81" s="774"/>
      <c r="D81" s="774"/>
      <c r="E81" s="774"/>
      <c r="F81" s="143"/>
      <c r="G81" s="143"/>
      <c r="H81" s="144"/>
      <c r="I81" s="143"/>
      <c r="J81" s="144"/>
      <c r="K81" s="143"/>
      <c r="L81" s="143"/>
      <c r="M81" s="141" t="s">
        <v>29</v>
      </c>
      <c r="N81" s="407">
        <f>IF(AND(H7=""),"",N77+N80)</f>
        <v>697656</v>
      </c>
    </row>
    <row r="82" spans="1:15" ht="16.5" thickTop="1" thickBot="1">
      <c r="A82" s="134">
        <v>9</v>
      </c>
      <c r="B82" s="764" t="s">
        <v>40</v>
      </c>
      <c r="C82" s="764"/>
      <c r="D82" s="764"/>
      <c r="E82" s="764"/>
      <c r="F82" s="764"/>
      <c r="G82" s="92"/>
      <c r="H82" s="92"/>
      <c r="I82" s="92"/>
      <c r="J82" s="92"/>
      <c r="K82" s="92"/>
      <c r="L82" s="92"/>
      <c r="M82" s="91"/>
      <c r="N82" s="92"/>
      <c r="O82" s="90"/>
    </row>
    <row r="83" spans="1:15" ht="16.5" thickTop="1" thickBot="1">
      <c r="A83" s="146" t="s">
        <v>41</v>
      </c>
      <c r="B83" s="784" t="s">
        <v>42</v>
      </c>
      <c r="C83" s="784"/>
      <c r="D83" s="784"/>
      <c r="E83" s="784"/>
      <c r="F83" s="784"/>
      <c r="G83" s="784"/>
      <c r="H83" s="783" t="s">
        <v>43</v>
      </c>
      <c r="I83" s="783"/>
      <c r="J83" s="785" t="s">
        <v>44</v>
      </c>
      <c r="K83" s="785"/>
      <c r="L83" s="785"/>
      <c r="M83" s="783" t="s">
        <v>45</v>
      </c>
      <c r="N83" s="783"/>
    </row>
    <row r="84" spans="1:15" ht="16.5" thickTop="1" thickBot="1">
      <c r="A84" s="137"/>
      <c r="B84" s="147" t="s">
        <v>320</v>
      </c>
      <c r="C84" s="779" t="s">
        <v>46</v>
      </c>
      <c r="D84" s="780"/>
      <c r="E84" s="780"/>
      <c r="F84" s="780"/>
      <c r="G84" s="781"/>
      <c r="H84" s="783"/>
      <c r="I84" s="783"/>
      <c r="J84" s="785"/>
      <c r="K84" s="785"/>
      <c r="L84" s="785"/>
      <c r="M84" s="783"/>
      <c r="N84" s="783"/>
    </row>
    <row r="85" spans="1:15" ht="14.1" customHeight="1" thickTop="1" thickBot="1">
      <c r="A85" s="137"/>
      <c r="B85" s="137" t="s">
        <v>47</v>
      </c>
      <c r="C85" s="765" t="s">
        <v>13</v>
      </c>
      <c r="D85" s="765"/>
      <c r="E85" s="765"/>
      <c r="F85" s="765"/>
      <c r="G85" s="765"/>
      <c r="H85" s="138" t="s">
        <v>29</v>
      </c>
      <c r="I85" s="148">
        <f>IF(AND(H7=""),"",COMPUTATION!G20)</f>
        <v>48000</v>
      </c>
      <c r="J85" s="149" t="s">
        <v>29</v>
      </c>
      <c r="K85" s="739">
        <f>I85</f>
        <v>48000</v>
      </c>
      <c r="L85" s="739"/>
      <c r="M85" s="149" t="s">
        <v>29</v>
      </c>
      <c r="N85" s="145">
        <f>I85</f>
        <v>48000</v>
      </c>
    </row>
    <row r="86" spans="1:15" ht="14.1" customHeight="1" thickTop="1" thickBot="1">
      <c r="A86" s="137"/>
      <c r="B86" s="137" t="s">
        <v>48</v>
      </c>
      <c r="C86" s="750" t="s">
        <v>14</v>
      </c>
      <c r="D86" s="750"/>
      <c r="E86" s="750"/>
      <c r="F86" s="750"/>
      <c r="G86" s="750"/>
      <c r="H86" s="138" t="s">
        <v>29</v>
      </c>
      <c r="I86" s="148">
        <f>IF(AND(H8=""),"",COMPUTATION!G21)</f>
        <v>25896</v>
      </c>
      <c r="J86" s="149" t="s">
        <v>29</v>
      </c>
      <c r="K86" s="739">
        <f t="shared" ref="K86:K90" si="5">I86</f>
        <v>25896</v>
      </c>
      <c r="L86" s="739"/>
      <c r="M86" s="149" t="s">
        <v>29</v>
      </c>
      <c r="N86" s="145">
        <f t="shared" ref="N86:N100" si="6">I86</f>
        <v>25896</v>
      </c>
    </row>
    <row r="87" spans="1:15" ht="14.1" customHeight="1" thickTop="1" thickBot="1">
      <c r="A87" s="137"/>
      <c r="B87" s="137" t="s">
        <v>49</v>
      </c>
      <c r="C87" s="765" t="s">
        <v>141</v>
      </c>
      <c r="D87" s="765"/>
      <c r="E87" s="765"/>
      <c r="F87" s="765"/>
      <c r="G87" s="765"/>
      <c r="H87" s="138" t="s">
        <v>29</v>
      </c>
      <c r="I87" s="148">
        <f>IF(AND(H9=""),"",COMPUTATION!G25)</f>
        <v>45774</v>
      </c>
      <c r="J87" s="149" t="s">
        <v>29</v>
      </c>
      <c r="K87" s="739">
        <f t="shared" si="5"/>
        <v>45774</v>
      </c>
      <c r="L87" s="739"/>
      <c r="M87" s="149" t="s">
        <v>29</v>
      </c>
      <c r="N87" s="145">
        <f t="shared" si="6"/>
        <v>45774</v>
      </c>
    </row>
    <row r="88" spans="1:15" ht="14.1" customHeight="1" thickTop="1" thickBot="1">
      <c r="A88" s="137"/>
      <c r="B88" s="137" t="s">
        <v>50</v>
      </c>
      <c r="C88" s="765" t="s">
        <v>142</v>
      </c>
      <c r="D88" s="765"/>
      <c r="E88" s="765"/>
      <c r="F88" s="765"/>
      <c r="G88" s="765"/>
      <c r="H88" s="138" t="s">
        <v>29</v>
      </c>
      <c r="I88" s="148">
        <f>IF(AND(H10=""),"",COMPUTATION!G26)</f>
        <v>220</v>
      </c>
      <c r="J88" s="149" t="s">
        <v>29</v>
      </c>
      <c r="K88" s="739">
        <f t="shared" si="5"/>
        <v>220</v>
      </c>
      <c r="L88" s="739"/>
      <c r="M88" s="149" t="s">
        <v>29</v>
      </c>
      <c r="N88" s="145">
        <f t="shared" si="6"/>
        <v>220</v>
      </c>
    </row>
    <row r="89" spans="1:15" ht="14.1" customHeight="1" thickTop="1" thickBot="1">
      <c r="A89" s="137"/>
      <c r="B89" s="137" t="s">
        <v>51</v>
      </c>
      <c r="C89" s="750" t="s">
        <v>143</v>
      </c>
      <c r="D89" s="750"/>
      <c r="E89" s="750"/>
      <c r="F89" s="750"/>
      <c r="G89" s="750"/>
      <c r="H89" s="138" t="s">
        <v>29</v>
      </c>
      <c r="I89" s="148">
        <f>IF(AND(H11=""),"",COMPUTATION!M23)</f>
        <v>0</v>
      </c>
      <c r="J89" s="149" t="s">
        <v>29</v>
      </c>
      <c r="K89" s="739">
        <f t="shared" si="5"/>
        <v>0</v>
      </c>
      <c r="L89" s="739"/>
      <c r="M89" s="149" t="s">
        <v>29</v>
      </c>
      <c r="N89" s="145">
        <f t="shared" si="6"/>
        <v>0</v>
      </c>
    </row>
    <row r="90" spans="1:15" ht="14.1" customHeight="1" thickTop="1" thickBot="1">
      <c r="A90" s="137"/>
      <c r="B90" s="137" t="s">
        <v>52</v>
      </c>
      <c r="C90" s="769" t="s">
        <v>323</v>
      </c>
      <c r="D90" s="769"/>
      <c r="E90" s="769"/>
      <c r="F90" s="769"/>
      <c r="G90" s="769"/>
      <c r="H90" s="138" t="s">
        <v>29</v>
      </c>
      <c r="I90" s="148">
        <f>IF(AND(H12=""),"",COMPUTATION!M20)</f>
        <v>0</v>
      </c>
      <c r="J90" s="149" t="s">
        <v>29</v>
      </c>
      <c r="K90" s="739">
        <f t="shared" si="5"/>
        <v>0</v>
      </c>
      <c r="L90" s="739"/>
      <c r="M90" s="149" t="s">
        <v>29</v>
      </c>
      <c r="N90" s="145">
        <f t="shared" si="6"/>
        <v>0</v>
      </c>
    </row>
    <row r="91" spans="1:15" ht="14.1" customHeight="1" thickTop="1" thickBot="1">
      <c r="A91" s="137"/>
      <c r="B91" s="137" t="s">
        <v>53</v>
      </c>
      <c r="C91" s="765" t="s">
        <v>324</v>
      </c>
      <c r="D91" s="765"/>
      <c r="E91" s="765"/>
      <c r="F91" s="765"/>
      <c r="G91" s="765"/>
      <c r="H91" s="138" t="s">
        <v>29</v>
      </c>
      <c r="I91" s="148">
        <f>IF(AND(H13=""),"",COMPUTATION!G22)</f>
        <v>0</v>
      </c>
      <c r="J91" s="149" t="s">
        <v>29</v>
      </c>
      <c r="K91" s="739">
        <f>I91</f>
        <v>0</v>
      </c>
      <c r="L91" s="739"/>
      <c r="M91" s="149" t="s">
        <v>29</v>
      </c>
      <c r="N91" s="145">
        <f t="shared" si="6"/>
        <v>0</v>
      </c>
    </row>
    <row r="92" spans="1:15" ht="14.1" customHeight="1" thickTop="1" thickBot="1">
      <c r="A92" s="137"/>
      <c r="B92" s="137" t="s">
        <v>177</v>
      </c>
      <c r="C92" s="765" t="s">
        <v>321</v>
      </c>
      <c r="D92" s="765"/>
      <c r="E92" s="765"/>
      <c r="F92" s="765"/>
      <c r="G92" s="765"/>
      <c r="H92" s="138" t="s">
        <v>29</v>
      </c>
      <c r="I92" s="148">
        <f>IF(AND(H14=""),"",COMPUTATION!G23)</f>
        <v>0</v>
      </c>
      <c r="J92" s="149" t="s">
        <v>29</v>
      </c>
      <c r="K92" s="739">
        <f t="shared" ref="K92:K100" si="7">I92</f>
        <v>0</v>
      </c>
      <c r="L92" s="739"/>
      <c r="M92" s="149" t="s">
        <v>29</v>
      </c>
      <c r="N92" s="145">
        <f t="shared" si="6"/>
        <v>0</v>
      </c>
    </row>
    <row r="93" spans="1:15" ht="14.1" customHeight="1" thickTop="1" thickBot="1">
      <c r="A93" s="137"/>
      <c r="B93" s="137" t="s">
        <v>181</v>
      </c>
      <c r="C93" s="765" t="s">
        <v>322</v>
      </c>
      <c r="D93" s="765"/>
      <c r="E93" s="765"/>
      <c r="F93" s="765"/>
      <c r="G93" s="765"/>
      <c r="H93" s="138" t="s">
        <v>29</v>
      </c>
      <c r="I93" s="148">
        <f>IF(AND(H15=""),"",COMPUTATION!G28)</f>
        <v>0</v>
      </c>
      <c r="J93" s="149" t="s">
        <v>29</v>
      </c>
      <c r="K93" s="739">
        <f t="shared" si="7"/>
        <v>0</v>
      </c>
      <c r="L93" s="739"/>
      <c r="M93" s="149" t="s">
        <v>29</v>
      </c>
      <c r="N93" s="145">
        <f t="shared" si="6"/>
        <v>0</v>
      </c>
    </row>
    <row r="94" spans="1:15" ht="14.1" customHeight="1" thickTop="1" thickBot="1">
      <c r="A94" s="137"/>
      <c r="B94" s="137" t="s">
        <v>167</v>
      </c>
      <c r="C94" s="752" t="s">
        <v>180</v>
      </c>
      <c r="D94" s="752"/>
      <c r="E94" s="752"/>
      <c r="F94" s="752"/>
      <c r="G94" s="752"/>
      <c r="H94" s="439" t="s">
        <v>29</v>
      </c>
      <c r="I94" s="440" t="str">
        <f>IF(AND(H16=""),"",COMPUTATION!M27)</f>
        <v/>
      </c>
      <c r="J94" s="441" t="s">
        <v>29</v>
      </c>
      <c r="K94" s="738" t="str">
        <f t="shared" si="7"/>
        <v/>
      </c>
      <c r="L94" s="738"/>
      <c r="M94" s="441" t="s">
        <v>29</v>
      </c>
      <c r="N94" s="442" t="str">
        <f t="shared" si="6"/>
        <v/>
      </c>
    </row>
    <row r="95" spans="1:15" ht="14.1" customHeight="1" thickTop="1" thickBot="1">
      <c r="A95" s="137"/>
      <c r="B95" s="137" t="s">
        <v>168</v>
      </c>
      <c r="C95" s="752" t="s">
        <v>170</v>
      </c>
      <c r="D95" s="752"/>
      <c r="E95" s="752"/>
      <c r="F95" s="752"/>
      <c r="G95" s="752"/>
      <c r="H95" s="439" t="s">
        <v>29</v>
      </c>
      <c r="I95" s="440" t="str">
        <f>IF(AND(H17=""),"",COMPUTATION!M22)</f>
        <v/>
      </c>
      <c r="J95" s="441" t="s">
        <v>29</v>
      </c>
      <c r="K95" s="738" t="str">
        <f t="shared" si="7"/>
        <v/>
      </c>
      <c r="L95" s="738"/>
      <c r="M95" s="441" t="s">
        <v>29</v>
      </c>
      <c r="N95" s="442" t="str">
        <f t="shared" si="6"/>
        <v/>
      </c>
    </row>
    <row r="96" spans="1:15" ht="14.1" customHeight="1" thickTop="1" thickBot="1">
      <c r="A96" s="137"/>
      <c r="B96" s="137" t="s">
        <v>169</v>
      </c>
      <c r="C96" s="752" t="s">
        <v>325</v>
      </c>
      <c r="D96" s="752"/>
      <c r="E96" s="752"/>
      <c r="F96" s="752"/>
      <c r="G96" s="752"/>
      <c r="H96" s="439" t="s">
        <v>29</v>
      </c>
      <c r="I96" s="440" t="str">
        <f>IF(AND(H18=""),"",COMPUTATION!M21)</f>
        <v/>
      </c>
      <c r="J96" s="441" t="s">
        <v>29</v>
      </c>
      <c r="K96" s="738" t="str">
        <f t="shared" si="7"/>
        <v/>
      </c>
      <c r="L96" s="738"/>
      <c r="M96" s="441" t="s">
        <v>29</v>
      </c>
      <c r="N96" s="442" t="str">
        <f t="shared" si="6"/>
        <v/>
      </c>
    </row>
    <row r="97" spans="1:14" ht="14.1" customHeight="1" thickTop="1" thickBot="1">
      <c r="A97" s="137"/>
      <c r="B97" s="137" t="s">
        <v>171</v>
      </c>
      <c r="C97" s="752" t="s">
        <v>144</v>
      </c>
      <c r="D97" s="752"/>
      <c r="E97" s="752"/>
      <c r="F97" s="752"/>
      <c r="G97" s="752"/>
      <c r="H97" s="439" t="s">
        <v>29</v>
      </c>
      <c r="I97" s="440">
        <f>IF(AND(H7=""),"",COMPUTATION!M28)</f>
        <v>0</v>
      </c>
      <c r="J97" s="441" t="s">
        <v>29</v>
      </c>
      <c r="K97" s="738">
        <f t="shared" si="7"/>
        <v>0</v>
      </c>
      <c r="L97" s="738"/>
      <c r="M97" s="441" t="s">
        <v>29</v>
      </c>
      <c r="N97" s="442">
        <f t="shared" si="6"/>
        <v>0</v>
      </c>
    </row>
    <row r="98" spans="1:14" ht="14.1" customHeight="1" thickTop="1" thickBot="1">
      <c r="A98" s="327"/>
      <c r="B98" s="327" t="s">
        <v>173</v>
      </c>
      <c r="C98" s="735" t="s">
        <v>419</v>
      </c>
      <c r="D98" s="736"/>
      <c r="E98" s="736"/>
      <c r="F98" s="736"/>
      <c r="G98" s="737"/>
      <c r="H98" s="439" t="s">
        <v>29</v>
      </c>
      <c r="I98" s="440">
        <f>IF(AND(H8=""),"",COMPUTATION!M26)</f>
        <v>0</v>
      </c>
      <c r="J98" s="441" t="s">
        <v>29</v>
      </c>
      <c r="K98" s="738">
        <f t="shared" ref="K98" si="8">I98</f>
        <v>0</v>
      </c>
      <c r="L98" s="738"/>
      <c r="M98" s="441" t="s">
        <v>29</v>
      </c>
      <c r="N98" s="442">
        <f t="shared" si="6"/>
        <v>0</v>
      </c>
    </row>
    <row r="99" spans="1:14" ht="14.1" customHeight="1" thickTop="1" thickBot="1">
      <c r="A99" s="137"/>
      <c r="B99" s="147" t="s">
        <v>127</v>
      </c>
      <c r="C99" s="763" t="s">
        <v>290</v>
      </c>
      <c r="D99" s="763"/>
      <c r="E99" s="763"/>
      <c r="F99" s="763"/>
      <c r="G99" s="763"/>
      <c r="H99" s="138" t="s">
        <v>29</v>
      </c>
      <c r="I99" s="148">
        <f>IF(AND(H7=""),"",COMPUTATION!O32)</f>
        <v>0</v>
      </c>
      <c r="J99" s="149" t="s">
        <v>29</v>
      </c>
      <c r="K99" s="739">
        <f t="shared" si="7"/>
        <v>0</v>
      </c>
      <c r="L99" s="739"/>
      <c r="M99" s="149" t="s">
        <v>29</v>
      </c>
      <c r="N99" s="145">
        <f t="shared" si="6"/>
        <v>0</v>
      </c>
    </row>
    <row r="100" spans="1:14" ht="14.1" customHeight="1" thickTop="1" thickBot="1">
      <c r="A100" s="137"/>
      <c r="B100" s="146" t="s">
        <v>326</v>
      </c>
      <c r="C100" s="763" t="s">
        <v>327</v>
      </c>
      <c r="D100" s="767"/>
      <c r="E100" s="767"/>
      <c r="F100" s="767"/>
      <c r="G100" s="767"/>
      <c r="H100" s="138" t="s">
        <v>29</v>
      </c>
      <c r="I100" s="148">
        <f>IF(AND(H8=""),"",COMPUTATION!O33)</f>
        <v>0</v>
      </c>
      <c r="J100" s="150" t="s">
        <v>29</v>
      </c>
      <c r="K100" s="739">
        <f t="shared" si="7"/>
        <v>0</v>
      </c>
      <c r="L100" s="739"/>
      <c r="M100" s="150" t="s">
        <v>29</v>
      </c>
      <c r="N100" s="145">
        <f t="shared" si="6"/>
        <v>0</v>
      </c>
    </row>
    <row r="101" spans="1:14" ht="15.75" customHeight="1" thickTop="1" thickBot="1">
      <c r="A101" s="140" t="s">
        <v>54</v>
      </c>
      <c r="B101" s="151"/>
      <c r="C101" s="766" t="s">
        <v>55</v>
      </c>
      <c r="D101" s="766"/>
      <c r="E101" s="766"/>
      <c r="F101" s="766"/>
      <c r="G101" s="766"/>
      <c r="H101" s="766"/>
      <c r="I101" s="766"/>
      <c r="J101" s="766"/>
      <c r="K101" s="766"/>
      <c r="L101" s="766"/>
      <c r="M101" s="766"/>
      <c r="N101" s="766"/>
    </row>
    <row r="102" spans="1:14" ht="15" customHeight="1" thickTop="1" thickBot="1">
      <c r="A102" s="135"/>
      <c r="B102" s="135"/>
      <c r="C102" s="766" t="s">
        <v>56</v>
      </c>
      <c r="D102" s="766"/>
      <c r="E102" s="766"/>
      <c r="F102" s="766"/>
      <c r="G102" s="766"/>
      <c r="H102" s="766"/>
      <c r="I102" s="766"/>
      <c r="J102" s="766"/>
      <c r="K102" s="766"/>
      <c r="L102" s="766"/>
      <c r="M102" s="766"/>
      <c r="N102" s="766"/>
    </row>
    <row r="103" spans="1:14" ht="18" customHeight="1" thickTop="1" thickBot="1">
      <c r="A103" s="152" t="s">
        <v>127</v>
      </c>
      <c r="B103" s="768" t="s">
        <v>128</v>
      </c>
      <c r="C103" s="768"/>
      <c r="D103" s="768"/>
      <c r="E103" s="768"/>
      <c r="F103" s="768"/>
      <c r="G103" s="768"/>
      <c r="H103" s="768"/>
      <c r="I103" s="768"/>
      <c r="J103" s="768"/>
      <c r="K103" s="768"/>
      <c r="L103" s="768"/>
      <c r="M103" s="768"/>
      <c r="N103" s="768"/>
    </row>
    <row r="104" spans="1:14" ht="16.5" thickTop="1" thickBot="1">
      <c r="A104" s="139"/>
      <c r="B104" s="749"/>
      <c r="C104" s="749"/>
      <c r="D104" s="749"/>
      <c r="E104" s="749"/>
      <c r="F104" s="749"/>
      <c r="G104" s="749"/>
      <c r="H104" s="753" t="s">
        <v>44</v>
      </c>
      <c r="I104" s="753"/>
      <c r="J104" s="753" t="s">
        <v>129</v>
      </c>
      <c r="K104" s="753"/>
      <c r="L104" s="753"/>
      <c r="M104" s="753" t="s">
        <v>45</v>
      </c>
      <c r="N104" s="753"/>
    </row>
    <row r="105" spans="1:14" ht="14.1" customHeight="1" thickTop="1" thickBot="1">
      <c r="A105" s="139"/>
      <c r="B105" s="139" t="s">
        <v>130</v>
      </c>
      <c r="C105" s="751" t="s">
        <v>145</v>
      </c>
      <c r="D105" s="751"/>
      <c r="E105" s="751" t="s">
        <v>58</v>
      </c>
      <c r="F105" s="751"/>
      <c r="G105" s="751"/>
      <c r="H105" s="139" t="s">
        <v>29</v>
      </c>
      <c r="I105" s="443">
        <f>COMPUTATION!M36</f>
        <v>0</v>
      </c>
      <c r="J105" s="444" t="s">
        <v>29</v>
      </c>
      <c r="K105" s="761">
        <f>I105</f>
        <v>0</v>
      </c>
      <c r="L105" s="761"/>
      <c r="M105" s="139" t="s">
        <v>29</v>
      </c>
      <c r="N105" s="153">
        <f>I105</f>
        <v>0</v>
      </c>
    </row>
    <row r="106" spans="1:14" ht="14.1" customHeight="1" thickTop="1" thickBot="1">
      <c r="A106" s="139"/>
      <c r="B106" s="139" t="s">
        <v>131</v>
      </c>
      <c r="C106" s="751" t="s">
        <v>145</v>
      </c>
      <c r="D106" s="751"/>
      <c r="E106" s="751" t="s">
        <v>328</v>
      </c>
      <c r="F106" s="751"/>
      <c r="G106" s="751"/>
      <c r="H106" s="139" t="s">
        <v>29</v>
      </c>
      <c r="I106" s="443">
        <f>COMPUTATION!M37</f>
        <v>0</v>
      </c>
      <c r="J106" s="444" t="s">
        <v>29</v>
      </c>
      <c r="K106" s="761">
        <f t="shared" ref="K106:K111" si="9">I106</f>
        <v>0</v>
      </c>
      <c r="L106" s="761"/>
      <c r="M106" s="139" t="s">
        <v>29</v>
      </c>
      <c r="N106" s="153">
        <f t="shared" ref="N106:N111" si="10">I106</f>
        <v>0</v>
      </c>
    </row>
    <row r="107" spans="1:14" ht="14.1" customHeight="1" thickTop="1" thickBot="1">
      <c r="A107" s="139"/>
      <c r="B107" s="139" t="s">
        <v>132</v>
      </c>
      <c r="C107" s="751" t="s">
        <v>145</v>
      </c>
      <c r="D107" s="751"/>
      <c r="E107" s="751" t="s">
        <v>63</v>
      </c>
      <c r="F107" s="751"/>
      <c r="G107" s="751"/>
      <c r="H107" s="139" t="s">
        <v>29</v>
      </c>
      <c r="I107" s="443">
        <f>COMPUTATION!M38</f>
        <v>0</v>
      </c>
      <c r="J107" s="444" t="s">
        <v>29</v>
      </c>
      <c r="K107" s="761">
        <f t="shared" si="9"/>
        <v>0</v>
      </c>
      <c r="L107" s="761"/>
      <c r="M107" s="139" t="s">
        <v>29</v>
      </c>
      <c r="N107" s="445">
        <f>I107</f>
        <v>0</v>
      </c>
    </row>
    <row r="108" spans="1:14" ht="14.1" customHeight="1" thickTop="1" thickBot="1">
      <c r="A108" s="139"/>
      <c r="B108" s="139" t="s">
        <v>133</v>
      </c>
      <c r="C108" s="751" t="s">
        <v>145</v>
      </c>
      <c r="D108" s="751"/>
      <c r="E108" s="751" t="s">
        <v>329</v>
      </c>
      <c r="F108" s="751"/>
      <c r="G108" s="751"/>
      <c r="H108" s="139" t="s">
        <v>29</v>
      </c>
      <c r="I108" s="443">
        <f>COMPUTATION!M39</f>
        <v>0</v>
      </c>
      <c r="J108" s="444" t="s">
        <v>29</v>
      </c>
      <c r="K108" s="761">
        <f t="shared" si="9"/>
        <v>0</v>
      </c>
      <c r="L108" s="761"/>
      <c r="M108" s="139" t="s">
        <v>29</v>
      </c>
      <c r="N108" s="153">
        <f t="shared" si="10"/>
        <v>0</v>
      </c>
    </row>
    <row r="109" spans="1:14" ht="14.1" customHeight="1" thickTop="1" thickBot="1">
      <c r="A109" s="139"/>
      <c r="B109" s="156" t="s">
        <v>134</v>
      </c>
      <c r="C109" s="751" t="s">
        <v>145</v>
      </c>
      <c r="D109" s="751"/>
      <c r="E109" s="751" t="s">
        <v>57</v>
      </c>
      <c r="F109" s="751"/>
      <c r="G109" s="751"/>
      <c r="H109" s="139" t="s">
        <v>29</v>
      </c>
      <c r="I109" s="443">
        <f>COMPUTATION!M40</f>
        <v>0</v>
      </c>
      <c r="J109" s="444" t="s">
        <v>29</v>
      </c>
      <c r="K109" s="761">
        <f t="shared" si="9"/>
        <v>0</v>
      </c>
      <c r="L109" s="761"/>
      <c r="M109" s="139" t="s">
        <v>29</v>
      </c>
      <c r="N109" s="153">
        <f t="shared" si="10"/>
        <v>0</v>
      </c>
    </row>
    <row r="110" spans="1:14" ht="14.1" customHeight="1" thickTop="1" thickBot="1">
      <c r="A110" s="139"/>
      <c r="B110" s="156" t="s">
        <v>330</v>
      </c>
      <c r="C110" s="751" t="s">
        <v>145</v>
      </c>
      <c r="D110" s="751"/>
      <c r="E110" s="751" t="s">
        <v>332</v>
      </c>
      <c r="F110" s="751"/>
      <c r="G110" s="751"/>
      <c r="H110" s="139" t="s">
        <v>29</v>
      </c>
      <c r="I110" s="443">
        <f>COMPUTATION!M41</f>
        <v>0</v>
      </c>
      <c r="J110" s="444" t="s">
        <v>29</v>
      </c>
      <c r="K110" s="761">
        <f t="shared" si="9"/>
        <v>0</v>
      </c>
      <c r="L110" s="761"/>
      <c r="M110" s="139" t="s">
        <v>29</v>
      </c>
      <c r="N110" s="153">
        <f t="shared" si="10"/>
        <v>0</v>
      </c>
    </row>
    <row r="111" spans="1:14" ht="14.1" customHeight="1" thickTop="1" thickBot="1">
      <c r="A111" s="139"/>
      <c r="B111" s="156" t="s">
        <v>331</v>
      </c>
      <c r="C111" s="751" t="s">
        <v>145</v>
      </c>
      <c r="D111" s="751"/>
      <c r="E111" s="751" t="s">
        <v>62</v>
      </c>
      <c r="F111" s="751"/>
      <c r="G111" s="751"/>
      <c r="H111" s="139" t="s">
        <v>29</v>
      </c>
      <c r="I111" s="443">
        <f>COMPUTATION!M42</f>
        <v>0</v>
      </c>
      <c r="J111" s="444" t="s">
        <v>29</v>
      </c>
      <c r="K111" s="761">
        <f t="shared" si="9"/>
        <v>0</v>
      </c>
      <c r="L111" s="761"/>
      <c r="M111" s="139" t="s">
        <v>29</v>
      </c>
      <c r="N111" s="153">
        <f t="shared" si="10"/>
        <v>0</v>
      </c>
    </row>
    <row r="112" spans="1:14" ht="27.75" customHeight="1" thickTop="1" thickBot="1">
      <c r="A112" s="139"/>
      <c r="B112" s="747" t="s">
        <v>135</v>
      </c>
      <c r="C112" s="747"/>
      <c r="D112" s="747"/>
      <c r="E112" s="747"/>
      <c r="F112" s="747"/>
      <c r="G112" s="747"/>
      <c r="H112" s="747"/>
      <c r="I112" s="747"/>
      <c r="J112" s="747"/>
      <c r="K112" s="747"/>
      <c r="L112" s="747"/>
      <c r="M112" s="747"/>
      <c r="N112" s="747"/>
    </row>
    <row r="113" spans="1:15" ht="17.100000000000001" customHeight="1" thickTop="1" thickBot="1">
      <c r="A113" s="152">
        <v>10</v>
      </c>
      <c r="B113" s="748" t="s">
        <v>136</v>
      </c>
      <c r="C113" s="748"/>
      <c r="D113" s="748"/>
      <c r="E113" s="748"/>
      <c r="F113" s="748"/>
      <c r="G113" s="748"/>
      <c r="H113" s="748"/>
      <c r="I113" s="748"/>
      <c r="J113" s="748"/>
      <c r="K113" s="748"/>
      <c r="L113" s="748"/>
      <c r="M113" s="139" t="s">
        <v>29</v>
      </c>
      <c r="N113" s="154">
        <f>IF(AND(H7=""),"",COMPUTATION!O45)</f>
        <v>119890</v>
      </c>
    </row>
    <row r="114" spans="1:15" ht="17.100000000000001" customHeight="1" thickTop="1" thickBot="1">
      <c r="A114" s="152">
        <v>11</v>
      </c>
      <c r="B114" s="748" t="s">
        <v>137</v>
      </c>
      <c r="C114" s="748"/>
      <c r="D114" s="748"/>
      <c r="E114" s="748"/>
      <c r="F114" s="748"/>
      <c r="G114" s="748"/>
      <c r="H114" s="748"/>
      <c r="I114" s="748"/>
      <c r="J114" s="748"/>
      <c r="K114" s="748"/>
      <c r="L114" s="748"/>
      <c r="M114" s="139" t="s">
        <v>29</v>
      </c>
      <c r="N114" s="154">
        <f>ROUND(N81-N113,0)</f>
        <v>577766</v>
      </c>
    </row>
    <row r="115" spans="1:15" ht="17.100000000000001" customHeight="1" thickTop="1" thickBot="1">
      <c r="A115" s="152">
        <v>12</v>
      </c>
      <c r="B115" s="748" t="s">
        <v>138</v>
      </c>
      <c r="C115" s="748"/>
      <c r="D115" s="748"/>
      <c r="E115" s="748"/>
      <c r="F115" s="748"/>
      <c r="G115" s="748"/>
      <c r="H115" s="748"/>
      <c r="I115" s="748"/>
      <c r="J115" s="748"/>
      <c r="K115" s="748"/>
      <c r="L115" s="748"/>
      <c r="M115" s="139" t="s">
        <v>29</v>
      </c>
      <c r="N115" s="154">
        <f>IF(AND(H7=""),"",COMPUTATION!O54)</f>
        <v>28054</v>
      </c>
    </row>
    <row r="116" spans="1:15" ht="17.100000000000001" customHeight="1" thickTop="1" thickBot="1">
      <c r="A116" s="152">
        <v>13</v>
      </c>
      <c r="B116" s="748" t="s">
        <v>369</v>
      </c>
      <c r="C116" s="748"/>
      <c r="D116" s="748"/>
      <c r="E116" s="748"/>
      <c r="F116" s="748"/>
      <c r="G116" s="748"/>
      <c r="H116" s="748"/>
      <c r="I116" s="748"/>
      <c r="J116" s="748"/>
      <c r="K116" s="748"/>
      <c r="L116" s="748"/>
      <c r="M116" s="139" t="s">
        <v>29</v>
      </c>
      <c r="N116" s="273">
        <f>IF(AND(H7=""),"",COMPUTATION!O55)</f>
        <v>0</v>
      </c>
    </row>
    <row r="117" spans="1:15" ht="17.100000000000001" customHeight="1" thickTop="1" thickBot="1">
      <c r="A117" s="152">
        <v>14</v>
      </c>
      <c r="B117" s="748" t="s">
        <v>476</v>
      </c>
      <c r="C117" s="748"/>
      <c r="D117" s="748"/>
      <c r="E117" s="748"/>
      <c r="F117" s="748"/>
      <c r="G117" s="748"/>
      <c r="H117" s="748"/>
      <c r="I117" s="748"/>
      <c r="J117" s="748"/>
      <c r="K117" s="748"/>
      <c r="L117" s="748"/>
      <c r="M117" s="139" t="s">
        <v>29</v>
      </c>
      <c r="N117" s="155">
        <f>IF(AND(H7=""),"",COMPUTATION!O57)</f>
        <v>1122</v>
      </c>
    </row>
    <row r="118" spans="1:15" ht="17.100000000000001" customHeight="1" thickTop="1" thickBot="1">
      <c r="A118" s="152">
        <v>15</v>
      </c>
      <c r="B118" s="748" t="s">
        <v>139</v>
      </c>
      <c r="C118" s="748"/>
      <c r="D118" s="748"/>
      <c r="E118" s="748"/>
      <c r="F118" s="748"/>
      <c r="G118" s="748"/>
      <c r="H118" s="748"/>
      <c r="I118" s="748"/>
      <c r="J118" s="748"/>
      <c r="K118" s="748"/>
      <c r="L118" s="748"/>
      <c r="M118" s="139" t="s">
        <v>29</v>
      </c>
      <c r="N118" s="155">
        <f>N115+N117</f>
        <v>29176</v>
      </c>
    </row>
    <row r="119" spans="1:15" ht="17.100000000000001" customHeight="1" thickTop="1" thickBot="1">
      <c r="A119" s="152">
        <v>16</v>
      </c>
      <c r="B119" s="748" t="s">
        <v>140</v>
      </c>
      <c r="C119" s="748"/>
      <c r="D119" s="748"/>
      <c r="E119" s="748"/>
      <c r="F119" s="748"/>
      <c r="G119" s="748"/>
      <c r="H119" s="748"/>
      <c r="I119" s="748"/>
      <c r="J119" s="748"/>
      <c r="K119" s="748"/>
      <c r="L119" s="748"/>
      <c r="M119" s="139" t="s">
        <v>29</v>
      </c>
      <c r="N119" s="154" t="str">
        <f>IF(AND(H7=""),"",COMPUTATION!O59)</f>
        <v>0</v>
      </c>
    </row>
    <row r="120" spans="1:15" ht="17.100000000000001" customHeight="1" thickTop="1" thickBot="1">
      <c r="A120" s="152">
        <v>17</v>
      </c>
      <c r="B120" s="748" t="s">
        <v>493</v>
      </c>
      <c r="C120" s="748"/>
      <c r="D120" s="748"/>
      <c r="E120" s="748"/>
      <c r="F120" s="748"/>
      <c r="G120" s="748"/>
      <c r="H120" s="748"/>
      <c r="I120" s="748"/>
      <c r="J120" s="748"/>
      <c r="K120" s="748"/>
      <c r="L120" s="748"/>
      <c r="M120" s="139" t="s">
        <v>29</v>
      </c>
      <c r="N120" s="155">
        <f>IF(AND(H7=""),"",COMPUTATION!O60)</f>
        <v>29176</v>
      </c>
    </row>
    <row r="121" spans="1:15" ht="17.100000000000001" customHeight="1" thickTop="1" thickBot="1">
      <c r="A121" s="152">
        <v>18</v>
      </c>
      <c r="B121" s="748" t="s">
        <v>293</v>
      </c>
      <c r="C121" s="748"/>
      <c r="D121" s="748"/>
      <c r="E121" s="748"/>
      <c r="F121" s="748"/>
      <c r="G121" s="748"/>
      <c r="H121" s="748"/>
      <c r="I121" s="748"/>
      <c r="J121" s="748"/>
      <c r="K121" s="748"/>
      <c r="L121" s="748"/>
      <c r="M121" s="139" t="s">
        <v>29</v>
      </c>
      <c r="N121" s="154">
        <f>IF(AND(H7=""),"",COMPUTATION!O62)</f>
        <v>6000</v>
      </c>
    </row>
    <row r="122" spans="1:15" ht="17.100000000000001" customHeight="1" thickTop="1" thickBot="1">
      <c r="A122" s="152">
        <v>19</v>
      </c>
      <c r="B122" s="754" t="str">
        <f>IF(N120&gt;N121,"Income Tax Payable",IF(N120&lt;N121,"Income Tax Refundable","Income Tax Payble/Refundable"))</f>
        <v>Income Tax Payable</v>
      </c>
      <c r="C122" s="754"/>
      <c r="D122" s="754"/>
      <c r="E122" s="754"/>
      <c r="F122" s="754"/>
      <c r="G122" s="754"/>
      <c r="H122" s="754"/>
      <c r="I122" s="754"/>
      <c r="J122" s="754"/>
      <c r="K122" s="754"/>
      <c r="L122" s="754"/>
      <c r="M122" s="139" t="s">
        <v>29</v>
      </c>
      <c r="N122" s="154">
        <f>IF(N120&gt;N121,N120-N121,N121-N120)</f>
        <v>23176</v>
      </c>
    </row>
    <row r="123" spans="1:15" ht="17.100000000000001" customHeight="1" thickTop="1">
      <c r="A123" s="122"/>
      <c r="B123" s="122"/>
      <c r="C123" s="122"/>
      <c r="D123" s="122"/>
      <c r="E123" s="122"/>
      <c r="F123" s="762" t="s">
        <v>93</v>
      </c>
      <c r="G123" s="762"/>
      <c r="H123" s="762"/>
      <c r="I123" s="762"/>
      <c r="J123" s="762"/>
      <c r="K123" s="122"/>
      <c r="L123" s="122"/>
      <c r="M123" s="122"/>
      <c r="N123" s="122"/>
      <c r="O123" s="90"/>
    </row>
    <row r="124" spans="1:15" ht="18.75" customHeight="1">
      <c r="A124" s="125" t="s">
        <v>65</v>
      </c>
      <c r="B124" s="759" t="str">
        <f>UPPER(IF(Master!D17="","",(Master!D17)))</f>
        <v>MISHRI LAL</v>
      </c>
      <c r="C124" s="759"/>
      <c r="D124" s="759"/>
      <c r="E124" s="759"/>
      <c r="F124" s="759"/>
      <c r="G124" s="760" t="s">
        <v>94</v>
      </c>
      <c r="H124" s="760"/>
      <c r="I124" s="760"/>
      <c r="J124" s="760"/>
      <c r="K124" s="759" t="str">
        <f>UPPER(IF(Master!H17="","",(Master!H17)))</f>
        <v>MAKWANA</v>
      </c>
      <c r="L124" s="759"/>
      <c r="M124" s="759"/>
      <c r="N124" s="759"/>
      <c r="O124" s="90"/>
    </row>
    <row r="125" spans="1:15" ht="18" customHeight="1">
      <c r="A125" s="760" t="s">
        <v>95</v>
      </c>
      <c r="B125" s="760"/>
      <c r="C125" s="760"/>
      <c r="D125" s="760"/>
      <c r="E125" s="760"/>
      <c r="F125" s="759" t="str">
        <f>UPPER(IF(Master!D16="","",Master!D16))</f>
        <v>GSSS INDERWARA  (PALI)</v>
      </c>
      <c r="G125" s="759"/>
      <c r="H125" s="759"/>
      <c r="I125" s="759"/>
      <c r="J125" s="758" t="s">
        <v>291</v>
      </c>
      <c r="K125" s="758"/>
      <c r="L125" s="758"/>
      <c r="M125" s="758"/>
      <c r="N125" s="758"/>
      <c r="O125" s="90"/>
    </row>
    <row r="126" spans="1:15" ht="31.5" customHeight="1" thickBot="1">
      <c r="A126" s="740" t="s">
        <v>292</v>
      </c>
      <c r="B126" s="740"/>
      <c r="C126" s="740"/>
      <c r="D126" s="740"/>
      <c r="E126" s="740"/>
      <c r="F126" s="740"/>
      <c r="G126" s="740"/>
      <c r="H126" s="740"/>
      <c r="I126" s="740"/>
      <c r="J126" s="740"/>
      <c r="K126" s="740"/>
      <c r="L126" s="740"/>
      <c r="M126" s="740"/>
      <c r="N126" s="740"/>
      <c r="O126" s="90"/>
    </row>
    <row r="127" spans="1:15" ht="28.5" customHeight="1" thickTop="1" thickBot="1">
      <c r="A127" s="741" t="s">
        <v>99</v>
      </c>
      <c r="B127" s="741"/>
      <c r="C127" s="742"/>
      <c r="D127" s="742"/>
      <c r="E127" s="742"/>
      <c r="F127" s="742"/>
      <c r="G127" s="742"/>
      <c r="H127" s="742"/>
      <c r="I127" s="743" t="s">
        <v>101</v>
      </c>
      <c r="J127" s="743"/>
      <c r="K127" s="743"/>
      <c r="L127" s="743"/>
      <c r="M127" s="743"/>
      <c r="N127" s="743"/>
    </row>
    <row r="128" spans="1:15" ht="27.75" customHeight="1" thickTop="1" thickBot="1">
      <c r="A128" s="741" t="s">
        <v>1</v>
      </c>
      <c r="B128" s="741"/>
      <c r="C128" s="744">
        <f ca="1">TODAY()</f>
        <v>43777</v>
      </c>
      <c r="D128" s="745"/>
      <c r="E128" s="745"/>
      <c r="F128" s="745"/>
      <c r="G128" s="745"/>
      <c r="H128" s="746"/>
      <c r="I128" s="743"/>
      <c r="J128" s="743"/>
      <c r="K128" s="743"/>
      <c r="L128" s="743"/>
      <c r="M128" s="743"/>
      <c r="N128" s="743"/>
    </row>
    <row r="129" spans="1:14" ht="34.5" customHeight="1" thickTop="1" thickBot="1">
      <c r="A129" s="741" t="s">
        <v>5</v>
      </c>
      <c r="B129" s="741"/>
      <c r="C129" s="741"/>
      <c r="D129" s="755" t="str">
        <f>UPPER(IF(Master!D16="","",Master!D16))</f>
        <v>GSSS INDERWARA  (PALI)</v>
      </c>
      <c r="E129" s="755"/>
      <c r="F129" s="755"/>
      <c r="G129" s="755"/>
      <c r="H129" s="755"/>
      <c r="I129" s="756" t="s">
        <v>100</v>
      </c>
      <c r="J129" s="756"/>
      <c r="K129" s="757" t="str">
        <f>IF(AND(Master!D17=""),"",CONCATENATE("( ",UPPER(Master!D17)," )"))</f>
        <v>( MISHRI LAL )</v>
      </c>
      <c r="L129" s="757"/>
      <c r="M129" s="757"/>
      <c r="N129" s="757"/>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tabSelected="1" zoomScale="90" zoomScaleNormal="90" workbookViewId="0">
      <selection activeCell="C25" sqref="C25"/>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2"/>
      <c r="B1" s="253"/>
      <c r="C1" s="498" t="s">
        <v>239</v>
      </c>
      <c r="D1" s="498"/>
      <c r="E1" s="498"/>
      <c r="F1" s="498"/>
      <c r="G1" s="498"/>
      <c r="H1" s="498"/>
      <c r="I1" s="254"/>
      <c r="J1" s="255"/>
      <c r="K1" s="256"/>
      <c r="L1" s="28"/>
      <c r="M1" s="28"/>
      <c r="N1" s="28"/>
      <c r="O1" s="28"/>
      <c r="P1" s="28"/>
      <c r="Q1" s="28"/>
      <c r="R1" s="28"/>
      <c r="S1" s="28"/>
      <c r="AB1" s="27">
        <v>600</v>
      </c>
      <c r="AC1" s="398" t="b">
        <v>1</v>
      </c>
      <c r="AD1" s="398" t="b">
        <v>0</v>
      </c>
      <c r="AE1" s="398" t="b">
        <v>1</v>
      </c>
      <c r="AF1" s="398" t="b">
        <v>0</v>
      </c>
      <c r="BJ1" s="27" t="s">
        <v>88</v>
      </c>
    </row>
    <row r="2" spans="1:79" s="27" customFormat="1" ht="21" customHeight="1" thickTop="1" thickBot="1">
      <c r="A2" s="257"/>
      <c r="B2" s="472" t="s">
        <v>469</v>
      </c>
      <c r="C2" s="472"/>
      <c r="D2" s="391"/>
      <c r="E2" s="392" t="str">
        <f>IF(AND(AC1=AG3),AB2,IF(AND(AD1=AG3),AB3,""))</f>
        <v xml:space="preserve">YES </v>
      </c>
      <c r="F2" s="499" t="s">
        <v>355</v>
      </c>
      <c r="G2" s="499"/>
      <c r="H2" s="499"/>
      <c r="I2" s="393" t="s">
        <v>247</v>
      </c>
      <c r="J2" s="51"/>
      <c r="K2" s="258"/>
      <c r="L2" s="28"/>
      <c r="M2" s="28"/>
      <c r="N2" s="28"/>
      <c r="O2" s="28"/>
      <c r="P2" s="28"/>
      <c r="Q2" s="28"/>
      <c r="R2" s="28"/>
      <c r="S2" s="28"/>
      <c r="AB2" s="27" t="s">
        <v>235</v>
      </c>
      <c r="AC2" s="27" t="s">
        <v>6</v>
      </c>
      <c r="AD2" s="27">
        <v>5</v>
      </c>
      <c r="AE2" s="27">
        <v>8</v>
      </c>
      <c r="BJ2" s="27" t="s">
        <v>92</v>
      </c>
    </row>
    <row r="3" spans="1:79" s="27" customFormat="1" ht="21" customHeight="1" thickTop="1" thickBot="1">
      <c r="A3" s="257"/>
      <c r="B3" s="473" t="s">
        <v>470</v>
      </c>
      <c r="C3" s="473"/>
      <c r="D3" s="473"/>
      <c r="E3" s="396" t="s">
        <v>253</v>
      </c>
      <c r="F3" s="472" t="s">
        <v>473</v>
      </c>
      <c r="G3" s="472"/>
      <c r="H3" s="391"/>
      <c r="I3" s="392" t="str">
        <f>IF(AND(AE1=AG3),AB2,IF(AND(AF1=AG3),AB3,""))</f>
        <v xml:space="preserve">YES </v>
      </c>
      <c r="J3" s="410">
        <v>6774</v>
      </c>
      <c r="K3" s="258"/>
      <c r="L3" s="28"/>
      <c r="M3" s="28"/>
      <c r="N3" s="28"/>
      <c r="O3" s="28"/>
      <c r="P3" s="28"/>
      <c r="Q3" s="28"/>
      <c r="R3" s="28"/>
      <c r="S3" s="28"/>
      <c r="AB3" s="27" t="s">
        <v>236</v>
      </c>
      <c r="AC3" s="27" t="s">
        <v>152</v>
      </c>
      <c r="AD3" s="27">
        <v>10</v>
      </c>
      <c r="AE3" s="27">
        <v>9</v>
      </c>
      <c r="AG3" s="398" t="b">
        <v>1</v>
      </c>
    </row>
    <row r="4" spans="1:79" s="27" customFormat="1" ht="21" customHeight="1" thickTop="1" thickBot="1">
      <c r="A4" s="257"/>
      <c r="B4" s="418" t="s">
        <v>501</v>
      </c>
      <c r="C4" s="419"/>
      <c r="D4" s="417" t="s">
        <v>502</v>
      </c>
      <c r="E4" s="448">
        <f>IF(AND(AC1=AF8),AB1,0)</f>
        <v>600</v>
      </c>
      <c r="F4" s="472" t="s">
        <v>503</v>
      </c>
      <c r="G4" s="472"/>
      <c r="H4" s="390"/>
      <c r="I4" s="394" t="s">
        <v>237</v>
      </c>
      <c r="J4" s="51"/>
      <c r="K4" s="258"/>
      <c r="L4" s="28"/>
      <c r="M4" s="28"/>
      <c r="N4" s="28"/>
      <c r="O4" s="28"/>
      <c r="P4" s="28"/>
      <c r="Q4" s="28"/>
      <c r="R4" s="28"/>
      <c r="S4" s="28"/>
      <c r="AD4" s="27">
        <v>15</v>
      </c>
      <c r="AE4" s="27">
        <v>10</v>
      </c>
    </row>
    <row r="5" spans="1:79" s="27" customFormat="1" ht="21" customHeight="1" thickTop="1" thickBot="1">
      <c r="A5" s="257"/>
      <c r="B5" s="472" t="s">
        <v>252</v>
      </c>
      <c r="C5" s="472"/>
      <c r="D5" s="472"/>
      <c r="E5" s="397">
        <v>8</v>
      </c>
      <c r="F5" s="472" t="s">
        <v>472</v>
      </c>
      <c r="G5" s="472"/>
      <c r="H5" s="391"/>
      <c r="I5" s="395" t="str">
        <f>IF(AND(AF9=AG3),AC2,IF(AND(AG9=AG3),AC3,""))</f>
        <v>GPF</v>
      </c>
      <c r="J5" s="51"/>
      <c r="K5" s="258"/>
      <c r="L5" s="28"/>
      <c r="M5" s="28"/>
      <c r="N5" s="28"/>
      <c r="O5" s="28"/>
      <c r="P5" s="28"/>
      <c r="Q5" s="28"/>
      <c r="R5" s="28"/>
      <c r="S5" s="28"/>
      <c r="AB5" s="27">
        <v>1</v>
      </c>
      <c r="AC5" s="27" t="s">
        <v>250</v>
      </c>
      <c r="AD5" s="27">
        <v>20</v>
      </c>
      <c r="AE5" s="27">
        <v>16</v>
      </c>
    </row>
    <row r="6" spans="1:79" s="27" customFormat="1" ht="21" customHeight="1" thickTop="1" thickBot="1">
      <c r="A6" s="257"/>
      <c r="B6" s="473" t="s">
        <v>471</v>
      </c>
      <c r="C6" s="473"/>
      <c r="D6" s="391"/>
      <c r="E6" s="392" t="str">
        <f>IF(AND(AF10=AG3),AB2,IF(AND(AG10=AG3),AB3,""))</f>
        <v>NO</v>
      </c>
      <c r="F6" s="472" t="s">
        <v>354</v>
      </c>
      <c r="G6" s="472"/>
      <c r="H6" s="472"/>
      <c r="I6" s="394" t="s">
        <v>350</v>
      </c>
      <c r="J6" s="51"/>
      <c r="K6" s="258"/>
      <c r="L6" s="28"/>
      <c r="M6" s="28"/>
      <c r="N6" s="28"/>
      <c r="O6" s="28"/>
      <c r="P6" s="28"/>
      <c r="Q6" s="28"/>
      <c r="R6" s="28"/>
      <c r="S6" s="28"/>
      <c r="AB6" s="49">
        <v>2</v>
      </c>
      <c r="AC6" s="49" t="s">
        <v>251</v>
      </c>
      <c r="AD6" s="27">
        <v>25</v>
      </c>
      <c r="AE6" s="27">
        <v>18</v>
      </c>
    </row>
    <row r="7" spans="1:79" s="49" customFormat="1" ht="21" customHeight="1" thickTop="1" thickBot="1">
      <c r="A7" s="257"/>
      <c r="B7" s="248"/>
      <c r="C7" s="248"/>
      <c r="D7" s="248"/>
      <c r="E7" s="50"/>
      <c r="F7" s="251"/>
      <c r="G7" s="251"/>
      <c r="H7" s="251"/>
      <c r="I7" s="50"/>
      <c r="J7" s="51"/>
      <c r="K7" s="258"/>
      <c r="L7" s="51"/>
      <c r="M7" s="51"/>
      <c r="N7" s="51"/>
      <c r="O7" s="51"/>
      <c r="P7" s="51"/>
      <c r="Q7" s="51"/>
      <c r="R7" s="51"/>
      <c r="S7" s="51"/>
      <c r="AB7" s="27">
        <v>3</v>
      </c>
      <c r="AC7" s="27" t="s">
        <v>240</v>
      </c>
      <c r="AD7" s="49">
        <v>30</v>
      </c>
      <c r="AE7" s="49">
        <v>20</v>
      </c>
    </row>
    <row r="8" spans="1:79" s="1" customFormat="1" ht="24.95" customHeight="1" thickTop="1" thickBot="1">
      <c r="A8" s="257"/>
      <c r="B8" s="474" t="s">
        <v>234</v>
      </c>
      <c r="C8" s="474"/>
      <c r="D8" s="471" t="s">
        <v>497</v>
      </c>
      <c r="E8" s="471"/>
      <c r="F8" s="471"/>
      <c r="G8" s="471"/>
      <c r="H8" s="471"/>
      <c r="I8" s="471"/>
      <c r="J8" s="51"/>
      <c r="K8" s="258"/>
      <c r="L8" s="28"/>
      <c r="M8" s="28"/>
      <c r="N8" s="28"/>
      <c r="O8" s="29"/>
      <c r="P8" s="28"/>
      <c r="Q8" s="29"/>
      <c r="R8" s="29"/>
      <c r="S8" s="28"/>
      <c r="T8" s="27"/>
      <c r="U8" s="27"/>
      <c r="V8" s="27"/>
      <c r="W8" s="27"/>
      <c r="X8" s="27"/>
      <c r="Y8" s="27"/>
      <c r="Z8" s="27"/>
      <c r="AA8" s="27"/>
      <c r="AB8" s="49">
        <v>4</v>
      </c>
      <c r="AC8" s="49" t="s">
        <v>241</v>
      </c>
      <c r="AD8" s="27">
        <v>35</v>
      </c>
      <c r="AE8" s="27"/>
      <c r="AF8" s="398" t="b">
        <v>1</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7"/>
      <c r="B9" s="474" t="s">
        <v>233</v>
      </c>
      <c r="C9" s="474"/>
      <c r="D9" s="501" t="s">
        <v>452</v>
      </c>
      <c r="E9" s="501"/>
      <c r="F9" s="475" t="s">
        <v>209</v>
      </c>
      <c r="G9" s="475"/>
      <c r="H9" s="501" t="s">
        <v>496</v>
      </c>
      <c r="I9" s="501"/>
      <c r="J9" s="51"/>
      <c r="K9" s="258"/>
      <c r="L9" s="28"/>
      <c r="M9" s="28"/>
      <c r="N9" s="28"/>
      <c r="O9" s="29"/>
      <c r="P9" s="28"/>
      <c r="Q9" s="29"/>
      <c r="R9" s="29"/>
      <c r="S9" s="28"/>
      <c r="T9" s="27"/>
      <c r="U9" s="27"/>
      <c r="V9" s="27"/>
      <c r="W9" s="27"/>
      <c r="X9" s="27"/>
      <c r="Y9" s="27"/>
      <c r="Z9" s="27"/>
      <c r="AA9" s="27"/>
      <c r="AB9" s="27">
        <v>5</v>
      </c>
      <c r="AC9" s="27" t="s">
        <v>242</v>
      </c>
      <c r="AD9" s="27"/>
      <c r="AE9" s="27"/>
      <c r="AF9" s="398" t="b">
        <v>1</v>
      </c>
      <c r="AG9" s="398"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7"/>
      <c r="B10" s="259"/>
      <c r="C10" s="260" t="s">
        <v>208</v>
      </c>
      <c r="D10" s="471" t="s">
        <v>498</v>
      </c>
      <c r="E10" s="471"/>
      <c r="F10" s="474"/>
      <c r="G10" s="474"/>
      <c r="H10" s="500"/>
      <c r="I10" s="500"/>
      <c r="J10" s="51"/>
      <c r="K10" s="258"/>
      <c r="L10" s="28"/>
      <c r="M10" s="28"/>
      <c r="N10" s="28"/>
      <c r="O10" s="29"/>
      <c r="P10" s="28"/>
      <c r="Q10" s="29"/>
      <c r="R10" s="29"/>
      <c r="S10" s="28"/>
      <c r="T10" s="27"/>
      <c r="U10" s="27"/>
      <c r="V10" s="27"/>
      <c r="W10" s="27"/>
      <c r="X10" s="27"/>
      <c r="Y10" s="27"/>
      <c r="Z10" s="27"/>
      <c r="AA10" s="27"/>
      <c r="AB10" s="49">
        <v>6</v>
      </c>
      <c r="AC10" s="49" t="s">
        <v>243</v>
      </c>
      <c r="AD10" s="27" t="s">
        <v>352</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7"/>
      <c r="B11" s="474" t="s">
        <v>219</v>
      </c>
      <c r="C11" s="474"/>
      <c r="D11" s="471" t="s">
        <v>556</v>
      </c>
      <c r="E11" s="471"/>
      <c r="F11" s="475" t="s">
        <v>229</v>
      </c>
      <c r="G11" s="475"/>
      <c r="H11" s="489"/>
      <c r="I11" s="489"/>
      <c r="J11" s="51"/>
      <c r="K11" s="258"/>
      <c r="L11" s="497" t="s">
        <v>334</v>
      </c>
      <c r="M11" s="497"/>
      <c r="N11" s="497"/>
      <c r="O11" s="29"/>
      <c r="P11" s="28"/>
      <c r="Q11" s="29"/>
      <c r="R11" s="29"/>
      <c r="S11" s="28"/>
      <c r="T11" s="27"/>
      <c r="U11" s="27"/>
      <c r="V11" s="27"/>
      <c r="W11" s="27"/>
      <c r="X11" s="27"/>
      <c r="Y11" s="27"/>
      <c r="Z11" s="27"/>
      <c r="AA11" s="27"/>
      <c r="AB11" s="27">
        <v>7</v>
      </c>
      <c r="AC11" s="27" t="s">
        <v>244</v>
      </c>
      <c r="AD11" s="27" t="s">
        <v>348</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7"/>
      <c r="B12" s="474" t="s">
        <v>220</v>
      </c>
      <c r="C12" s="474"/>
      <c r="D12" s="471" t="s">
        <v>553</v>
      </c>
      <c r="E12" s="471"/>
      <c r="F12" s="475" t="s">
        <v>230</v>
      </c>
      <c r="G12" s="475"/>
      <c r="H12" s="471" t="s">
        <v>499</v>
      </c>
      <c r="I12" s="471"/>
      <c r="J12" s="51"/>
      <c r="K12" s="258"/>
      <c r="L12" s="28"/>
      <c r="M12" s="28"/>
      <c r="N12" s="28"/>
      <c r="O12" s="29"/>
      <c r="P12" s="28"/>
      <c r="Q12" s="29"/>
      <c r="R12" s="29"/>
      <c r="S12" s="28"/>
      <c r="T12" s="27"/>
      <c r="U12" s="27"/>
      <c r="V12" s="27"/>
      <c r="W12" s="27"/>
      <c r="X12" s="27"/>
      <c r="Y12" s="27"/>
      <c r="Z12" s="27"/>
      <c r="AA12" s="27"/>
      <c r="AB12" s="49">
        <v>8</v>
      </c>
      <c r="AC12" s="49" t="s">
        <v>245</v>
      </c>
      <c r="AD12" s="27" t="s">
        <v>349</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7"/>
      <c r="B13" s="475" t="s">
        <v>221</v>
      </c>
      <c r="C13" s="474"/>
      <c r="D13" s="471" t="s">
        <v>554</v>
      </c>
      <c r="E13" s="471"/>
      <c r="F13" s="475" t="s">
        <v>231</v>
      </c>
      <c r="G13" s="475"/>
      <c r="H13" s="489" t="s">
        <v>555</v>
      </c>
      <c r="I13" s="489"/>
      <c r="J13" s="51"/>
      <c r="K13" s="258"/>
      <c r="L13" s="28"/>
      <c r="M13" s="28"/>
      <c r="N13" s="28"/>
      <c r="O13" s="29"/>
      <c r="P13" s="28"/>
      <c r="Q13" s="29"/>
      <c r="R13" s="29"/>
      <c r="S13" s="28"/>
      <c r="T13" s="27"/>
      <c r="U13" s="27"/>
      <c r="V13" s="27"/>
      <c r="W13" s="27"/>
      <c r="X13" s="27"/>
      <c r="Y13" s="27"/>
      <c r="Z13" s="27"/>
      <c r="AA13" s="27"/>
      <c r="AB13" s="27">
        <v>9</v>
      </c>
      <c r="AC13" s="27" t="s">
        <v>246</v>
      </c>
      <c r="AD13" s="27" t="s">
        <v>350</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7"/>
      <c r="B14" s="475" t="s">
        <v>212</v>
      </c>
      <c r="C14" s="474"/>
      <c r="D14" s="489"/>
      <c r="E14" s="489"/>
      <c r="F14" s="475" t="s">
        <v>232</v>
      </c>
      <c r="G14" s="475"/>
      <c r="H14" s="489"/>
      <c r="I14" s="489"/>
      <c r="J14" s="51"/>
      <c r="K14" s="258"/>
      <c r="L14" s="28"/>
      <c r="M14" s="28"/>
      <c r="N14" s="28"/>
      <c r="O14" s="29"/>
      <c r="P14" s="28"/>
      <c r="Q14" s="29"/>
      <c r="R14" s="29"/>
      <c r="S14" s="28"/>
      <c r="T14" s="27"/>
      <c r="U14" s="27"/>
      <c r="V14" s="27"/>
      <c r="W14" s="27"/>
      <c r="X14" s="27"/>
      <c r="Y14" s="27"/>
      <c r="Z14" s="27"/>
      <c r="AA14" s="27"/>
      <c r="AB14" s="49">
        <v>10</v>
      </c>
      <c r="AC14" s="49" t="s">
        <v>247</v>
      </c>
      <c r="AD14" s="27" t="s">
        <v>351</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7"/>
      <c r="B15" s="475" t="s">
        <v>222</v>
      </c>
      <c r="C15" s="474"/>
      <c r="D15" s="489" t="s">
        <v>557</v>
      </c>
      <c r="E15" s="489"/>
      <c r="F15" s="475" t="s">
        <v>228</v>
      </c>
      <c r="G15" s="475"/>
      <c r="H15" s="471" t="s">
        <v>451</v>
      </c>
      <c r="I15" s="471"/>
      <c r="J15" s="51"/>
      <c r="K15" s="258"/>
      <c r="L15" s="28"/>
      <c r="M15" s="28"/>
      <c r="N15" s="28"/>
      <c r="O15" s="29"/>
      <c r="P15" s="28"/>
      <c r="Q15" s="29"/>
      <c r="R15" s="29"/>
      <c r="S15" s="28"/>
      <c r="T15" s="27"/>
      <c r="U15" s="27"/>
      <c r="V15" s="27"/>
      <c r="W15" s="27"/>
      <c r="X15" s="27"/>
      <c r="Y15" s="27"/>
      <c r="Z15" s="27"/>
      <c r="AA15" s="27"/>
      <c r="AB15" s="27">
        <v>11</v>
      </c>
      <c r="AC15" s="27" t="s">
        <v>248</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7"/>
      <c r="B16" s="475" t="s">
        <v>217</v>
      </c>
      <c r="C16" s="475"/>
      <c r="D16" s="493" t="s">
        <v>505</v>
      </c>
      <c r="E16" s="493"/>
      <c r="F16" s="490" t="s">
        <v>214</v>
      </c>
      <c r="G16" s="490"/>
      <c r="H16" s="471" t="s">
        <v>213</v>
      </c>
      <c r="I16" s="471"/>
      <c r="J16" s="51"/>
      <c r="K16" s="258"/>
      <c r="L16" s="28"/>
      <c r="M16" s="28"/>
      <c r="N16" s="28"/>
      <c r="O16" s="29"/>
      <c r="P16" s="28"/>
      <c r="Q16" s="29"/>
      <c r="R16" s="29"/>
      <c r="S16" s="28"/>
      <c r="T16" s="27"/>
      <c r="U16" s="27"/>
      <c r="V16" s="27"/>
      <c r="W16" s="27"/>
      <c r="X16" s="27"/>
      <c r="Y16" s="27"/>
      <c r="Z16" s="27"/>
      <c r="AA16" s="27"/>
      <c r="AB16" s="49">
        <v>12</v>
      </c>
      <c r="AC16" s="49" t="s">
        <v>249</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7"/>
      <c r="B17" s="475" t="s">
        <v>218</v>
      </c>
      <c r="C17" s="475"/>
      <c r="D17" s="471" t="s">
        <v>500</v>
      </c>
      <c r="E17" s="471"/>
      <c r="F17" s="490" t="s">
        <v>223</v>
      </c>
      <c r="G17" s="490"/>
      <c r="H17" s="471" t="s">
        <v>558</v>
      </c>
      <c r="I17" s="471"/>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7"/>
      <c r="B18" s="490" t="s">
        <v>226</v>
      </c>
      <c r="C18" s="490"/>
      <c r="D18" s="494">
        <v>43525</v>
      </c>
      <c r="E18" s="494"/>
      <c r="F18" s="490" t="s">
        <v>227</v>
      </c>
      <c r="G18" s="490"/>
      <c r="H18" s="491">
        <v>43921</v>
      </c>
      <c r="I18" s="491"/>
      <c r="J18" s="51"/>
      <c r="K18" s="258"/>
      <c r="L18" s="28"/>
      <c r="M18" s="28" t="s">
        <v>504</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7"/>
      <c r="B19" s="475" t="s">
        <v>225</v>
      </c>
      <c r="C19" s="475"/>
      <c r="D19" s="492">
        <v>2020</v>
      </c>
      <c r="E19" s="492"/>
      <c r="F19" s="490" t="s">
        <v>224</v>
      </c>
      <c r="G19" s="490"/>
      <c r="H19" s="492">
        <v>2021</v>
      </c>
      <c r="I19" s="492"/>
      <c r="J19" s="51"/>
      <c r="K19" s="258"/>
      <c r="L19" s="28"/>
      <c r="M19" s="28"/>
      <c r="N19" s="28"/>
      <c r="O19" s="29"/>
      <c r="P19" s="28"/>
      <c r="Q19" s="29"/>
      <c r="R19" s="29"/>
      <c r="S19" s="28"/>
      <c r="T19" s="27"/>
      <c r="U19" s="27"/>
      <c r="V19" s="27"/>
      <c r="W19" s="27"/>
      <c r="X19" s="27"/>
      <c r="Y19" s="27"/>
      <c r="Z19" s="27"/>
      <c r="AA19" s="27"/>
      <c r="AB19" s="27" t="s">
        <v>237</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238</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481" t="s">
        <v>268</v>
      </c>
      <c r="B22" s="482"/>
      <c r="C22" s="482"/>
      <c r="D22" s="482"/>
      <c r="E22" s="483" t="s">
        <v>88</v>
      </c>
      <c r="F22" s="483"/>
      <c r="G22" s="51"/>
      <c r="H22" s="51"/>
      <c r="I22" s="51"/>
      <c r="J22" s="51"/>
      <c r="K22" s="258"/>
      <c r="L22" s="28"/>
      <c r="M22" s="28"/>
      <c r="N22" s="28"/>
      <c r="O22" s="29"/>
      <c r="P22" s="28"/>
      <c r="Q22" s="29"/>
      <c r="R22" s="29"/>
      <c r="S22" s="28"/>
      <c r="T22" s="27"/>
      <c r="U22" s="27"/>
      <c r="V22" s="27"/>
      <c r="W22" s="27"/>
      <c r="X22" s="27"/>
      <c r="Y22" s="27"/>
      <c r="Z22" s="27"/>
      <c r="AA22" s="27"/>
      <c r="AB22" s="27" t="s">
        <v>253</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484" t="s">
        <v>267</v>
      </c>
      <c r="B23" s="485" t="s">
        <v>87</v>
      </c>
      <c r="C23" s="487" t="s">
        <v>88</v>
      </c>
      <c r="D23" s="488"/>
      <c r="E23" s="488"/>
      <c r="F23" s="488"/>
      <c r="G23" s="51"/>
      <c r="H23" s="51"/>
      <c r="I23" s="51"/>
      <c r="J23" s="51"/>
      <c r="K23" s="258"/>
      <c r="L23" s="28"/>
      <c r="M23" s="28"/>
      <c r="N23" s="28"/>
      <c r="O23" s="29"/>
      <c r="P23" s="28"/>
      <c r="Q23" s="29"/>
      <c r="R23" s="29"/>
      <c r="S23" s="28"/>
      <c r="T23" s="27"/>
      <c r="U23" s="27"/>
      <c r="V23" s="27"/>
      <c r="W23" s="27"/>
      <c r="X23" s="27"/>
      <c r="Y23" s="27"/>
      <c r="Z23" s="27"/>
      <c r="AA23" s="27"/>
      <c r="AB23" s="27" t="s">
        <v>254</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484"/>
      <c r="B24" s="486"/>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255</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2">
        <v>1</v>
      </c>
      <c r="B25" s="218">
        <f>IF(AND(Bills!V7=""),"",IF(AND($I$4=$AB$20),"",Bills!V7))</f>
        <v>500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2">
        <v>2</v>
      </c>
      <c r="B26" s="218">
        <f>IF(AND(Bills!V8=""),"",IF(AND($I$4=$AB$20),"",Bills!V8))</f>
        <v>500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2">
        <v>3</v>
      </c>
      <c r="B27" s="218">
        <f>IF(AND(Bills!V9=""),"",IF(AND($I$4=$AB$20),"",Bills!V9))</f>
        <v>500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2">
        <v>4</v>
      </c>
      <c r="B28" s="218">
        <f>IF(AND(Bills!V10=""),"",IF(AND($I$4=$AB$20),"",Bills!V10))</f>
        <v>500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2">
        <v>5</v>
      </c>
      <c r="B29" s="218">
        <f>IF(AND(Bills!V11=""),"",IF(AND($I$4=$AB$20),"",Bills!V11))</f>
        <v>500</v>
      </c>
      <c r="C29" s="120"/>
      <c r="D29" s="120"/>
      <c r="E29" s="120"/>
      <c r="F29" s="94" t="str">
        <f t="shared" si="0"/>
        <v>-</v>
      </c>
      <c r="G29" s="51"/>
      <c r="H29" s="51"/>
      <c r="I29" s="51"/>
      <c r="J29" s="51"/>
      <c r="K29" s="258"/>
      <c r="L29" s="28"/>
      <c r="M29" s="495" t="s">
        <v>335</v>
      </c>
      <c r="N29" s="496"/>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2">
        <v>6</v>
      </c>
      <c r="B30" s="218">
        <f>IF(AND(Bills!V12=""),"",IF(AND($I$4=$AB$20),"",Bills!V12))</f>
        <v>500</v>
      </c>
      <c r="C30" s="120"/>
      <c r="D30" s="120"/>
      <c r="E30" s="120"/>
      <c r="F30" s="94" t="str">
        <f t="shared" si="0"/>
        <v>-</v>
      </c>
      <c r="G30" s="51"/>
      <c r="H30" s="51"/>
      <c r="I30" s="51"/>
      <c r="J30" s="51"/>
      <c r="K30" s="258"/>
      <c r="L30" s="28"/>
      <c r="M30" s="495"/>
      <c r="N30" s="496"/>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2">
        <v>7</v>
      </c>
      <c r="B31" s="218">
        <f>IF(AND(Bills!V13=""),"",IF(AND($I$4=$AB$20),"",Bills!V13))</f>
        <v>500</v>
      </c>
      <c r="C31" s="120">
        <v>8</v>
      </c>
      <c r="D31" s="120"/>
      <c r="E31" s="120"/>
      <c r="F31" s="94" t="str">
        <f t="shared" si="0"/>
        <v>Yes</v>
      </c>
      <c r="G31" s="51"/>
      <c r="H31" s="51"/>
      <c r="I31" s="51"/>
      <c r="J31" s="51"/>
      <c r="K31" s="258"/>
      <c r="L31" s="28"/>
      <c r="M31" s="502" t="s">
        <v>452</v>
      </c>
      <c r="N31" s="503"/>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2">
        <v>8</v>
      </c>
      <c r="B32" s="218">
        <f>IF(AND(Bills!V14=""),"",IF(AND($I$4=$AB$20),"",Bills!V14))</f>
        <v>500</v>
      </c>
      <c r="C32" s="120">
        <v>9</v>
      </c>
      <c r="D32" s="120"/>
      <c r="E32" s="120"/>
      <c r="F32" s="94" t="str">
        <f t="shared" si="0"/>
        <v>Yes</v>
      </c>
      <c r="G32" s="51"/>
      <c r="H32" s="51"/>
      <c r="I32" s="51"/>
      <c r="J32" s="51"/>
      <c r="K32" s="258"/>
      <c r="L32" s="28"/>
      <c r="M32" s="502"/>
      <c r="N32" s="503"/>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2">
        <v>9</v>
      </c>
      <c r="B33" s="218">
        <f>IF(AND(Bills!V15=""),"",IF(AND($I$4=$AB$20),"",Bills!V15))</f>
        <v>500</v>
      </c>
      <c r="C33" s="120">
        <v>10</v>
      </c>
      <c r="D33" s="120"/>
      <c r="E33" s="120"/>
      <c r="F33" s="94" t="str">
        <f t="shared" si="0"/>
        <v>Yes</v>
      </c>
      <c r="G33" s="51"/>
      <c r="H33" s="51"/>
      <c r="I33" s="51"/>
      <c r="J33" s="51"/>
      <c r="K33" s="258"/>
      <c r="L33" s="28"/>
      <c r="M33" s="504" t="s">
        <v>453</v>
      </c>
      <c r="N33" s="505"/>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2">
        <v>10</v>
      </c>
      <c r="B34" s="218">
        <f>IF(AND(Bills!V16=""),"",IF(AND($I$4=$AB$20),"",Bills!V16))</f>
        <v>500</v>
      </c>
      <c r="C34" s="120">
        <v>15</v>
      </c>
      <c r="D34" s="120"/>
      <c r="E34" s="120"/>
      <c r="F34" s="94" t="str">
        <f t="shared" si="0"/>
        <v>Yes</v>
      </c>
      <c r="G34" s="51"/>
      <c r="H34" s="51"/>
      <c r="I34" s="51"/>
      <c r="J34" s="51"/>
      <c r="K34" s="258"/>
      <c r="L34" s="28"/>
      <c r="M34" s="504"/>
      <c r="N34" s="505"/>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2">
        <v>11</v>
      </c>
      <c r="B35" s="218">
        <f>IF(AND(Bills!V17=""),"",IF(AND($I$4=$AB$20),"",Bills!V17))</f>
        <v>500</v>
      </c>
      <c r="C35" s="120"/>
      <c r="D35" s="120"/>
      <c r="E35" s="120"/>
      <c r="F35" s="94" t="str">
        <f t="shared" si="0"/>
        <v>-</v>
      </c>
      <c r="G35" s="51"/>
      <c r="H35" s="51"/>
      <c r="I35" s="51"/>
      <c r="J35" s="51"/>
      <c r="K35" s="258"/>
      <c r="L35" s="28"/>
      <c r="M35" s="506" t="s">
        <v>468</v>
      </c>
      <c r="N35" s="507"/>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2">
        <v>12</v>
      </c>
      <c r="B36" s="218">
        <f>IF(AND(Bills!V18=""),"",IF(AND($I$4=$AB$20),"",Bills!V18))</f>
        <v>500</v>
      </c>
      <c r="C36" s="120"/>
      <c r="D36" s="120"/>
      <c r="E36" s="120"/>
      <c r="F36" s="94" t="str">
        <f t="shared" si="0"/>
        <v>-</v>
      </c>
      <c r="G36" s="51"/>
      <c r="H36" s="51"/>
      <c r="I36" s="51"/>
      <c r="J36" s="51"/>
      <c r="K36" s="258"/>
      <c r="L36" s="28"/>
      <c r="M36" s="506"/>
      <c r="N36" s="507"/>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2">
        <v>13</v>
      </c>
      <c r="B37" s="218" t="str">
        <f>IF(AND(Bills!V23=""),"",IF(AND($I$4=$AB$20),"",Bills!V23))</f>
        <v/>
      </c>
      <c r="C37" s="120"/>
      <c r="D37" s="120"/>
      <c r="E37" s="120"/>
      <c r="F37" s="94" t="str">
        <f t="shared" si="0"/>
        <v>-</v>
      </c>
      <c r="G37" s="51"/>
      <c r="H37" s="51"/>
      <c r="I37" s="51"/>
      <c r="J37" s="51"/>
      <c r="K37" s="258"/>
      <c r="L37" s="28"/>
      <c r="M37" s="508" t="s">
        <v>467</v>
      </c>
      <c r="N37" s="509"/>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2">
        <v>14</v>
      </c>
      <c r="B38" s="218" t="str">
        <f>IF(AND(Bills!V24=""),"",IF(AND($I$4=$AB$20),"",Bills!V24))</f>
        <v/>
      </c>
      <c r="C38" s="120"/>
      <c r="D38" s="120"/>
      <c r="E38" s="120"/>
      <c r="F38" s="94" t="str">
        <f t="shared" si="0"/>
        <v>-</v>
      </c>
      <c r="G38" s="51"/>
      <c r="H38" s="51"/>
      <c r="I38" s="51"/>
      <c r="J38" s="51"/>
      <c r="K38" s="258"/>
      <c r="L38" s="28"/>
      <c r="M38" s="508"/>
      <c r="N38" s="509"/>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2">
        <v>15</v>
      </c>
      <c r="B39" s="218" t="str">
        <f>IF(AND(Bills!V25=""),"",IF(AND($I$4=$AB$20),"",Bills!V25))</f>
        <v/>
      </c>
      <c r="C39" s="120"/>
      <c r="D39" s="120"/>
      <c r="E39" s="120"/>
      <c r="F39" s="94" t="str">
        <f t="shared" si="0"/>
        <v>-</v>
      </c>
      <c r="G39" s="403">
        <f>Bills!V27</f>
        <v>0</v>
      </c>
      <c r="H39" s="51"/>
      <c r="I39" s="51"/>
      <c r="J39" s="51"/>
      <c r="K39" s="258"/>
      <c r="L39" s="28"/>
      <c r="M39" s="510" t="s">
        <v>336</v>
      </c>
      <c r="N39" s="511"/>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2">
        <v>16</v>
      </c>
      <c r="B40" s="404" t="str">
        <f>IF(AND(Bills!V26=""),"",IF(AND($I$4=$AB$20),"",Bills!V26))</f>
        <v/>
      </c>
      <c r="C40" s="167">
        <v>1</v>
      </c>
      <c r="D40" s="167"/>
      <c r="E40" s="167"/>
      <c r="F40" s="168" t="str">
        <f t="shared" si="0"/>
        <v>Yes</v>
      </c>
      <c r="G40" s="51"/>
      <c r="H40" s="51"/>
      <c r="I40" s="51"/>
      <c r="J40" s="51"/>
      <c r="K40" s="258"/>
      <c r="L40" s="28"/>
      <c r="M40" s="510"/>
      <c r="N40" s="511"/>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3" t="s">
        <v>4</v>
      </c>
      <c r="B41" s="220">
        <f>SUM(B25:B40)</f>
        <v>6000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76" t="s">
        <v>267</v>
      </c>
      <c r="B43" s="477" t="s">
        <v>87</v>
      </c>
      <c r="C43" s="479" t="s">
        <v>92</v>
      </c>
      <c r="D43" s="480"/>
      <c r="E43" s="480"/>
      <c r="F43" s="480"/>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76"/>
      <c r="B44" s="478"/>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4">
        <v>1</v>
      </c>
      <c r="B45" s="219">
        <f>IF(AND(Bills!V7=""),"",IF(AND($I$4=$AB$20),"",Bills!V7))</f>
        <v>500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4">
        <v>2</v>
      </c>
      <c r="B46" s="219">
        <f>IF(AND(Bills!V8=""),"",IF(AND($I$4=$AB$20),"",Bills!V8))</f>
        <v>500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4">
        <v>3</v>
      </c>
      <c r="B47" s="219">
        <f>IF(AND(Bills!V9=""),"",IF(AND($I$4=$AB$20),"",Bills!V9))</f>
        <v>500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4">
        <v>4</v>
      </c>
      <c r="B48" s="219">
        <f>IF(AND(Bills!V10=""),"",IF(AND($I$4=$AB$20),"",Bills!V10))</f>
        <v>500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4">
        <v>5</v>
      </c>
      <c r="B49" s="219">
        <f>IF(AND(Bills!V11=""),"",IF(AND($I$4=$AB$20),"",Bills!V11))</f>
        <v>500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4">
        <v>6</v>
      </c>
      <c r="B50" s="219">
        <f>IF(AND(Bills!V12=""),"",IF(AND($I$4=$AB$20),"",Bills!V12))</f>
        <v>500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4">
        <v>7</v>
      </c>
      <c r="B51" s="219">
        <f>IF(AND(Bills!V13=""),"",IF(AND($I$4=$AB$20),"",Bills!V13))</f>
        <v>500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4">
        <v>8</v>
      </c>
      <c r="B52" s="219">
        <f>IF(AND(Bills!V14=""),"",IF(AND($I$4=$AB$20),"",Bills!V14))</f>
        <v>500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4">
        <v>9</v>
      </c>
      <c r="B53" s="219">
        <f>IF(AND(Bills!V15=""),"",IF(AND($I$4=$AB$20),"",Bills!V15))</f>
        <v>500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4">
        <v>10</v>
      </c>
      <c r="B54" s="219">
        <f>IF(AND(Bills!V16=""),"",IF(AND($I$4=$AB$20),"",Bills!V16))</f>
        <v>500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4">
        <v>11</v>
      </c>
      <c r="B55" s="219">
        <f>IF(AND(Bills!V17=""),"",IF(AND($I$4=$AB$20),"",Bills!V17))</f>
        <v>500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4">
        <v>12</v>
      </c>
      <c r="B56" s="219">
        <f>IF(AND(Bills!V18=""),"",IF(AND($I$4=$AB$20),"",Bills!V18))</f>
        <v>500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4">
        <v>14</v>
      </c>
      <c r="B58" s="219" t="str">
        <f>IF(AND(Bills!V24=""),"",IF(AND($I$4=$AB$20),"",Bills!V24))</f>
        <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5" t="s">
        <v>4</v>
      </c>
      <c r="B61" s="221">
        <f>SUM(B45:B60)</f>
        <v>6000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5:D5"/>
    <mergeCell ref="B12:C12"/>
    <mergeCell ref="B13:C13"/>
    <mergeCell ref="B11:C11"/>
    <mergeCell ref="D11:E11"/>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C25" sqref="C25"/>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c r="B1" s="521" t="s">
        <v>365</v>
      </c>
      <c r="C1" s="521"/>
      <c r="D1" s="521"/>
      <c r="E1" s="526" t="str">
        <f>UPPER(IF(Master!D9="","",Master!D9))</f>
        <v>HEERA LAL JAT</v>
      </c>
      <c r="F1" s="526"/>
      <c r="G1" s="526"/>
      <c r="H1" s="526"/>
      <c r="I1" s="361"/>
      <c r="J1" s="21"/>
      <c r="K1" s="21"/>
      <c r="L1" s="361"/>
      <c r="M1" s="21"/>
      <c r="N1" s="21"/>
      <c r="O1" s="21"/>
      <c r="P1" s="21"/>
      <c r="Q1" s="21"/>
      <c r="R1" s="21"/>
      <c r="S1" s="21"/>
      <c r="T1" s="21"/>
      <c r="U1" s="21"/>
      <c r="V1" s="21"/>
      <c r="W1" s="21"/>
      <c r="X1" s="21"/>
      <c r="Y1" s="21"/>
      <c r="Z1" s="21"/>
      <c r="AA1" s="21"/>
      <c r="AB1" s="21"/>
    </row>
    <row r="2" spans="1:185" ht="31.5" customHeight="1">
      <c r="B2" s="522" t="s">
        <v>506</v>
      </c>
      <c r="C2" s="522"/>
      <c r="D2" s="523"/>
      <c r="E2" s="527">
        <v>47900</v>
      </c>
      <c r="F2" s="527"/>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24" t="s">
        <v>514</v>
      </c>
      <c r="C3" s="524"/>
      <c r="D3" s="525"/>
      <c r="E3" s="514">
        <v>43525</v>
      </c>
      <c r="F3" s="514"/>
      <c r="G3" s="524" t="s">
        <v>513</v>
      </c>
      <c r="H3" s="524"/>
      <c r="I3" s="525"/>
      <c r="J3" s="514">
        <v>43862</v>
      </c>
      <c r="K3" s="514"/>
      <c r="L3" s="515" t="s">
        <v>507</v>
      </c>
      <c r="M3" s="515"/>
      <c r="N3" s="515"/>
      <c r="O3" s="515"/>
      <c r="P3" s="515"/>
      <c r="Q3" s="515"/>
      <c r="R3" s="515"/>
      <c r="S3" s="515"/>
      <c r="T3" s="515"/>
      <c r="U3" s="21"/>
      <c r="V3" s="21"/>
      <c r="W3" s="21"/>
      <c r="X3" s="21"/>
      <c r="Y3" s="21"/>
      <c r="Z3" s="21"/>
      <c r="AA3" s="21"/>
      <c r="AB3" s="21"/>
    </row>
    <row r="4" spans="1:185" s="14" customFormat="1" ht="17.25" customHeight="1" thickBot="1">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16"/>
      <c r="AE4" s="516"/>
      <c r="AF4" s="516"/>
      <c r="AG4" s="516"/>
      <c r="AH4" s="516"/>
      <c r="AI4" s="5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28" t="s">
        <v>148</v>
      </c>
      <c r="C5" s="512" t="s">
        <v>0</v>
      </c>
      <c r="D5" s="519" t="s">
        <v>147</v>
      </c>
      <c r="E5" s="512" t="s">
        <v>2</v>
      </c>
      <c r="F5" s="512" t="s">
        <v>3</v>
      </c>
      <c r="G5" s="423" t="s">
        <v>149</v>
      </c>
      <c r="H5" s="423" t="s">
        <v>150</v>
      </c>
      <c r="I5" s="512" t="s">
        <v>11</v>
      </c>
      <c r="J5" s="423" t="s">
        <v>205</v>
      </c>
      <c r="K5" s="512" t="s">
        <v>364</v>
      </c>
      <c r="L5" s="208" t="s">
        <v>463</v>
      </c>
      <c r="M5" s="512" t="s">
        <v>4</v>
      </c>
      <c r="N5" s="207" t="s">
        <v>7</v>
      </c>
      <c r="O5" s="207" t="s">
        <v>6</v>
      </c>
      <c r="P5" s="519" t="s">
        <v>8</v>
      </c>
      <c r="Q5" s="512" t="s">
        <v>61</v>
      </c>
      <c r="R5" s="207" t="s">
        <v>14</v>
      </c>
      <c r="S5" s="209" t="s">
        <v>67</v>
      </c>
      <c r="T5" s="209" t="s">
        <v>66</v>
      </c>
      <c r="U5" s="209" t="s">
        <v>509</v>
      </c>
      <c r="V5" s="207" t="s">
        <v>15</v>
      </c>
      <c r="W5" s="210" t="s">
        <v>207</v>
      </c>
      <c r="X5" s="209" t="s">
        <v>206</v>
      </c>
      <c r="Y5" s="512" t="s">
        <v>59</v>
      </c>
      <c r="Z5" s="512" t="s">
        <v>12</v>
      </c>
      <c r="AA5" s="512" t="s">
        <v>9</v>
      </c>
      <c r="AB5" s="517" t="s">
        <v>69</v>
      </c>
      <c r="AC5" s="17"/>
      <c r="AD5" s="516"/>
      <c r="AE5" s="516"/>
      <c r="AF5" s="516"/>
      <c r="AG5" s="516"/>
      <c r="AH5" s="516"/>
      <c r="AI5" s="516"/>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29"/>
      <c r="C6" s="513"/>
      <c r="D6" s="520"/>
      <c r="E6" s="513"/>
      <c r="F6" s="513"/>
      <c r="G6" s="57"/>
      <c r="H6" s="447">
        <f>IF(AND(Master!E4=0),"",IF(AND(Master!I$4=Master!AB$20),"",Master!E4))</f>
        <v>600</v>
      </c>
      <c r="I6" s="513"/>
      <c r="J6" s="447" t="str">
        <f>IF(AND(E2=""),"",IF(AND(Master!E6=Master!AB3),"",IF(AND(Master!E6=""),"",IF(AND(Master!I6=Master!AD10),AV10,IF(AND(Master!I6=Master!AD11),AW10,IF(AND(Master!I6=Master!AD12),AW10,IF(AND(Master!I6=Master!AD13),AW10,IF(AND(Master!I6=Master!AD14),AW10,""))))))))</f>
        <v/>
      </c>
      <c r="K6" s="513"/>
      <c r="L6" s="57"/>
      <c r="M6" s="513"/>
      <c r="N6" s="67">
        <v>4000</v>
      </c>
      <c r="O6" s="67">
        <v>3575</v>
      </c>
      <c r="P6" s="520"/>
      <c r="Q6" s="513"/>
      <c r="R6" s="399">
        <v>2158</v>
      </c>
      <c r="S6" s="399"/>
      <c r="T6" s="399"/>
      <c r="U6" s="399"/>
      <c r="V6" s="217">
        <v>500</v>
      </c>
      <c r="W6" s="400">
        <v>220</v>
      </c>
      <c r="X6" s="399"/>
      <c r="Y6" s="513"/>
      <c r="Z6" s="513"/>
      <c r="AA6" s="513"/>
      <c r="AB6" s="518"/>
      <c r="AC6" s="18"/>
      <c r="AD6" s="516"/>
      <c r="AE6" s="516"/>
      <c r="AF6" s="516"/>
      <c r="AG6" s="516"/>
      <c r="AH6" s="516"/>
      <c r="AI6" s="516"/>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240</v>
      </c>
      <c r="B7" s="211">
        <v>1</v>
      </c>
      <c r="C7" s="435">
        <f>IF(AND(AO12=""),"",AK12)</f>
        <v>43525</v>
      </c>
      <c r="D7" s="235">
        <f>IF(AND(C7=""),"",AO12)</f>
        <v>47900</v>
      </c>
      <c r="E7" s="65">
        <f>IF(AND(Master!I$4=Master!AB$20),"",IF(AND(D7=""),"",ROUND(12%*D7,0)))</f>
        <v>5748</v>
      </c>
      <c r="F7" s="59">
        <f>IF(AND(Master!I$4=Master!AB$20),"",IF(AND(D7=""),"",ROUND(8%*D7,0)))</f>
        <v>3832</v>
      </c>
      <c r="G7" s="65" t="str">
        <f>IF(AND(C7=""),"",IF(AND($G$6=""),"",$G$6))</f>
        <v/>
      </c>
      <c r="H7" s="65">
        <f>IF(AND(C7=""),"",IF(AND($H$6=""),"",$H$6))</f>
        <v>600</v>
      </c>
      <c r="I7" s="198"/>
      <c r="J7" s="65" t="str">
        <f>IF(AND(C7=""),"",IF(AND($J$6=""),"",IF(AND(Master!$I$4=Master!$AB$20),"",$J$6)))</f>
        <v/>
      </c>
      <c r="K7" s="225" t="str">
        <f>IF(AND(C7=""),"",IF(AND(Master!I$4=Master!AB$20),"",IF(AND(Master!I$5=Master!AC$3),ROUND((D7+E7)*0.1,0),"")))</f>
        <v/>
      </c>
      <c r="L7" s="65" t="str">
        <f>IF(AND(C7=""),"",IF(AND($L$6=""),"",IF(AND(Master!$I$4=Master!$AB$20),"",$L$6)))</f>
        <v/>
      </c>
      <c r="M7" s="61">
        <f>IF(AND(C7=""),"",SUM(D7,E7,F7,G7,H7,I7,J7,L7))</f>
        <v>58080</v>
      </c>
      <c r="N7" s="65">
        <f>IF(AND(C7=""),"",IF(AND(Master!I$4=Master!AB$20),"",$N$6))</f>
        <v>4000</v>
      </c>
      <c r="O7" s="65">
        <f>IF(AND(C7=""),"",IF(AND(Master!I$4=Master!AB$20),"",IF(AND(Master!I$5=Master!AC$2),$O$6,"")))</f>
        <v>3575</v>
      </c>
      <c r="P7" s="225">
        <f>IF(AND(C7=""),"",IF(AND(Master!I$4=Master!AB$20),"",IF(AND(Master!I$5=Master!AC$3),"",IF(D7&lt;18001,228,IF(D7&lt;33501,379,IF(D7&lt;54001,568,755))))))</f>
        <v>568</v>
      </c>
      <c r="Q7" s="225" t="str">
        <f>IF(AND(C7=""),"",IF(AND(Master!I$4=Master!AB$20),"",IF(AND(Master!I$5=Master!AC$3),ROUND((D7+E7)*0.1,0),"")))</f>
        <v/>
      </c>
      <c r="R7" s="65">
        <f>IF(AND(C7=""),"",IF(AND($R$6=""),"",IF(AND(Master!$I$4=Master!$AB$20),"",$R$6)))</f>
        <v>2158</v>
      </c>
      <c r="S7" s="65" t="str">
        <f>IF(AND(C7=""),"",IF(AND($S$6=""),"",IF(AND(Master!$I$4=Master!$AB$20),"",$S$6)))</f>
        <v/>
      </c>
      <c r="T7" s="65" t="str">
        <f>IF(AND(C7=""),"",IF(AND($T$6=""),"",IF(AND(Master!$I$4=Master!$AB$20),"",$T$6)))</f>
        <v/>
      </c>
      <c r="U7" s="65" t="str">
        <f>IF(AND(C7=""),"",IF(AND($U$6=""),"",IF(AND(Master!$I$4=Master!$AB$20),"",$U$6)))</f>
        <v/>
      </c>
      <c r="V7" s="65">
        <f>IF(AND(C7=""),"",IF(AND($V$6=""),"",$V$6))</f>
        <v>500</v>
      </c>
      <c r="W7" s="362"/>
      <c r="X7" s="65" t="str">
        <f>IF(AND(C7=""),"",IF(AND($X$6=""),"",$X$6))</f>
        <v/>
      </c>
      <c r="Y7" s="31">
        <f>IF(AND(C7=""),"",SUM(N7:X7))</f>
        <v>10801</v>
      </c>
      <c r="Z7" s="30">
        <f>IF(AND(C7=""),"",IF(AND(M7="",Y7=""),"",SUM(M7-Y7)))</f>
        <v>47279</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241</v>
      </c>
      <c r="B8" s="211">
        <v>2</v>
      </c>
      <c r="C8" s="435">
        <f t="shared" ref="C8:C18" si="0">IF(AND(AO13=""),"",AK13)</f>
        <v>43556</v>
      </c>
      <c r="D8" s="235">
        <f t="shared" ref="D8:D18" si="1">IF(AND(C8=""),"",AO13)</f>
        <v>47900</v>
      </c>
      <c r="E8" s="65">
        <f>IF(AND(Master!I$4=Master!AB$20),"",IF(AND(D8=""),"",ROUND(12%*D8,0)))</f>
        <v>5748</v>
      </c>
      <c r="F8" s="59">
        <f>IF(AND(Master!I$4=Master!AB$20),"",IF(AND(D8=""),"",ROUND(8%*D8,0)))</f>
        <v>3832</v>
      </c>
      <c r="G8" s="65" t="str">
        <f t="shared" ref="G8:G18" si="2">IF(AND(C8=""),"",IF(AND($G$6=""),"",$G$6))</f>
        <v/>
      </c>
      <c r="H8" s="65">
        <f t="shared" ref="H8:H18" si="3">IF(AND(C8=""),"",IF(AND($H$6=""),"",$H$6))</f>
        <v>600</v>
      </c>
      <c r="I8" s="198"/>
      <c r="J8" s="65" t="str">
        <f>IF(AND(C8=""),"",IF(AND($J$6=""),"",IF(AND(Master!$I$4=Master!$AB$20),"",$J$6)))</f>
        <v/>
      </c>
      <c r="K8" s="225" t="str">
        <f>IF(AND(C8=""),"",IF(AND(Master!I$4=Master!AB$20),"",IF(AND(Master!I$5=Master!AC$3),ROUND((D8+E8)*0.1,0),"")))</f>
        <v/>
      </c>
      <c r="L8" s="65" t="str">
        <f>IF(AND(C8=""),"",IF(AND($L$6=""),"",IF(AND(Master!$I$4=Master!$AB$20),"",$L$6)))</f>
        <v/>
      </c>
      <c r="M8" s="61">
        <f t="shared" ref="M8:M27" si="4">IF(AND(C8=""),"",SUM(D8,E8,F8,G8,H8,I8,J8,L8))</f>
        <v>58080</v>
      </c>
      <c r="N8" s="65">
        <f>IF(AND(C8=""),"",IF(AND(Master!I$4=Master!AB$20),"",$N$6))</f>
        <v>4000</v>
      </c>
      <c r="O8" s="65">
        <f>IF(AND(C8=""),"",IF(AND(Master!I$4=Master!AB$20),"",IF(AND(Master!I$5=Master!AC$2),$O$6,"")))</f>
        <v>3575</v>
      </c>
      <c r="P8" s="225">
        <f>IF(AND(C8=""),"",IF(AND(Master!I$4=Master!AB$20),"",IF(AND(Master!I$5=Master!AC$3),"",IF(D8&lt;18001,242,IF(D8&lt;33501,402,IF(D8&lt;54001,602,800))))))</f>
        <v>602</v>
      </c>
      <c r="Q8" s="225" t="str">
        <f>IF(AND(C8=""),"",IF(AND(Master!I$4=Master!AB$20),"",IF(AND(Master!I$5=Master!AC$3),ROUND((D8+E8)*0.1,0),"")))</f>
        <v/>
      </c>
      <c r="R8" s="65">
        <f>IF(AND(C8=""),"",IF(AND($R$6=""),"",IF(AND(Master!$I$4=Master!$AB$20),"",$R$6)))</f>
        <v>2158</v>
      </c>
      <c r="S8" s="65" t="str">
        <f>IF(AND(C8=""),"",IF(AND($S$6=""),"",IF(AND(Master!$I$4=Master!$AB$20),"",$S$6)))</f>
        <v/>
      </c>
      <c r="T8" s="65" t="str">
        <f>IF(AND(C8=""),"",IF(AND($T$6=""),"",IF(AND(Master!$I$4=Master!$AB$20),"",$T$6)))</f>
        <v/>
      </c>
      <c r="U8" s="65" t="str">
        <f>IF(AND(C8=""),"",IF(AND($U$6=""),"",IF(AND(Master!$I$4=Master!$AB$20),"",$U$6)))</f>
        <v/>
      </c>
      <c r="V8" s="65">
        <f t="shared" ref="V8:V18" si="5">IF(AND(C8=""),"",IF(AND($V$6=""),"",$V$6))</f>
        <v>500</v>
      </c>
      <c r="W8" s="65">
        <f>IF(AND(C8=""),"",IF(AND(W6=""),"",W6))</f>
        <v>220</v>
      </c>
      <c r="X8" s="65" t="str">
        <f t="shared" ref="X8:X17" si="6">IF(AND(C8=""),"",IF(AND($X$6=""),"",$X$6))</f>
        <v/>
      </c>
      <c r="Y8" s="31">
        <f t="shared" ref="Y8:Y27" si="7">IF(AND(C8=""),"",SUM(N8:X8))</f>
        <v>11055</v>
      </c>
      <c r="Z8" s="30">
        <f t="shared" ref="Z8:Z27" si="8">IF(AND(C8=""),"",IF(AND(M8="",Y8=""),"",SUM(M8-Y8)))</f>
        <v>47025</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242</v>
      </c>
      <c r="B9" s="211">
        <v>3</v>
      </c>
      <c r="C9" s="435">
        <f t="shared" si="0"/>
        <v>43586</v>
      </c>
      <c r="D9" s="235">
        <f t="shared" si="1"/>
        <v>47900</v>
      </c>
      <c r="E9" s="65">
        <f>IF(AND(Master!I$4=Master!AB$20),"",IF(AND(D9=""),"",ROUND(12%*D9,0)))</f>
        <v>5748</v>
      </c>
      <c r="F9" s="59">
        <f>IF(AND(Master!I$4=Master!AB$20),"",IF(AND(D9=""),"",ROUND(8%*D9,0)))</f>
        <v>3832</v>
      </c>
      <c r="G9" s="65" t="str">
        <f t="shared" si="2"/>
        <v/>
      </c>
      <c r="H9" s="65">
        <f t="shared" si="3"/>
        <v>600</v>
      </c>
      <c r="I9" s="198"/>
      <c r="J9" s="65" t="str">
        <f>IF(AND(C9=""),"",IF(AND($J$6=""),"",IF(AND(Master!$I$4=Master!$AB$20),"",$J$6)))</f>
        <v/>
      </c>
      <c r="K9" s="225" t="str">
        <f>IF(AND(C9=""),"",IF(AND(Master!I$4=Master!AB$20),"",IF(AND(Master!I$5=Master!AC$3),ROUND((D9+E9)*0.1,0),"")))</f>
        <v/>
      </c>
      <c r="L9" s="65" t="str">
        <f>IF(AND(C9=""),"",IF(AND($L$6=""),"",IF(AND(Master!$I$4=Master!$AB$20),"",$L$6)))</f>
        <v/>
      </c>
      <c r="M9" s="61">
        <f t="shared" si="4"/>
        <v>58080</v>
      </c>
      <c r="N9" s="65">
        <f>IF(AND(C9=""),"",IF(AND(Master!I$4=Master!AB$20),"",$N$6))</f>
        <v>4000</v>
      </c>
      <c r="O9" s="65">
        <f>IF(AND(C9=""),"",IF(AND(Master!I$4=Master!AB$20),"",IF(AND(Master!I$5=Master!AC$2),$O$6,"")))</f>
        <v>3575</v>
      </c>
      <c r="P9" s="225">
        <f>IF(AND(C9=""),"",IF(AND(Master!I$4=Master!AB$20),"",IF(AND(Master!I$5=Master!AC$3),"",IF(D9&lt;18001,242,IF(D9&lt;33501,402,IF(D9&lt;54001,602,800))))))</f>
        <v>602</v>
      </c>
      <c r="Q9" s="225" t="str">
        <f>IF(AND(C9=""),"",IF(AND(Master!I$4=Master!AB$20),"",IF(AND(Master!I$5=Master!AC$3),ROUND((D9+E9)*0.1,0),"")))</f>
        <v/>
      </c>
      <c r="R9" s="65">
        <f>IF(AND(C9=""),"",IF(AND($R$6=""),"",IF(AND(Master!$I$4=Master!$AB$20),"",$R$6)))</f>
        <v>2158</v>
      </c>
      <c r="S9" s="65" t="str">
        <f>IF(AND(C9=""),"",IF(AND($S$6=""),"",IF(AND(Master!$I$4=Master!$AB$20),"",$S$6)))</f>
        <v/>
      </c>
      <c r="T9" s="65" t="str">
        <f>IF(AND(C9=""),"",IF(AND($T$6=""),"",IF(AND(Master!$I$4=Master!$AB$20),"",$T$6)))</f>
        <v/>
      </c>
      <c r="U9" s="65" t="str">
        <f>IF(AND(C9=""),"",IF(AND($U$6=""),"",IF(AND(Master!$I$4=Master!$AB$20),"",$U$6)))</f>
        <v/>
      </c>
      <c r="V9" s="65">
        <f t="shared" si="5"/>
        <v>500</v>
      </c>
      <c r="W9" s="65"/>
      <c r="X9" s="65" t="str">
        <f t="shared" si="6"/>
        <v/>
      </c>
      <c r="Y9" s="31">
        <f t="shared" si="7"/>
        <v>10835</v>
      </c>
      <c r="Z9" s="30">
        <f t="shared" si="8"/>
        <v>47245</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243</v>
      </c>
      <c r="B10" s="211">
        <v>4</v>
      </c>
      <c r="C10" s="435">
        <f t="shared" si="0"/>
        <v>43617</v>
      </c>
      <c r="D10" s="235">
        <f t="shared" si="1"/>
        <v>47900</v>
      </c>
      <c r="E10" s="65">
        <f>IF(AND(Master!I$4=Master!AB$20),"",IF(AND(D10=""),"",ROUND(12%*D10,0)))</f>
        <v>5748</v>
      </c>
      <c r="F10" s="59">
        <f>IF(AND(Master!I$4=Master!AB$20),"",IF(AND(D10=""),"",ROUND(8%*D10,0)))</f>
        <v>3832</v>
      </c>
      <c r="G10" s="65" t="str">
        <f t="shared" si="2"/>
        <v/>
      </c>
      <c r="H10" s="65">
        <f t="shared" si="3"/>
        <v>600</v>
      </c>
      <c r="I10" s="198"/>
      <c r="J10" s="65" t="str">
        <f>IF(AND(C10=""),"",IF(AND($J$6=""),"",IF(AND(Master!$I$4=Master!$AB$20),"",$J$6)))</f>
        <v/>
      </c>
      <c r="K10" s="225" t="str">
        <f>IF(AND(C10=""),"",IF(AND(Master!I$4=Master!AB$20),"",IF(AND(Master!I$5=Master!AC$3),ROUND((D10+E10)*0.1,0),"")))</f>
        <v/>
      </c>
      <c r="L10" s="65" t="str">
        <f>IF(AND(C10=""),"",IF(AND($L$6=""),"",IF(AND(Master!$I$4=Master!$AB$20),"",$L$6)))</f>
        <v/>
      </c>
      <c r="M10" s="61">
        <f t="shared" si="4"/>
        <v>58080</v>
      </c>
      <c r="N10" s="65">
        <f>IF(AND(C10=""),"",IF(AND(Master!I$4=Master!AB$20),"",$N$6))</f>
        <v>4000</v>
      </c>
      <c r="O10" s="65">
        <f>IF(AND(C10=""),"",IF(AND(Master!I$4=Master!AB$20),"",IF(AND(Master!I$5=Master!AC$2),$O$6,"")))</f>
        <v>3575</v>
      </c>
      <c r="P10" s="225">
        <f>IF(AND(C10=""),"",IF(AND(Master!I$4=Master!AB$20),"",IF(AND(Master!I$5=Master!AC$3),"",IF(D10&lt;18001,242,IF(D10&lt;33501,402,IF(D10&lt;54001,602,800))))))</f>
        <v>602</v>
      </c>
      <c r="Q10" s="225" t="str">
        <f>IF(AND(C10=""),"",IF(AND(Master!I$4=Master!AB$20),"",IF(AND(Master!I$5=Master!AC$3),ROUND((D10+E10)*0.1,0),"")))</f>
        <v/>
      </c>
      <c r="R10" s="65">
        <f>IF(AND(C10=""),"",IF(AND($R$6=""),"",IF(AND(Master!$I$4=Master!$AB$20),"",$R$6)))</f>
        <v>2158</v>
      </c>
      <c r="S10" s="65" t="str">
        <f>IF(AND(C10=""),"",IF(AND($S$6=""),"",IF(AND(Master!$I$4=Master!$AB$20),"",$S$6)))</f>
        <v/>
      </c>
      <c r="T10" s="65" t="str">
        <f>IF(AND(C10=""),"",IF(AND($T$6=""),"",IF(AND(Master!$I$4=Master!$AB$20),"",$T$6)))</f>
        <v/>
      </c>
      <c r="U10" s="65" t="str">
        <f>IF(AND(C10=""),"",IF(AND($U$6=""),"",IF(AND(Master!$I$4=Master!$AB$20),"",$U$6)))</f>
        <v/>
      </c>
      <c r="V10" s="65">
        <f t="shared" si="5"/>
        <v>500</v>
      </c>
      <c r="W10" s="65"/>
      <c r="X10" s="65" t="str">
        <f t="shared" si="6"/>
        <v/>
      </c>
      <c r="Y10" s="31">
        <f t="shared" si="7"/>
        <v>10835</v>
      </c>
      <c r="Z10" s="30">
        <f t="shared" si="8"/>
        <v>47245</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244</v>
      </c>
      <c r="B11" s="211">
        <v>5</v>
      </c>
      <c r="C11" s="435">
        <f t="shared" si="0"/>
        <v>43647</v>
      </c>
      <c r="D11" s="235">
        <f t="shared" si="1"/>
        <v>49300</v>
      </c>
      <c r="E11" s="65">
        <f>IF(AND(Master!I$4=Master!AB$20),"",IF(AND(D11=""),"",ROUND(12%*D11,0)))</f>
        <v>5916</v>
      </c>
      <c r="F11" s="59">
        <f>IF(AND(Master!I$4=Master!AB$20),"",IF(AND(D11=""),"",ROUND(8%*D11,0)))</f>
        <v>3944</v>
      </c>
      <c r="G11" s="65" t="str">
        <f t="shared" si="2"/>
        <v/>
      </c>
      <c r="H11" s="65">
        <f t="shared" si="3"/>
        <v>600</v>
      </c>
      <c r="I11" s="198"/>
      <c r="J11" s="65" t="str">
        <f>IF(AND(C11=""),"",IF(AND($J$6=""),"",IF(AND(Master!$I$4=Master!$AB$20),"",$J$6)))</f>
        <v/>
      </c>
      <c r="K11" s="225" t="str">
        <f>IF(AND(C11=""),"",IF(AND(Master!I$4=Master!AB$20),"",IF(AND(Master!I$5=Master!AC$3),ROUND((D11+E11)*0.1,0),"")))</f>
        <v/>
      </c>
      <c r="L11" s="65" t="str">
        <f>IF(AND(C11=""),"",IF(AND($L$6=""),"",IF(AND(Master!$I$4=Master!$AB$20),"",$L$6)))</f>
        <v/>
      </c>
      <c r="M11" s="61">
        <f t="shared" si="4"/>
        <v>59760</v>
      </c>
      <c r="N11" s="65">
        <f>IF(AND(C11=""),"",IF(AND(Master!I$4=Master!AB$20),"",$N$6))</f>
        <v>4000</v>
      </c>
      <c r="O11" s="65">
        <f>IF(AND(C11=""),"",IF(AND(Master!I$4=Master!AB$20),"",IF(AND(Master!I$5=Master!AC$2),$O$6,"")))</f>
        <v>3575</v>
      </c>
      <c r="P11" s="225">
        <f>IF(AND(C11=""),"",IF(AND(Master!I$4=Master!AB$20),"",IF(AND(Master!I$5=Master!AC$3),"",IF(D11&lt;18001,242,IF(D11&lt;33501,402,IF(D11&lt;54001,602,800))))))</f>
        <v>602</v>
      </c>
      <c r="Q11" s="225" t="str">
        <f>IF(AND(C11=""),"",IF(AND(Master!I$4=Master!AB$20),"",IF(AND(Master!I$5=Master!AC$3),ROUND((D11+E11)*0.1,0),"")))</f>
        <v/>
      </c>
      <c r="R11" s="65">
        <f>IF(AND(C11=""),"",IF(AND($R$6=""),"",IF(AND(Master!$I$4=Master!$AB$20),"",$R$6)))</f>
        <v>2158</v>
      </c>
      <c r="S11" s="65" t="str">
        <f>IF(AND(C11=""),"",IF(AND($S$6=""),"",IF(AND(Master!$I$4=Master!$AB$20),"",$S$6)))</f>
        <v/>
      </c>
      <c r="T11" s="65" t="str">
        <f>IF(AND(C11=""),"",IF(AND($T$6=""),"",IF(AND(Master!$I$4=Master!$AB$20),"",$T$6)))</f>
        <v/>
      </c>
      <c r="U11" s="65" t="str">
        <f>IF(AND(C11=""),"",IF(AND($U$6=""),"",IF(AND(Master!$I$4=Master!$AB$20),"",$U$6)))</f>
        <v/>
      </c>
      <c r="V11" s="65">
        <f t="shared" si="5"/>
        <v>500</v>
      </c>
      <c r="W11" s="65"/>
      <c r="X11" s="65" t="str">
        <f t="shared" si="6"/>
        <v/>
      </c>
      <c r="Y11" s="31">
        <f t="shared" si="7"/>
        <v>10835</v>
      </c>
      <c r="Z11" s="30">
        <f t="shared" si="8"/>
        <v>48925</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245</v>
      </c>
      <c r="B12" s="211">
        <v>6</v>
      </c>
      <c r="C12" s="435">
        <f t="shared" si="0"/>
        <v>43678</v>
      </c>
      <c r="D12" s="235">
        <f t="shared" si="1"/>
        <v>49300</v>
      </c>
      <c r="E12" s="65">
        <f>IF(AND(Master!I$4=Master!AB$20),"",IF(AND(D12=""),"",ROUND(12%*D12,0)))</f>
        <v>5916</v>
      </c>
      <c r="F12" s="59">
        <f>IF(AND(Master!I$4=Master!AB$20),"",IF(AND(D12=""),"",ROUND(8%*D12,0)))</f>
        <v>3944</v>
      </c>
      <c r="G12" s="65" t="str">
        <f t="shared" si="2"/>
        <v/>
      </c>
      <c r="H12" s="65">
        <f t="shared" si="3"/>
        <v>600</v>
      </c>
      <c r="I12" s="198"/>
      <c r="J12" s="65" t="str">
        <f>IF(AND(C12=""),"",IF(AND($J$6=""),"",IF(AND(Master!$I$4=Master!$AB$20),"",$J$6)))</f>
        <v/>
      </c>
      <c r="K12" s="225" t="str">
        <f>IF(AND(C12=""),"",IF(AND(Master!I$4=Master!AB$20),"",IF(AND(Master!I$5=Master!AC$3),ROUND((D12+E12)*0.1,0),"")))</f>
        <v/>
      </c>
      <c r="L12" s="65" t="str">
        <f>IF(AND(C12=""),"",IF(AND($L$6=""),"",IF(AND(Master!$I$4=Master!$AB$20),"",$L$6)))</f>
        <v/>
      </c>
      <c r="M12" s="61">
        <f t="shared" si="4"/>
        <v>59760</v>
      </c>
      <c r="N12" s="65">
        <f>IF(AND(C12=""),"",IF(AND(Master!I$4=Master!AB$20),"",$N$6))</f>
        <v>4000</v>
      </c>
      <c r="O12" s="65">
        <f>IF(AND(C12=""),"",IF(AND(Master!I$4=Master!AB$20),"",IF(AND(Master!I$5=Master!AC$2),$O$6,"")))</f>
        <v>3575</v>
      </c>
      <c r="P12" s="225">
        <f>IF(AND(C12=""),"",IF(AND(Master!I$4=Master!AB$20),"",IF(AND(Master!I$5=Master!AC$3),"",IF(D12&lt;18001,242,IF(D12&lt;33501,402,IF(D12&lt;54001,602,800))))))</f>
        <v>602</v>
      </c>
      <c r="Q12" s="225" t="str">
        <f>IF(AND(C12=""),"",IF(AND(Master!I$4=Master!AB$20),"",IF(AND(Master!I$5=Master!AC$3),ROUND((D12+E12)*0.1,0),"")))</f>
        <v/>
      </c>
      <c r="R12" s="65">
        <f>IF(AND(C12=""),"",IF(AND($R$6=""),"",IF(AND(Master!$I$4=Master!$AB$20),"",$R$6)))</f>
        <v>2158</v>
      </c>
      <c r="S12" s="65" t="str">
        <f>IF(AND(C12=""),"",IF(AND($S$6=""),"",IF(AND(Master!$I$4=Master!$AB$20),"",$S$6)))</f>
        <v/>
      </c>
      <c r="T12" s="65" t="str">
        <f>IF(AND(C12=""),"",IF(AND($T$6=""),"",IF(AND(Master!$I$4=Master!$AB$20),"",$T$6)))</f>
        <v/>
      </c>
      <c r="U12" s="65" t="str">
        <f>IF(AND(C12=""),"",IF(AND($U$6=""),"",IF(AND(Master!$I$4=Master!$AB$20),"",$U$6)))</f>
        <v/>
      </c>
      <c r="V12" s="65">
        <f t="shared" si="5"/>
        <v>500</v>
      </c>
      <c r="W12" s="65"/>
      <c r="X12" s="65" t="str">
        <f t="shared" si="6"/>
        <v/>
      </c>
      <c r="Y12" s="31">
        <f t="shared" si="7"/>
        <v>10835</v>
      </c>
      <c r="Z12" s="30">
        <f t="shared" si="8"/>
        <v>48925</v>
      </c>
      <c r="AA12" s="8">
        <v>51985</v>
      </c>
      <c r="AB12" s="212">
        <v>43344</v>
      </c>
      <c r="AC12" s="18"/>
      <c r="AD12" s="18"/>
      <c r="AE12" s="18"/>
      <c r="AF12" s="18"/>
      <c r="AG12" s="18"/>
      <c r="AH12" s="18"/>
      <c r="AI12" s="18"/>
      <c r="AJ12" s="18" t="s">
        <v>240</v>
      </c>
      <c r="AK12" s="233">
        <v>43525</v>
      </c>
      <c r="AL12" s="4">
        <v>3</v>
      </c>
      <c r="AM12" s="4"/>
      <c r="AN12" s="429">
        <f>$E$2</f>
        <v>47900</v>
      </c>
      <c r="AO12" s="430">
        <f>IF(AND(AK12&lt;$AM$16),"",IF(AND(AK12&gt;$AM$17),"",AN12))</f>
        <v>47900</v>
      </c>
      <c r="AP12" s="18">
        <f>ROUND(12%*AN12,0)</f>
        <v>5748</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246</v>
      </c>
      <c r="B13" s="211">
        <v>7</v>
      </c>
      <c r="C13" s="435">
        <f t="shared" si="0"/>
        <v>43709</v>
      </c>
      <c r="D13" s="235">
        <f t="shared" si="1"/>
        <v>49300</v>
      </c>
      <c r="E13" s="65">
        <f>IF(AND(Master!I$4=Master!AB$20),"",IF(AND(D13=""),"",ROUND(12%*D13,0)))</f>
        <v>5916</v>
      </c>
      <c r="F13" s="59">
        <f>IF(AND(Master!I$4=Master!AB$20),"",IF(AND(D13=""),"",ROUND(8%*D13,0)))</f>
        <v>3944</v>
      </c>
      <c r="G13" s="65" t="str">
        <f t="shared" si="2"/>
        <v/>
      </c>
      <c r="H13" s="65">
        <f t="shared" si="3"/>
        <v>600</v>
      </c>
      <c r="I13" s="198"/>
      <c r="J13" s="65" t="str">
        <f>IF(AND(C13=""),"",IF(AND($J$6=""),"",IF(AND(Master!$I$4=Master!$AB$20),"",$J$6)))</f>
        <v/>
      </c>
      <c r="K13" s="225" t="str">
        <f>IF(AND(C13=""),"",IF(AND(Master!I$4=Master!AB$20),"",IF(AND(Master!I$5=Master!AC$3),ROUND((D13+E13)*0.1,0),"")))</f>
        <v/>
      </c>
      <c r="L13" s="65" t="str">
        <f>IF(AND(C13=""),"",IF(AND($L$6=""),"",IF(AND(Master!$I$4=Master!$AB$20),"",$L$6)))</f>
        <v/>
      </c>
      <c r="M13" s="61">
        <f t="shared" si="4"/>
        <v>59760</v>
      </c>
      <c r="N13" s="65">
        <f>IF(AND(C13=""),"",IF(AND(Master!I$4=Master!AB$20),"",$N$6))</f>
        <v>4000</v>
      </c>
      <c r="O13" s="65">
        <f>IF(AND(C13=""),"",IF(AND(Master!I$4=Master!AB$20),"",IF(AND(Master!I$5=Master!AC$2),$O$6,"")))</f>
        <v>3575</v>
      </c>
      <c r="P13" s="225">
        <f>IF(AND(C13=""),"",IF(AND(Master!I$4=Master!AB$20),"",IF(AND(Master!I$5=Master!AC$3),"",IF(D13&lt;18001,242,IF(D13&lt;33501,402,IF(D13&lt;54001,602,800))))))</f>
        <v>602</v>
      </c>
      <c r="Q13" s="225" t="str">
        <f>IF(AND(C13=""),"",IF(AND(Master!I$4=Master!AB$20),"",IF(AND(Master!I$5=Master!AC$3),ROUND((D13+E13)*0.1,0),"")))</f>
        <v/>
      </c>
      <c r="R13" s="65">
        <f>IF(AND(C13=""),"",IF(AND($R$6=""),"",IF(AND(Master!$I$4=Master!$AB$20),"",$R$6)))</f>
        <v>2158</v>
      </c>
      <c r="S13" s="65" t="str">
        <f>IF(AND(C13=""),"",IF(AND($S$6=""),"",IF(AND(Master!$I$4=Master!$AB$20),"",$S$6)))</f>
        <v/>
      </c>
      <c r="T13" s="65" t="str">
        <f>IF(AND(C13=""),"",IF(AND($T$6=""),"",IF(AND(Master!$I$4=Master!$AB$20),"",$T$6)))</f>
        <v/>
      </c>
      <c r="U13" s="65" t="str">
        <f>IF(AND(C13=""),"",IF(AND($U$6=""),"",IF(AND(Master!$I$4=Master!$AB$20),"",$U$6)))</f>
        <v/>
      </c>
      <c r="V13" s="65">
        <f t="shared" si="5"/>
        <v>500</v>
      </c>
      <c r="W13" s="65"/>
      <c r="X13" s="65" t="str">
        <f t="shared" si="6"/>
        <v/>
      </c>
      <c r="Y13" s="31">
        <f t="shared" si="7"/>
        <v>10835</v>
      </c>
      <c r="Z13" s="30">
        <f t="shared" si="8"/>
        <v>48925</v>
      </c>
      <c r="AA13" s="8">
        <v>61201</v>
      </c>
      <c r="AB13" s="212">
        <v>43377</v>
      </c>
      <c r="AC13" s="18"/>
      <c r="AD13" s="18"/>
      <c r="AE13" s="18"/>
      <c r="AF13" s="18"/>
      <c r="AG13" s="18"/>
      <c r="AH13" s="18"/>
      <c r="AI13" s="18"/>
      <c r="AJ13" s="18" t="s">
        <v>241</v>
      </c>
      <c r="AK13" s="233">
        <v>43556</v>
      </c>
      <c r="AL13" s="4">
        <v>4</v>
      </c>
      <c r="AM13" s="4"/>
      <c r="AN13" s="429">
        <f t="shared" ref="AN13:AN15" si="9">$E$2</f>
        <v>47900</v>
      </c>
      <c r="AO13" s="430">
        <f t="shared" ref="AO13:AO24" si="10">IF(AND(AK13&lt;$AM$16),"",IF(AND(AK13&gt;$AM$17),"",AN13))</f>
        <v>47900</v>
      </c>
      <c r="AP13" s="18">
        <f t="shared" ref="AP13:AP23" si="11">ROUND(12%*AN13,0)</f>
        <v>5748</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247</v>
      </c>
      <c r="B14" s="211">
        <v>8</v>
      </c>
      <c r="C14" s="435">
        <f t="shared" si="0"/>
        <v>43739</v>
      </c>
      <c r="D14" s="235">
        <f t="shared" si="1"/>
        <v>49300</v>
      </c>
      <c r="E14" s="65">
        <f>IF(AND(Master!I$4=Master!AB$20),"",IF(AND(D14=""),"",ROUND(12%*D14,0)))</f>
        <v>5916</v>
      </c>
      <c r="F14" s="59">
        <f>IF(AND(Master!I$4=Master!AB$20),"",IF(AND(D14=""),"",ROUND(8%*D14,0)))</f>
        <v>3944</v>
      </c>
      <c r="G14" s="65" t="str">
        <f t="shared" si="2"/>
        <v/>
      </c>
      <c r="H14" s="65">
        <f t="shared" si="3"/>
        <v>600</v>
      </c>
      <c r="I14" s="198"/>
      <c r="J14" s="65" t="str">
        <f>IF(AND(C14=""),"",IF(AND($J$6=""),"",IF(AND(Master!$I$4=Master!$AB$20),"",$J$6)))</f>
        <v/>
      </c>
      <c r="K14" s="225" t="str">
        <f>IF(AND(C14=""),"",IF(AND(Master!I$4=Master!AB$20),"",IF(AND(Master!I$5=Master!AC$3),ROUND((D14+E14)*0.1,0),"")))</f>
        <v/>
      </c>
      <c r="L14" s="65" t="str">
        <f>IF(AND(C14=""),"",IF(AND($L$6=""),"",IF(AND(Master!$I$4=Master!$AB$20),"",$L$6)))</f>
        <v/>
      </c>
      <c r="M14" s="61">
        <f t="shared" si="4"/>
        <v>59760</v>
      </c>
      <c r="N14" s="65">
        <f>IF(AND(C14=""),"",IF(AND(Master!I$4=Master!AB$20),"",$N$6))</f>
        <v>4000</v>
      </c>
      <c r="O14" s="65">
        <f>IF(AND(C14=""),"",IF(AND(Master!I$4=Master!AB$20),"",IF(AND(Master!I$5=Master!AC$2),$O$6,"")))</f>
        <v>3575</v>
      </c>
      <c r="P14" s="225">
        <f>IF(AND(C14=""),"",IF(AND(Master!I$4=Master!AB$20),"",IF(AND(Master!I$5=Master!AC$3),"",IF(D14&lt;18001,242,IF(D14&lt;33501,402,IF(D14&lt;54001,602,800))))))</f>
        <v>602</v>
      </c>
      <c r="Q14" s="225" t="str">
        <f>IF(AND(C14=""),"",IF(AND(Master!I$4=Master!AB$20),"",IF(AND(Master!I$5=Master!AC$3),ROUND((D14+E14)*0.1,0),"")))</f>
        <v/>
      </c>
      <c r="R14" s="65">
        <f>IF(AND(C14=""),"",IF(AND($R$6=""),"",IF(AND(Master!$I$4=Master!$AB$20),"",$R$6)))</f>
        <v>2158</v>
      </c>
      <c r="S14" s="65" t="str">
        <f>IF(AND(C14=""),"",IF(AND($S$6=""),"",IF(AND(Master!$I$4=Master!$AB$20),"",$S$6)))</f>
        <v/>
      </c>
      <c r="T14" s="65" t="str">
        <f>IF(AND(C14=""),"",IF(AND($T$6=""),"",IF(AND(Master!$I$4=Master!$AB$20),"",$T$6)))</f>
        <v/>
      </c>
      <c r="U14" s="65" t="str">
        <f>IF(AND(C14=""),"",IF(AND($U$6=""),"",IF(AND(Master!$I$4=Master!$AB$20),"",$U$6)))</f>
        <v/>
      </c>
      <c r="V14" s="65">
        <f t="shared" si="5"/>
        <v>500</v>
      </c>
      <c r="W14" s="65"/>
      <c r="X14" s="65" t="str">
        <f t="shared" si="6"/>
        <v/>
      </c>
      <c r="Y14" s="31">
        <f t="shared" si="7"/>
        <v>10835</v>
      </c>
      <c r="Z14" s="30">
        <f t="shared" si="8"/>
        <v>48925</v>
      </c>
      <c r="AA14" s="8">
        <v>85964</v>
      </c>
      <c r="AB14" s="212">
        <v>43405</v>
      </c>
      <c r="AC14" s="18"/>
      <c r="AD14" s="18"/>
      <c r="AE14" s="18"/>
      <c r="AF14" s="18"/>
      <c r="AG14" s="18"/>
      <c r="AH14" s="18"/>
      <c r="AI14" s="18"/>
      <c r="AJ14" s="18" t="s">
        <v>242</v>
      </c>
      <c r="AK14" s="233">
        <v>43586</v>
      </c>
      <c r="AL14" s="4">
        <v>5</v>
      </c>
      <c r="AM14" s="4"/>
      <c r="AN14" s="429">
        <f t="shared" si="9"/>
        <v>47900</v>
      </c>
      <c r="AO14" s="430">
        <f t="shared" si="10"/>
        <v>47900</v>
      </c>
      <c r="AP14" s="18">
        <f t="shared" si="11"/>
        <v>5748</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248</v>
      </c>
      <c r="B15" s="211">
        <v>9</v>
      </c>
      <c r="C15" s="435">
        <f t="shared" si="0"/>
        <v>43770</v>
      </c>
      <c r="D15" s="235">
        <f t="shared" si="1"/>
        <v>49300</v>
      </c>
      <c r="E15" s="65">
        <f>IF(AND(Master!I$4=Master!AB$20),"",IF(AND(D15=""),"",ROUND(12%*D15,0)))</f>
        <v>5916</v>
      </c>
      <c r="F15" s="59">
        <f>IF(AND(Master!I$4=Master!AB$20),"",IF(AND(D15=""),"",ROUND(8%*D15,0)))</f>
        <v>3944</v>
      </c>
      <c r="G15" s="65" t="str">
        <f t="shared" si="2"/>
        <v/>
      </c>
      <c r="H15" s="65">
        <f t="shared" si="3"/>
        <v>600</v>
      </c>
      <c r="I15" s="198"/>
      <c r="J15" s="65" t="str">
        <f>IF(AND(C15=""),"",IF(AND($J$6=""),"",IF(AND(Master!$I$4=Master!$AB$20),"",$J$6)))</f>
        <v/>
      </c>
      <c r="K15" s="225" t="str">
        <f>IF(AND(C15=""),"",IF(AND(Master!I$4=Master!AB$20),"",IF(AND(Master!I$5=Master!AC$3),ROUND((D15+E15)*0.1,0),"")))</f>
        <v/>
      </c>
      <c r="L15" s="65" t="str">
        <f>IF(AND(C15=""),"",IF(AND($L$6=""),"",IF(AND(Master!$I$4=Master!$AB$20),"",$L$6)))</f>
        <v/>
      </c>
      <c r="M15" s="61">
        <f t="shared" si="4"/>
        <v>59760</v>
      </c>
      <c r="N15" s="65">
        <f>IF(AND(C15=""),"",IF(AND(Master!I$4=Master!AB$20),"",$N$6))</f>
        <v>4000</v>
      </c>
      <c r="O15" s="65">
        <f>IF(AND(C15=""),"",IF(AND(Master!I$4=Master!AB$20),"",IF(AND(Master!I$5=Master!AC$2),$O$6,"")))</f>
        <v>3575</v>
      </c>
      <c r="P15" s="225">
        <f>IF(AND(C15=""),"",IF(AND(Master!I$4=Master!AB$20),"",IF(AND(Master!I$5=Master!AC$3),"",IF(D15&lt;18001,242,IF(D15&lt;33501,402,IF(D15&lt;54001,602,800))))))</f>
        <v>602</v>
      </c>
      <c r="Q15" s="225" t="str">
        <f>IF(AND(C15=""),"",IF(AND(Master!I$4=Master!AB$20),"",IF(AND(Master!I$5=Master!AC$3),ROUND((D15+E15)*0.1,0),"")))</f>
        <v/>
      </c>
      <c r="R15" s="65">
        <f>IF(AND(C15=""),"",IF(AND($R$6=""),"",IF(AND(Master!$I$4=Master!$AB$20),"",$R$6)))</f>
        <v>2158</v>
      </c>
      <c r="S15" s="65" t="str">
        <f>IF(AND(C15=""),"",IF(AND($S$6=""),"",IF(AND(Master!$I$4=Master!$AB$20),"",$S$6)))</f>
        <v/>
      </c>
      <c r="T15" s="65" t="str">
        <f>IF(AND(C15=""),"",IF(AND($T$6=""),"",IF(AND(Master!$I$4=Master!$AB$20),"",$T$6)))</f>
        <v/>
      </c>
      <c r="U15" s="65" t="str">
        <f>IF(AND(C15=""),"",IF(AND($U$6=""),"",IF(AND(Master!$I$4=Master!$AB$20),"",$U$6)))</f>
        <v/>
      </c>
      <c r="V15" s="65">
        <f t="shared" si="5"/>
        <v>500</v>
      </c>
      <c r="W15" s="65"/>
      <c r="X15" s="65" t="str">
        <f t="shared" si="6"/>
        <v/>
      </c>
      <c r="Y15" s="31">
        <f t="shared" si="7"/>
        <v>10835</v>
      </c>
      <c r="Z15" s="30">
        <f t="shared" si="8"/>
        <v>48925</v>
      </c>
      <c r="AA15" s="8">
        <v>96129</v>
      </c>
      <c r="AB15" s="212">
        <v>43438</v>
      </c>
      <c r="AC15" s="18"/>
      <c r="AD15" s="18"/>
      <c r="AE15" s="18"/>
      <c r="AF15" s="18"/>
      <c r="AG15" s="18"/>
      <c r="AH15" s="18"/>
      <c r="AI15" s="18"/>
      <c r="AJ15" s="18" t="s">
        <v>243</v>
      </c>
      <c r="AK15" s="233">
        <v>43617</v>
      </c>
      <c r="AL15" s="4">
        <v>6</v>
      </c>
      <c r="AM15" s="420">
        <f>IF(AND(E2=""),"",E2)</f>
        <v>47900</v>
      </c>
      <c r="AN15" s="429">
        <f t="shared" si="9"/>
        <v>47900</v>
      </c>
      <c r="AO15" s="430">
        <f t="shared" si="10"/>
        <v>47900</v>
      </c>
      <c r="AP15" s="18">
        <f t="shared" si="11"/>
        <v>5748</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249</v>
      </c>
      <c r="B16" s="211">
        <v>10</v>
      </c>
      <c r="C16" s="435">
        <f t="shared" si="0"/>
        <v>43800</v>
      </c>
      <c r="D16" s="235">
        <f t="shared" si="1"/>
        <v>49300</v>
      </c>
      <c r="E16" s="65">
        <f>IF(AND(Master!I$4=Master!AB$20),"",IF(AND(D16=""),"",ROUND(12%*D16,0)))</f>
        <v>5916</v>
      </c>
      <c r="F16" s="59">
        <f>IF(AND(Master!I$4=Master!AB$20),"",IF(AND(D16=""),"",ROUND(8%*D16,0)))</f>
        <v>3944</v>
      </c>
      <c r="G16" s="65" t="str">
        <f t="shared" si="2"/>
        <v/>
      </c>
      <c r="H16" s="65">
        <f t="shared" si="3"/>
        <v>600</v>
      </c>
      <c r="I16" s="198"/>
      <c r="J16" s="65" t="str">
        <f>IF(AND(C16=""),"",IF(AND($J$6=""),"",IF(AND(Master!$I$4=Master!$AB$20),"",$J$6)))</f>
        <v/>
      </c>
      <c r="K16" s="225" t="str">
        <f>IF(AND(C16=""),"",IF(AND(Master!I$4=Master!AB$20),"",IF(AND(Master!I$5=Master!AC$3),ROUND((D16+E16)*0.1,0),"")))</f>
        <v/>
      </c>
      <c r="L16" s="65" t="str">
        <f>IF(AND(C16=""),"",IF(AND($L$6=""),"",IF(AND(Master!$I$4=Master!$AB$20),"",$L$6)))</f>
        <v/>
      </c>
      <c r="M16" s="61">
        <f t="shared" si="4"/>
        <v>59760</v>
      </c>
      <c r="N16" s="65">
        <f>IF(AND(C16=""),"",IF(AND(Master!I$4=Master!AB$20),"",$N$6))</f>
        <v>4000</v>
      </c>
      <c r="O16" s="65">
        <f>IF(AND(C16=""),"",IF(AND(Master!I$4=Master!AB$20),"",IF(AND(Master!I$5=Master!AC$2),$O$6,"")))</f>
        <v>3575</v>
      </c>
      <c r="P16" s="225">
        <f>IF(AND(C16=""),"",IF(AND(Master!I$4=Master!AB$20),"",IF(AND(Master!I$5=Master!AC$3),"",IF(D16&lt;18001,242,IF(D16&lt;33501,402,IF(D16&lt;54001,602,800))))))</f>
        <v>602</v>
      </c>
      <c r="Q16" s="225" t="str">
        <f>IF(AND(C16=""),"",IF(AND(Master!I$4=Master!AB$20),"",IF(AND(Master!I$5=Master!AC$3),ROUND((D16+E16)*0.1,0),"")))</f>
        <v/>
      </c>
      <c r="R16" s="65">
        <f>IF(AND(C16=""),"",IF(AND($R$6=""),"",IF(AND(Master!$I$4=Master!$AB$20),"",$R$6)))</f>
        <v>2158</v>
      </c>
      <c r="S16" s="65" t="str">
        <f>IF(AND(C16=""),"",IF(AND($S$6=""),"",IF(AND(Master!$I$4=Master!$AB$20),"",$S$6)))</f>
        <v/>
      </c>
      <c r="T16" s="65" t="str">
        <f>IF(AND(C16=""),"",IF(AND($T$6=""),"",IF(AND(Master!$I$4=Master!$AB$20),"",$T$6)))</f>
        <v/>
      </c>
      <c r="U16" s="65" t="str">
        <f>IF(AND(C16=""),"",IF(AND($U$6=""),"",IF(AND(Master!$I$4=Master!$AB$20),"",$U$6)))</f>
        <v/>
      </c>
      <c r="V16" s="65">
        <f t="shared" si="5"/>
        <v>500</v>
      </c>
      <c r="W16" s="65"/>
      <c r="X16" s="65" t="str">
        <f t="shared" si="6"/>
        <v/>
      </c>
      <c r="Y16" s="31">
        <f t="shared" si="7"/>
        <v>10835</v>
      </c>
      <c r="Z16" s="30">
        <f t="shared" si="8"/>
        <v>48925</v>
      </c>
      <c r="AA16" s="8">
        <v>103672</v>
      </c>
      <c r="AB16" s="212">
        <v>43466</v>
      </c>
      <c r="AC16" s="18"/>
      <c r="AD16" s="18"/>
      <c r="AE16" s="18"/>
      <c r="AF16" s="18"/>
      <c r="AG16" s="18"/>
      <c r="AH16" s="18"/>
      <c r="AI16" s="18"/>
      <c r="AJ16" s="18" t="s">
        <v>244</v>
      </c>
      <c r="AK16" s="233">
        <v>43647</v>
      </c>
      <c r="AL16" s="4">
        <v>7</v>
      </c>
      <c r="AM16" s="234">
        <f>E3</f>
        <v>43525</v>
      </c>
      <c r="AN16" s="358">
        <f>MROUND(AM15*1.03,100)</f>
        <v>49300</v>
      </c>
      <c r="AO16" s="430">
        <f t="shared" si="10"/>
        <v>49300</v>
      </c>
      <c r="AP16" s="18">
        <f t="shared" si="11"/>
        <v>5916</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250</v>
      </c>
      <c r="B17" s="211">
        <v>11</v>
      </c>
      <c r="C17" s="435">
        <f t="shared" si="0"/>
        <v>43831</v>
      </c>
      <c r="D17" s="235">
        <f t="shared" si="1"/>
        <v>49300</v>
      </c>
      <c r="E17" s="65">
        <f>IF(AND(Master!I$4=Master!AB$20),"",IF(AND(D17=""),"",ROUND(12%*D17,0)))</f>
        <v>5916</v>
      </c>
      <c r="F17" s="59">
        <f>IF(AND(Master!I$4=Master!AB$20),"",IF(AND(D17=""),"",ROUND(8%*D17,0)))</f>
        <v>3944</v>
      </c>
      <c r="G17" s="65" t="str">
        <f t="shared" si="2"/>
        <v/>
      </c>
      <c r="H17" s="65">
        <f t="shared" si="3"/>
        <v>600</v>
      </c>
      <c r="I17" s="198"/>
      <c r="J17" s="65" t="str">
        <f>IF(AND(C17=""),"",IF(AND($J$6=""),"",IF(AND(Master!$I$4=Master!$AB$20),"",$J$6)))</f>
        <v/>
      </c>
      <c r="K17" s="225" t="str">
        <f>IF(AND(C17=""),"",IF(AND(Master!I$4=Master!AB$20),"",IF(AND(Master!I$5=Master!AC$3),ROUND((D17+E17)*0.1,0),"")))</f>
        <v/>
      </c>
      <c r="L17" s="65" t="str">
        <f>IF(AND(C17=""),"",IF(AND($L$6=""),"",IF(AND(Master!$I$4=Master!$AB$20),"",$L$6)))</f>
        <v/>
      </c>
      <c r="M17" s="61">
        <f t="shared" si="4"/>
        <v>59760</v>
      </c>
      <c r="N17" s="65">
        <f>IF(AND(C17=""),"",IF(AND(Master!I$4=Master!AB$20),"",$N$6))</f>
        <v>4000</v>
      </c>
      <c r="O17" s="65">
        <f>IF(AND(C17=""),"",IF(AND(Master!I$4=Master!AB$20),"",IF(AND(Master!I$5=Master!AC$2),$O$6,"")))</f>
        <v>3575</v>
      </c>
      <c r="P17" s="225">
        <f>IF(AND(C17=""),"",IF(AND(Master!I$4=Master!AB$20),"",IF(AND(Master!I$5=Master!AC$3),"",IF(D17&lt;18001,242,IF(D17&lt;33501,402,IF(D17&lt;54001,602,800))))))</f>
        <v>602</v>
      </c>
      <c r="Q17" s="225" t="str">
        <f>IF(AND(C17=""),"",IF(AND(Master!I$4=Master!AB$20),"",IF(AND(Master!I$5=Master!AC$3),ROUND((D17+E17)*0.1,0),"")))</f>
        <v/>
      </c>
      <c r="R17" s="65">
        <f>IF(AND(C17=""),"",IF(AND($R$6=""),"",IF(AND(Master!$I$4=Master!$AB$20),"",$R$6)))</f>
        <v>2158</v>
      </c>
      <c r="S17" s="65" t="str">
        <f>IF(AND(C17=""),"",IF(AND($S$6=""),"",IF(AND(Master!$I$4=Master!$AB$20),"",$S$6)))</f>
        <v/>
      </c>
      <c r="T17" s="65" t="str">
        <f>IF(AND(C17=""),"",IF(AND($T$6=""),"",IF(AND(Master!$I$4=Master!$AB$20),"",$T$6)))</f>
        <v/>
      </c>
      <c r="U17" s="65" t="str">
        <f>IF(AND(C17=""),"",IF(AND($U$6=""),"",IF(AND(Master!$I$4=Master!$AB$20),"",$U$6)))</f>
        <v/>
      </c>
      <c r="V17" s="65">
        <f t="shared" si="5"/>
        <v>500</v>
      </c>
      <c r="W17" s="65"/>
      <c r="X17" s="65" t="str">
        <f t="shared" si="6"/>
        <v/>
      </c>
      <c r="Y17" s="31">
        <f t="shared" si="7"/>
        <v>10835</v>
      </c>
      <c r="Z17" s="30">
        <f t="shared" si="8"/>
        <v>48925</v>
      </c>
      <c r="AA17" s="8">
        <v>112250</v>
      </c>
      <c r="AB17" s="212">
        <v>43497</v>
      </c>
      <c r="AC17" s="18"/>
      <c r="AD17" s="18"/>
      <c r="AE17" s="18"/>
      <c r="AF17" s="18"/>
      <c r="AG17" s="18"/>
      <c r="AH17" s="18"/>
      <c r="AI17" s="18"/>
      <c r="AJ17" s="18" t="s">
        <v>245</v>
      </c>
      <c r="AK17" s="233">
        <v>43678</v>
      </c>
      <c r="AL17" s="4">
        <v>8</v>
      </c>
      <c r="AM17" s="234">
        <f>J3</f>
        <v>43862</v>
      </c>
      <c r="AN17" s="358">
        <f>$AN$16</f>
        <v>49300</v>
      </c>
      <c r="AO17" s="430">
        <f t="shared" si="10"/>
        <v>49300</v>
      </c>
      <c r="AP17" s="18">
        <f t="shared" si="11"/>
        <v>5916</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251</v>
      </c>
      <c r="B18" s="211">
        <v>12</v>
      </c>
      <c r="C18" s="435">
        <f t="shared" si="0"/>
        <v>43862</v>
      </c>
      <c r="D18" s="235">
        <f t="shared" si="1"/>
        <v>49300</v>
      </c>
      <c r="E18" s="65">
        <f>IF(AND(Master!I$4=Master!AB$20),"",IF(AND(D18=""),"",ROUND(12%*D18,0)))</f>
        <v>5916</v>
      </c>
      <c r="F18" s="59">
        <f>IF(AND(Master!I$4=Master!AB$20),"",IF(AND(D18=""),"",ROUND(8%*D18,0)))</f>
        <v>3944</v>
      </c>
      <c r="G18" s="65" t="str">
        <f t="shared" si="2"/>
        <v/>
      </c>
      <c r="H18" s="65">
        <f t="shared" si="3"/>
        <v>600</v>
      </c>
      <c r="I18" s="198"/>
      <c r="J18" s="65" t="str">
        <f>IF(AND(C18=""),"",IF(AND($J$6=""),"",IF(AND(Master!$I$4=Master!$AB$20),"",$J$6)))</f>
        <v/>
      </c>
      <c r="K18" s="225" t="str">
        <f>IF(AND(C18=""),"",IF(AND(Master!I$4=Master!AB$20),"",IF(AND(Master!I$5=Master!AC$3),ROUND((D18+E18)*0.1,0),"")))</f>
        <v/>
      </c>
      <c r="L18" s="65" t="str">
        <f>IF(AND(C18=""),"",IF(AND(L17=""),"",IF(AND(Master!$I$4=Master!$AB$20),"",L17)))</f>
        <v/>
      </c>
      <c r="M18" s="61">
        <f t="shared" si="4"/>
        <v>59760</v>
      </c>
      <c r="N18" s="65">
        <f>IF(AND(C18=""),"",IF(AND(Master!I$4=Master!AB$20),"",$N$6))</f>
        <v>4000</v>
      </c>
      <c r="O18" s="65">
        <f>IF(AND(C18=""),"",IF(AND(Master!I$4=Master!AB$20),"",IF(AND(Master!I$5=Master!AC$2),$O$6,"")))</f>
        <v>3575</v>
      </c>
      <c r="P18" s="225">
        <f>IF(AND(C18=""),"",IF(AND(Master!I$4=Master!AB$20),"",IF(AND(Master!I$5=Master!AC$3),"",IF(D18&lt;18001,242,IF(D18&lt;33501,402,IF(D18&lt;54001,602,800))))))</f>
        <v>602</v>
      </c>
      <c r="Q18" s="225" t="str">
        <f>IF(AND(C18=""),"",IF(AND(Master!I$4=Master!AB$20),"",IF(AND(Master!I$5=Master!AC$3),ROUND((D18+E18)*0.1,0),"")))</f>
        <v/>
      </c>
      <c r="R18" s="65">
        <f>IF(AND(C18=""),"",IF(AND($R$6=""),"",IF(AND(Master!$I$4=Master!$AB$20),"",$R$6)))</f>
        <v>2158</v>
      </c>
      <c r="S18" s="65" t="str">
        <f>IF(AND(C18=""),"",IF(AND($S$6=""),"",IF(AND(Master!$I$4=Master!$AB$20),"",$S$6)))</f>
        <v/>
      </c>
      <c r="T18" s="65" t="str">
        <f>IF(AND(C18=""),"",IF(AND($T$6=""),"",IF(AND(Master!$I$4=Master!$AB$20),"",$T$6)))</f>
        <v/>
      </c>
      <c r="U18" s="65" t="str">
        <f>IF(AND(C18=""),"",IF(AND($U$6=""),"",IF(AND(Master!$I$4=Master!$AB$20),"",$U$6)))</f>
        <v/>
      </c>
      <c r="V18" s="65">
        <f t="shared" si="5"/>
        <v>500</v>
      </c>
      <c r="W18" s="65"/>
      <c r="X18" s="65" t="str">
        <f>IF(AND(C18=""),"",IF(AND($X$6=""),"",$X$6))</f>
        <v/>
      </c>
      <c r="Y18" s="31">
        <f t="shared" si="7"/>
        <v>10835</v>
      </c>
      <c r="Z18" s="30">
        <f t="shared" si="8"/>
        <v>48925</v>
      </c>
      <c r="AA18" s="8">
        <v>121924</v>
      </c>
      <c r="AB18" s="212">
        <v>43525</v>
      </c>
      <c r="AC18" s="58"/>
      <c r="AD18" s="18"/>
      <c r="AE18" s="18"/>
      <c r="AF18" s="18"/>
      <c r="AG18" s="18"/>
      <c r="AH18" s="18"/>
      <c r="AI18" s="18"/>
      <c r="AJ18" s="18" t="s">
        <v>246</v>
      </c>
      <c r="AK18" s="233">
        <v>43709</v>
      </c>
      <c r="AL18" s="4">
        <v>9</v>
      </c>
      <c r="AM18" s="4">
        <f>IF(AND(AM15=""),"",MROUND(AM15*1.03,100))</f>
        <v>49300</v>
      </c>
      <c r="AN18" s="358">
        <f t="shared" ref="AN18:AN23" si="12">$AN$16</f>
        <v>49300</v>
      </c>
      <c r="AO18" s="430">
        <f t="shared" si="10"/>
        <v>49300</v>
      </c>
      <c r="AP18" s="18">
        <f t="shared" si="11"/>
        <v>5916</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v>86074</v>
      </c>
      <c r="AB19" s="416">
        <v>43405</v>
      </c>
      <c r="AC19" s="19"/>
      <c r="AD19" s="19"/>
      <c r="AE19" s="19"/>
      <c r="AF19" s="19"/>
      <c r="AG19" s="19"/>
      <c r="AH19" s="19"/>
      <c r="AI19" s="19"/>
      <c r="AJ19" s="18" t="s">
        <v>247</v>
      </c>
      <c r="AK19" s="233">
        <v>43739</v>
      </c>
      <c r="AL19" s="4">
        <v>10</v>
      </c>
      <c r="AM19" s="4"/>
      <c r="AN19" s="358">
        <f t="shared" si="12"/>
        <v>49300</v>
      </c>
      <c r="AO19" s="430">
        <f t="shared" si="10"/>
        <v>49300</v>
      </c>
      <c r="AP19" s="18">
        <f t="shared" si="11"/>
        <v>5916</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1">
        <v>14</v>
      </c>
      <c r="C20" s="435" t="s">
        <v>508</v>
      </c>
      <c r="D20" s="424">
        <f>IF(AND(Master!I4=Master!AB20),"",IF(Master!E2="NO",0,VLOOKUP(Master!I2,Bills!AJ12:AP24,5,0))/2)</f>
        <v>24650</v>
      </c>
      <c r="E20" s="59">
        <f>IF(AND(Master!I4=Master!AB20),"",IF(Master!E2="NO",0,VLOOKUP(Master!I2,Bills!AJ12:AP24,7,0))/2)</f>
        <v>2958</v>
      </c>
      <c r="F20" s="236"/>
      <c r="G20" s="226"/>
      <c r="H20" s="226"/>
      <c r="I20" s="226"/>
      <c r="J20" s="226"/>
      <c r="K20" s="225"/>
      <c r="L20" s="226"/>
      <c r="M20" s="61">
        <f t="shared" si="4"/>
        <v>27608</v>
      </c>
      <c r="N20" s="226"/>
      <c r="O20" s="225"/>
      <c r="P20" s="225"/>
      <c r="Q20" s="225"/>
      <c r="R20" s="226"/>
      <c r="S20" s="226"/>
      <c r="T20" s="226"/>
      <c r="U20" s="226"/>
      <c r="V20" s="227"/>
      <c r="W20" s="226"/>
      <c r="X20" s="238"/>
      <c r="Y20" s="31">
        <f t="shared" si="7"/>
        <v>0</v>
      </c>
      <c r="Z20" s="30">
        <f t="shared" si="8"/>
        <v>27608</v>
      </c>
      <c r="AA20" s="5"/>
      <c r="AB20" s="214"/>
      <c r="AC20" s="20"/>
      <c r="AD20" s="20"/>
      <c r="AE20" s="20"/>
      <c r="AF20" s="20"/>
      <c r="AG20" s="20"/>
      <c r="AH20" s="20"/>
      <c r="AI20" s="20"/>
      <c r="AJ20" s="18" t="s">
        <v>248</v>
      </c>
      <c r="AK20" s="233">
        <v>43770</v>
      </c>
      <c r="AL20" s="4">
        <v>11</v>
      </c>
      <c r="AM20" s="4"/>
      <c r="AN20" s="358">
        <f t="shared" si="12"/>
        <v>49300</v>
      </c>
      <c r="AO20" s="430">
        <f t="shared" si="10"/>
        <v>49300</v>
      </c>
      <c r="AP20" s="18">
        <f t="shared" si="11"/>
        <v>5916</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1">
        <v>15</v>
      </c>
      <c r="C21" s="421" t="s">
        <v>511</v>
      </c>
      <c r="D21" s="56"/>
      <c r="E21" s="65">
        <f>IF(AND(Master!I4=Master!AB20),"",(ROUND(12%*AN12,0)-ROUND(9%*AN12,0))*2)</f>
        <v>2874</v>
      </c>
      <c r="F21" s="236"/>
      <c r="G21" s="226"/>
      <c r="H21" s="226"/>
      <c r="I21" s="226"/>
      <c r="J21" s="226"/>
      <c r="K21" s="225" t="str">
        <f>IF(AND(C21=""),"",IF(AND(Master!I$4=Master!AB$20),"",IF(AND(Master!I$5=Master!AC$3),ROUND((D21+E21)*0.1,0),"")))</f>
        <v/>
      </c>
      <c r="L21" s="226"/>
      <c r="M21" s="61">
        <f t="shared" si="4"/>
        <v>2874</v>
      </c>
      <c r="N21" s="226"/>
      <c r="O21" s="225">
        <f>IF(AND(Master!I5=Master!AC$2),Bills!E21,"")</f>
        <v>2874</v>
      </c>
      <c r="P21" s="225"/>
      <c r="Q21" s="225" t="str">
        <f>IF(AND(C21=""),"",IF(AND(Master!I$4=Master!AB$20),"",IF(AND(Master!I$5=Master!AC$3),ROUND((D21+E21)*0.1,0),"")))</f>
        <v/>
      </c>
      <c r="R21" s="226"/>
      <c r="S21" s="226"/>
      <c r="T21" s="226"/>
      <c r="U21" s="226"/>
      <c r="V21" s="227"/>
      <c r="W21" s="226"/>
      <c r="X21" s="238"/>
      <c r="Y21" s="31">
        <f t="shared" si="7"/>
        <v>2874</v>
      </c>
      <c r="Z21" s="30">
        <f t="shared" si="8"/>
        <v>0</v>
      </c>
      <c r="AA21" s="5">
        <v>64494</v>
      </c>
      <c r="AB21" s="415">
        <v>43388</v>
      </c>
      <c r="AC21" s="20"/>
      <c r="AD21" s="20"/>
      <c r="AE21" s="20"/>
      <c r="AF21" s="20"/>
      <c r="AG21" s="20"/>
      <c r="AH21" s="20"/>
      <c r="AI21" s="20"/>
      <c r="AJ21" s="18" t="s">
        <v>249</v>
      </c>
      <c r="AK21" s="233">
        <v>43800</v>
      </c>
      <c r="AL21" s="4">
        <v>12</v>
      </c>
      <c r="AM21" s="4"/>
      <c r="AN21" s="358">
        <f t="shared" si="12"/>
        <v>49300</v>
      </c>
      <c r="AO21" s="430">
        <f t="shared" si="10"/>
        <v>49300</v>
      </c>
      <c r="AP21" s="18">
        <f t="shared" si="11"/>
        <v>5916</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1">
        <v>16</v>
      </c>
      <c r="C22" s="421" t="s">
        <v>512</v>
      </c>
      <c r="D22" s="65"/>
      <c r="E22" s="65"/>
      <c r="F22" s="236"/>
      <c r="G22" s="237"/>
      <c r="H22" s="237"/>
      <c r="I22" s="237"/>
      <c r="J22" s="371"/>
      <c r="K22" s="225" t="str">
        <f>IF(AND(C22=""),"",IF(AND(Master!I$4=Master!AB$20),"",IF(AND(Master!I$5=Master!AC$3),ROUND((D22+E22)*0.1,0),"")))</f>
        <v/>
      </c>
      <c r="L22" s="371"/>
      <c r="M22" s="61">
        <f t="shared" si="4"/>
        <v>0</v>
      </c>
      <c r="N22" s="371"/>
      <c r="O22" s="225">
        <f>IF(AND(Master!I5=Master!AC$2),Bills!E22,"")</f>
        <v>0</v>
      </c>
      <c r="P22" s="370"/>
      <c r="Q22" s="225" t="str">
        <f>IF(AND(C22=""),"",IF(AND(Master!I$4=Master!AB$20),"",IF(AND(Master!I$5=Master!AC$3),ROUND((D22+E22)*0.1,0),"")))</f>
        <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250</v>
      </c>
      <c r="AK22" s="233">
        <v>43831</v>
      </c>
      <c r="AL22" s="4">
        <v>1</v>
      </c>
      <c r="AM22" s="4"/>
      <c r="AN22" s="358">
        <f t="shared" si="12"/>
        <v>49300</v>
      </c>
      <c r="AO22" s="430">
        <f t="shared" si="10"/>
        <v>49300</v>
      </c>
      <c r="AP22" s="18">
        <f t="shared" si="11"/>
        <v>5916</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1">
        <v>17</v>
      </c>
      <c r="C23" s="402" t="s">
        <v>510</v>
      </c>
      <c r="D23" s="66"/>
      <c r="E23" s="66"/>
      <c r="F23" s="64"/>
      <c r="G23" s="64"/>
      <c r="H23" s="64"/>
      <c r="I23" s="64"/>
      <c r="J23" s="64"/>
      <c r="K23" s="235" t="str">
        <f>IF(AND(C23=""),"",IF(AND(Master!I$4=Master!AB$20),"",IF(AND(Master!I$5=Master!AC$3),ROUND((D23+E23)*0.1,0),"")))</f>
        <v/>
      </c>
      <c r="L23" s="59"/>
      <c r="M23" s="61">
        <f t="shared" si="4"/>
        <v>0</v>
      </c>
      <c r="N23" s="275"/>
      <c r="O23" s="66"/>
      <c r="P23" s="65"/>
      <c r="Q23" s="235" t="str">
        <f>IF(AND(C23=""),"",IF(AND(Master!I$4=Master!AB$20),"",IF(AND(Master!I$5=Master!AC$3),ROUND((D23+E23)*0.1,0),"")))</f>
        <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251</v>
      </c>
      <c r="AK23" s="233">
        <v>43862</v>
      </c>
      <c r="AL23" s="4">
        <v>2</v>
      </c>
      <c r="AM23" s="4"/>
      <c r="AN23" s="358">
        <f t="shared" si="12"/>
        <v>49300</v>
      </c>
      <c r="AO23" s="430">
        <f t="shared" si="10"/>
        <v>49300</v>
      </c>
      <c r="AP23" s="18">
        <f t="shared" si="11"/>
        <v>5916</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1">
        <v>18</v>
      </c>
      <c r="C24" s="402" t="s">
        <v>509</v>
      </c>
      <c r="D24" s="66"/>
      <c r="E24" s="66"/>
      <c r="F24" s="64"/>
      <c r="G24" s="66"/>
      <c r="H24" s="66"/>
      <c r="I24" s="66"/>
      <c r="J24" s="66"/>
      <c r="K24" s="235" t="str">
        <f>IF(AND(C24=""),"",IF(AND(Master!I$4=Master!AB$20),"",IF(AND(Master!I$5=Master!AC$3),ROUND((D24+E24)*0.1,0),"")))</f>
        <v/>
      </c>
      <c r="L24" s="66"/>
      <c r="M24" s="61">
        <f t="shared" si="4"/>
        <v>0</v>
      </c>
      <c r="N24" s="275"/>
      <c r="O24" s="66"/>
      <c r="P24" s="65"/>
      <c r="Q24" s="235" t="str">
        <f>IF(AND(C24=""),"",IF(AND(Master!I$4=Master!AB$20),"",IF(AND(Master!I$5=Master!AC$3),ROUND((D24+E24)*0.1,0),"")))</f>
        <v/>
      </c>
      <c r="R24" s="237"/>
      <c r="S24" s="237"/>
      <c r="T24" s="237"/>
      <c r="U24" s="237"/>
      <c r="V24" s="59"/>
      <c r="W24" s="237"/>
      <c r="X24" s="228"/>
      <c r="Y24" s="31">
        <f t="shared" si="7"/>
        <v>0</v>
      </c>
      <c r="Z24" s="30">
        <f t="shared" si="8"/>
        <v>0</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B1:D1"/>
    <mergeCell ref="B2:D2"/>
    <mergeCell ref="B3:D3"/>
    <mergeCell ref="E1:H1"/>
    <mergeCell ref="D5:D6"/>
    <mergeCell ref="E5:E6"/>
    <mergeCell ref="F5:F6"/>
    <mergeCell ref="G3:I3"/>
    <mergeCell ref="E3:F3"/>
    <mergeCell ref="E2:F2"/>
    <mergeCell ref="C5:C6"/>
    <mergeCell ref="B5:B6"/>
    <mergeCell ref="K5:K6"/>
    <mergeCell ref="J3:K3"/>
    <mergeCell ref="L3:T3"/>
    <mergeCell ref="AD4:AI6"/>
    <mergeCell ref="I5:I6"/>
    <mergeCell ref="Q5:Q6"/>
    <mergeCell ref="AA5:AA6"/>
    <mergeCell ref="AB5:AB6"/>
    <mergeCell ref="Y5:Y6"/>
    <mergeCell ref="Z5:Z6"/>
    <mergeCell ref="M5:M6"/>
    <mergeCell ref="P5:P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J11" sqref="J11"/>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49" t="s">
        <v>60</v>
      </c>
      <c r="F2" s="549"/>
      <c r="G2" s="549"/>
      <c r="H2" s="549"/>
      <c r="I2" s="549"/>
      <c r="J2" s="549"/>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50" t="s">
        <v>271</v>
      </c>
      <c r="F3" s="550"/>
      <c r="G3" s="550"/>
      <c r="H3" s="550"/>
      <c r="I3" s="550"/>
      <c r="J3" s="550"/>
      <c r="K3" s="42"/>
      <c r="L3" s="42"/>
      <c r="M3" s="42"/>
      <c r="N3" s="42"/>
      <c r="O3" s="42"/>
      <c r="P3" s="42"/>
      <c r="Q3" s="42"/>
      <c r="R3" s="42"/>
      <c r="S3" s="42"/>
      <c r="T3" s="42"/>
      <c r="U3" s="42"/>
      <c r="V3" s="42"/>
      <c r="W3" s="42"/>
      <c r="X3" s="42"/>
      <c r="Y3" s="42"/>
      <c r="Z3" s="42"/>
      <c r="AA3" s="42"/>
      <c r="AB3" s="42"/>
      <c r="AC3" s="42"/>
      <c r="AD3" s="43"/>
      <c r="AE3" s="43"/>
      <c r="AF3" s="43"/>
      <c r="AG3" s="43"/>
      <c r="AH3" s="222"/>
      <c r="AI3" s="12"/>
      <c r="AO3" s="124" t="s">
        <v>358</v>
      </c>
    </row>
    <row r="4" spans="1:41" ht="22.5" customHeight="1">
      <c r="A4" s="43"/>
      <c r="B4" s="43"/>
      <c r="C4" s="43"/>
      <c r="D4" s="43"/>
      <c r="E4" s="550"/>
      <c r="F4" s="550"/>
      <c r="G4" s="550"/>
      <c r="H4" s="550"/>
      <c r="I4" s="550"/>
      <c r="J4" s="550"/>
      <c r="K4" s="42"/>
      <c r="L4" s="42"/>
      <c r="M4" s="42"/>
      <c r="N4" s="42"/>
      <c r="O4" s="42"/>
      <c r="P4" s="42"/>
      <c r="Q4" s="42"/>
      <c r="R4" s="42"/>
      <c r="S4" s="42"/>
      <c r="T4" s="42"/>
      <c r="U4" s="42"/>
      <c r="V4" s="42"/>
      <c r="W4" s="42"/>
      <c r="X4" s="42"/>
      <c r="Y4" s="42"/>
      <c r="Z4" s="42"/>
      <c r="AA4" s="42"/>
      <c r="AB4" s="42"/>
      <c r="AC4" s="42"/>
      <c r="AD4" s="43"/>
      <c r="AE4" s="43"/>
      <c r="AF4" s="43"/>
      <c r="AG4" s="43"/>
      <c r="AH4" s="222"/>
      <c r="AI4" s="12"/>
      <c r="AO4" s="124" t="s">
        <v>236</v>
      </c>
    </row>
    <row r="5" spans="1:41" ht="42" customHeight="1">
      <c r="A5" s="43"/>
      <c r="B5" s="43"/>
      <c r="C5" s="43"/>
      <c r="D5" s="43"/>
      <c r="E5" s="223" t="s">
        <v>359</v>
      </c>
      <c r="F5" s="224" t="s">
        <v>236</v>
      </c>
      <c r="G5" s="319" t="str">
        <f>IF(AND(F5=""),"0",IF(AND(F5=AO4),"0",G32))</f>
        <v>0</v>
      </c>
      <c r="H5" s="536" t="s">
        <v>294</v>
      </c>
      <c r="I5" s="53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52" t="s">
        <v>260</v>
      </c>
      <c r="F6" s="553"/>
      <c r="G6" s="114"/>
      <c r="H6" s="534" t="s">
        <v>273</v>
      </c>
      <c r="I6" s="535"/>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54" t="s">
        <v>261</v>
      </c>
      <c r="F7" s="555"/>
      <c r="G7" s="114"/>
      <c r="H7" s="536" t="s">
        <v>285</v>
      </c>
      <c r="I7" s="53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56" t="s">
        <v>256</v>
      </c>
      <c r="F8" s="557"/>
      <c r="G8" s="114"/>
      <c r="H8" s="562" t="s">
        <v>274</v>
      </c>
      <c r="I8" s="563"/>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54" t="s">
        <v>257</v>
      </c>
      <c r="F9" s="555"/>
      <c r="G9" s="114"/>
      <c r="H9" s="536" t="s">
        <v>275</v>
      </c>
      <c r="I9" s="53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58" t="s">
        <v>356</v>
      </c>
      <c r="F10" s="559"/>
      <c r="G10" s="114"/>
      <c r="H10" s="534" t="s">
        <v>286</v>
      </c>
      <c r="I10" s="535"/>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60" t="s">
        <v>357</v>
      </c>
      <c r="F11" s="561"/>
      <c r="G11" s="114"/>
      <c r="H11" s="536" t="s">
        <v>276</v>
      </c>
      <c r="I11" s="53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30" t="s">
        <v>543</v>
      </c>
      <c r="F12" s="531"/>
      <c r="G12" s="114"/>
      <c r="H12" s="534" t="s">
        <v>277</v>
      </c>
      <c r="I12" s="535"/>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2" t="s">
        <v>262</v>
      </c>
      <c r="F13" s="112"/>
      <c r="G13" s="114"/>
      <c r="H13" s="536" t="s">
        <v>278</v>
      </c>
      <c r="I13" s="53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3" t="s">
        <v>263</v>
      </c>
      <c r="F14" s="113"/>
      <c r="G14" s="114"/>
      <c r="H14" s="534" t="s">
        <v>279</v>
      </c>
      <c r="I14" s="535"/>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2" t="s">
        <v>258</v>
      </c>
      <c r="F15" s="112"/>
      <c r="G15" s="114"/>
      <c r="H15" s="536" t="s">
        <v>280</v>
      </c>
      <c r="I15" s="53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3" t="s">
        <v>264</v>
      </c>
      <c r="F16" s="113"/>
      <c r="G16" s="114"/>
      <c r="H16" s="534" t="s">
        <v>281</v>
      </c>
      <c r="I16" s="535"/>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2" t="s">
        <v>259</v>
      </c>
      <c r="F17" s="112"/>
      <c r="G17" s="114"/>
      <c r="H17" s="311" t="s">
        <v>418</v>
      </c>
      <c r="I17" s="224" t="s">
        <v>236</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3" t="s">
        <v>265</v>
      </c>
      <c r="F18" s="113"/>
      <c r="G18" s="114"/>
      <c r="H18" s="534" t="s">
        <v>282</v>
      </c>
      <c r="I18" s="535"/>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2" t="s">
        <v>272</v>
      </c>
      <c r="F19" s="112"/>
      <c r="G19" s="114"/>
      <c r="H19" s="536" t="s">
        <v>283</v>
      </c>
      <c r="I19" s="53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3" t="s">
        <v>266</v>
      </c>
      <c r="F20" s="113"/>
      <c r="G20" s="114"/>
      <c r="H20" s="534" t="s">
        <v>284</v>
      </c>
      <c r="I20" s="535"/>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9" t="s">
        <v>436</v>
      </c>
      <c r="F21" s="329"/>
      <c r="G21" s="114"/>
      <c r="H21" s="532" t="s">
        <v>437</v>
      </c>
      <c r="I21" s="53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1" t="s">
        <v>344</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46" t="s">
        <v>308</v>
      </c>
      <c r="B25" s="547"/>
      <c r="C25" s="547"/>
      <c r="D25" s="547"/>
      <c r="E25" s="547"/>
      <c r="F25" s="547"/>
      <c r="G25" s="547"/>
      <c r="H25" s="548"/>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80" t="s">
        <v>295</v>
      </c>
      <c r="B26" s="98" t="s">
        <v>296</v>
      </c>
      <c r="C26" s="99" t="s">
        <v>297</v>
      </c>
      <c r="D26" s="99" t="s">
        <v>3</v>
      </c>
      <c r="E26" s="100" t="s">
        <v>307</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2" t="s">
        <v>515</v>
      </c>
      <c r="B27" s="120" t="s">
        <v>298</v>
      </c>
      <c r="C27" s="99">
        <f>IF(B27="Y",'GA55 Summry'!C6+IF(AND(Bills!D7=Bills!H$3),ROUND(142%*Bills!D7,0),ROUND(7%*Bills!D7,0)))</f>
        <v>51253</v>
      </c>
      <c r="D27" s="99">
        <f>IF(B27="Y",'GA55 Summry'!E6,"0")</f>
        <v>3832</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2" t="s">
        <v>516</v>
      </c>
      <c r="B28" s="120" t="s">
        <v>298</v>
      </c>
      <c r="C28" s="99">
        <f>IF(B28="Y",'GA55 Summry'!C7+IF(AND(Bills!D8=Bills!H$3),ROUND(142%*Bills!D8,0),ROUND(7%*Bills!D8,0)))</f>
        <v>51253</v>
      </c>
      <c r="D28" s="99">
        <f>IF(B28="Y",'GA55 Summry'!E7,"0")</f>
        <v>3832</v>
      </c>
      <c r="E28" s="551" t="s">
        <v>299</v>
      </c>
      <c r="F28" s="551"/>
      <c r="G28" s="551"/>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2" t="s">
        <v>517</v>
      </c>
      <c r="B29" s="120" t="s">
        <v>298</v>
      </c>
      <c r="C29" s="99">
        <f>IF(B29="Y",'GA55 Summry'!C8+IF(AND(Bills!D9=Bills!H$3),ROUND(142%*Bills!D9,0),ROUND(7%*Bills!D9,0)))</f>
        <v>51253</v>
      </c>
      <c r="D29" s="99">
        <f>IF(B29="Y",'GA55 Summry'!E8,"0")</f>
        <v>3832</v>
      </c>
      <c r="E29" s="102"/>
      <c r="F29" s="102"/>
      <c r="G29" s="102"/>
      <c r="H29" s="192" t="s">
        <v>345</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2" t="s">
        <v>518</v>
      </c>
      <c r="B30" s="120" t="s">
        <v>298</v>
      </c>
      <c r="C30" s="99">
        <f>IF(B30="Y",'GA55 Summry'!C9+IF(AND(Bills!D10=Bills!H$3),ROUND(142%*Bills!D10,0),ROUND(7%*Bills!D10,0)))</f>
        <v>51253</v>
      </c>
      <c r="D30" s="99">
        <f>IF(B30="Y",'GA55 Summry'!E9,"0")</f>
        <v>3832</v>
      </c>
      <c r="E30" s="99"/>
      <c r="F30" s="99"/>
      <c r="G30" s="99"/>
      <c r="H30" s="540" t="s">
        <v>361</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2" t="s">
        <v>519</v>
      </c>
      <c r="B31" s="120" t="s">
        <v>298</v>
      </c>
      <c r="C31" s="99">
        <f>IF(B31="Y",'GA55 Summry'!C10+IF(AND(Bills!D11=Bills!I$1),ROUND(142%*Bills!D11,0),ROUND(7%*Bills!D11,0)))</f>
        <v>52751</v>
      </c>
      <c r="D31" s="99">
        <f>IF(B31="Y",'GA55 Summry'!E10,"0")</f>
        <v>3944</v>
      </c>
      <c r="E31" s="543" t="s">
        <v>301</v>
      </c>
      <c r="F31" s="543"/>
      <c r="G31" s="96">
        <f>G37</f>
        <v>9386</v>
      </c>
      <c r="H31" s="540"/>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2" t="s">
        <v>520</v>
      </c>
      <c r="B32" s="120" t="s">
        <v>298</v>
      </c>
      <c r="C32" s="99">
        <f>IF(B32="Y",'GA55 Summry'!C11+IF(AND(Bills!D12=Bills!I$1),ROUND(142%*Bills!D12,0),ROUND(7%*Bills!D12,0)))</f>
        <v>52751</v>
      </c>
      <c r="D32" s="99">
        <f>IF(B32="Y",'GA55 Summry'!E11,"0")</f>
        <v>3944</v>
      </c>
      <c r="E32" s="544" t="s">
        <v>474</v>
      </c>
      <c r="F32" s="544"/>
      <c r="G32" s="194">
        <f>IF((G31*12)&gt;C39*10%, MIN(ROUND(G31*12-(C39)*10%,0),G35),0)</f>
        <v>46880</v>
      </c>
      <c r="H32" s="541" t="s">
        <v>475</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2" t="s">
        <v>521</v>
      </c>
      <c r="B33" s="120" t="s">
        <v>298</v>
      </c>
      <c r="C33" s="99">
        <f>IF(B33="Y",'GA55 Summry'!C12+IF(AND(Bills!D13=Bills!I$1),ROUND(142%*Bills!D13,0),ROUND(7%*Bills!D13,0)))</f>
        <v>52751</v>
      </c>
      <c r="D33" s="99">
        <f>IF(B33="Y",'GA55 Summry'!E12,"0")</f>
        <v>3944</v>
      </c>
      <c r="E33" s="103"/>
      <c r="F33" s="103"/>
      <c r="G33" s="99"/>
      <c r="H33" s="541"/>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2" t="s">
        <v>522</v>
      </c>
      <c r="B34" s="120" t="s">
        <v>298</v>
      </c>
      <c r="C34" s="99">
        <f>IF(B34="Y",'GA55 Summry'!C13+IF(AND(Bills!D14=Bills!I$1),ROUND(142%*Bills!D14,0),ROUND(7%*Bills!D14,0)))</f>
        <v>52751</v>
      </c>
      <c r="D34" s="99">
        <f>IF(B34="Y",'GA55 Summry'!E13,"0")</f>
        <v>3944</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2" t="s">
        <v>523</v>
      </c>
      <c r="B35" s="120" t="s">
        <v>298</v>
      </c>
      <c r="C35" s="99">
        <f>IF(B35="Y",'GA55 Summry'!C14+IF(AND(Bills!D15=Bills!I$1),ROUND(142%*Bills!D15,0),ROUND(7%*Bills!D15,0)))</f>
        <v>52751</v>
      </c>
      <c r="D35" s="99">
        <f>IF(B35="Y",'GA55 Summry'!E14,"0")</f>
        <v>3944</v>
      </c>
      <c r="E35" s="545" t="s">
        <v>302</v>
      </c>
      <c r="F35" s="545"/>
      <c r="G35" s="104">
        <f>D39</f>
        <v>46880</v>
      </c>
      <c r="H35" s="318" t="s">
        <v>360</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2" t="s">
        <v>524</v>
      </c>
      <c r="B36" s="120" t="s">
        <v>298</v>
      </c>
      <c r="C36" s="99">
        <f>IF(B36="Y",'GA55 Summry'!C15+IF(AND(Bills!D16=Bills!I$1),ROUND(142%*Bills!D16,0),ROUND(7%*Bills!D16,0)))</f>
        <v>52751</v>
      </c>
      <c r="D36" s="99">
        <f>IF(B36="Y",'GA55 Summry'!E15,"0")</f>
        <v>3944</v>
      </c>
      <c r="E36" s="538" t="s">
        <v>303</v>
      </c>
      <c r="F36" s="538"/>
      <c r="G36" s="106">
        <f>ROUND(((10%*C39)+D39),0)</f>
        <v>112630</v>
      </c>
      <c r="H36" s="193" t="s">
        <v>353</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2" t="s">
        <v>525</v>
      </c>
      <c r="B37" s="120" t="s">
        <v>298</v>
      </c>
      <c r="C37" s="99">
        <f>IF(B37="Y",'GA55 Summry'!C16+IF(AND(Bills!D17=Bills!I$1),ROUND(142%*Bills!D17,0),ROUND(7%*Bills!D17,0)))</f>
        <v>52751</v>
      </c>
      <c r="D37" s="99">
        <f>IF(B37="Y",'GA55 Summry'!E16,"0")</f>
        <v>3944</v>
      </c>
      <c r="E37" s="539" t="s">
        <v>304</v>
      </c>
      <c r="F37" s="539"/>
      <c r="G37" s="108">
        <f>ROUND(G36/B39, 0)</f>
        <v>9386</v>
      </c>
      <c r="H37" s="542" t="s">
        <v>346</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2" t="s">
        <v>300</v>
      </c>
      <c r="B38" s="120" t="s">
        <v>298</v>
      </c>
      <c r="C38" s="99">
        <f>IF(B38="Y",'GA55 Summry'!C17+IF(AND(Bills!D18=Bills!I$1),ROUND(142%*Bills!D18,0),ROUND(7%*Bills!D18,0)))</f>
        <v>52751</v>
      </c>
      <c r="D38" s="99">
        <f>IF(B38="Y",'GA55 Summry'!E17,"0")</f>
        <v>3944</v>
      </c>
      <c r="E38" s="115"/>
      <c r="F38" s="115"/>
      <c r="G38" s="115"/>
      <c r="H38" s="542"/>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5" t="s">
        <v>305</v>
      </c>
      <c r="B39" s="186">
        <f>COUNTIF(B27:B38, "Y")</f>
        <v>12</v>
      </c>
      <c r="C39" s="271">
        <f>ROUND((SUM(C27:C38)),0)+C40</f>
        <v>657502</v>
      </c>
      <c r="D39" s="271">
        <f>ROUND((SUM(D27:D38)),0)+D40</f>
        <v>46880</v>
      </c>
      <c r="E39" s="195" t="s">
        <v>347</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90"/>
      <c r="B40" s="190"/>
      <c r="C40" s="270">
        <f>SUM(Bills!D20:D27)+SUM(Bills!E20:E27)</f>
        <v>30482</v>
      </c>
      <c r="D40" s="270">
        <f>SUM(Bills!F23:F27)</f>
        <v>0</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9"/>
      <c r="B41" s="109"/>
      <c r="C41" s="109"/>
      <c r="D41" s="109"/>
      <c r="E41" s="110" t="s">
        <v>306</v>
      </c>
      <c r="F41" s="110"/>
      <c r="G41" s="111">
        <f>IF((G31*12)&gt;('GA55 Summry'!C27+'GA55 Summry'!D27)*10%, MIN(ROUND(G31*12-('GA55 Summry'!C27+'GA55 Summry'!D27)*10%,0),G35),0)</f>
        <v>43952</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E12:F12"/>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topLeftCell="A7" zoomScaleSheetLayoutView="100" workbookViewId="0">
      <selection activeCell="G27" sqref="G27"/>
    </sheetView>
  </sheetViews>
  <sheetFormatPr defaultRowHeight="15.7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65" t="s">
        <v>228</v>
      </c>
      <c r="W1" s="565"/>
      <c r="X1" s="565"/>
      <c r="Y1" s="584" t="str">
        <f>PROPER(IF(Master!H15="","",Master!H15))</f>
        <v>Plan</v>
      </c>
      <c r="Z1" s="584"/>
      <c r="AA1" s="584"/>
    </row>
    <row r="2" spans="1:89" s="68" customFormat="1" ht="23.1" customHeight="1">
      <c r="A2" s="578" t="s">
        <v>210</v>
      </c>
      <c r="B2" s="577"/>
      <c r="C2" s="577"/>
      <c r="D2" s="566" t="str">
        <f>UPPER(IF(Master!D9="","",Master!D9))</f>
        <v>HEERA LAL JAT</v>
      </c>
      <c r="E2" s="566"/>
      <c r="F2" s="566"/>
      <c r="G2" s="566"/>
      <c r="H2" s="566"/>
      <c r="I2" s="577" t="s">
        <v>209</v>
      </c>
      <c r="J2" s="577"/>
      <c r="K2" s="577"/>
      <c r="L2" s="576" t="str">
        <f>UPPER(IF(Master!H9="","",Master!H9))</f>
        <v>SR. TEACHER</v>
      </c>
      <c r="M2" s="576"/>
      <c r="N2" s="576"/>
      <c r="O2" s="576"/>
      <c r="P2" s="577" t="s">
        <v>208</v>
      </c>
      <c r="Q2" s="577"/>
      <c r="R2" s="577"/>
      <c r="S2" s="577"/>
      <c r="T2" s="576" t="str">
        <f>UPPER(IF(Master!D10="","",Master!D10))</f>
        <v>G.S.S.S INDERWARA</v>
      </c>
      <c r="U2" s="576"/>
      <c r="V2" s="576"/>
      <c r="W2" s="576"/>
      <c r="X2" s="576"/>
      <c r="Y2" s="576"/>
      <c r="Z2" s="574" t="s">
        <v>18</v>
      </c>
      <c r="AA2" s="575"/>
      <c r="AE2" s="69"/>
    </row>
    <row r="3" spans="1:89" s="68" customFormat="1" ht="23.1" customHeight="1">
      <c r="A3" s="579" t="s">
        <v>211</v>
      </c>
      <c r="B3" s="580"/>
      <c r="C3" s="569" t="str">
        <f>UPPER(IF(Master!D12="","",Master!D12))</f>
        <v>ADEPLXXXXX</v>
      </c>
      <c r="D3" s="569"/>
      <c r="E3" s="569"/>
      <c r="F3" s="52" t="s">
        <v>86</v>
      </c>
      <c r="G3" s="569" t="str">
        <f>IF(AND(Master!H13=""),"",Master!H13)</f>
        <v>9xxxx66</v>
      </c>
      <c r="H3" s="569"/>
      <c r="I3" s="569"/>
      <c r="J3" s="55" t="s">
        <v>6</v>
      </c>
      <c r="K3" s="570" t="str">
        <f>IF(AND(J3=""),"",IF(AND(J3=CH3),Master!H14,IF(AND(J3=CH4),Master!D13,"")))</f>
        <v>10xxx33</v>
      </c>
      <c r="L3" s="570"/>
      <c r="M3" s="570"/>
      <c r="N3" s="587" t="s">
        <v>212</v>
      </c>
      <c r="O3" s="587"/>
      <c r="P3" s="587"/>
      <c r="Q3" s="570" t="str">
        <f>IF(AND(Master!D14=""),"",Master!D14)</f>
        <v/>
      </c>
      <c r="R3" s="570"/>
      <c r="S3" s="570"/>
      <c r="T3" s="570"/>
      <c r="U3" s="570"/>
      <c r="V3" s="571" t="s">
        <v>153</v>
      </c>
      <c r="W3" s="571"/>
      <c r="X3" s="571"/>
      <c r="Y3" s="567" t="str">
        <f>IF(AND(Master!D15=""),"",Master!D15)</f>
        <v>510xxxxxxxx56</v>
      </c>
      <c r="Z3" s="567"/>
      <c r="AA3" s="568"/>
      <c r="AE3" s="69"/>
      <c r="CH3" s="68" t="s">
        <v>152</v>
      </c>
    </row>
    <row r="4" spans="1:89" s="70" customFormat="1" ht="18.75" customHeight="1">
      <c r="A4" s="588" t="s">
        <v>16</v>
      </c>
      <c r="B4" s="582"/>
      <c r="C4" s="582"/>
      <c r="D4" s="582"/>
      <c r="E4" s="582"/>
      <c r="F4" s="582"/>
      <c r="G4" s="582"/>
      <c r="H4" s="582"/>
      <c r="I4" s="582"/>
      <c r="J4" s="582"/>
      <c r="K4" s="582"/>
      <c r="L4" s="589"/>
      <c r="M4" s="581" t="s">
        <v>17</v>
      </c>
      <c r="N4" s="582"/>
      <c r="O4" s="582"/>
      <c r="P4" s="582"/>
      <c r="Q4" s="582"/>
      <c r="R4" s="582"/>
      <c r="S4" s="582"/>
      <c r="T4" s="582"/>
      <c r="U4" s="582"/>
      <c r="V4" s="582"/>
      <c r="W4" s="582"/>
      <c r="X4" s="582"/>
      <c r="Y4" s="583" t="str">
        <f>IF(AND(Bills!Z5=""),"",Bills!Z5)</f>
        <v>NET PAY</v>
      </c>
      <c r="Z4" s="585" t="str">
        <f>IF(AND(Bills!AA5=""),"",Bills!AA5)</f>
        <v>TV.NO.</v>
      </c>
      <c r="AA4" s="586" t="str">
        <f>IF(AND(Bills!AB5=""),"",Bills!AB5)</f>
        <v>Enc.  DATE</v>
      </c>
      <c r="AE4" s="71"/>
      <c r="CH4" s="70" t="s">
        <v>6</v>
      </c>
    </row>
    <row r="5" spans="1:89" s="72" customFormat="1" ht="47.25" customHeight="1">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83"/>
      <c r="Z5" s="585"/>
      <c r="AA5" s="586"/>
      <c r="AE5" s="73"/>
    </row>
    <row r="6" spans="1:89" ht="22.5" customHeight="1">
      <c r="A6" s="44">
        <v>1</v>
      </c>
      <c r="B6" s="373">
        <f>IF(AND(Bills!C7=""),"",Bills!C7)</f>
        <v>43525</v>
      </c>
      <c r="C6" s="62">
        <f>IF(AND(Bills!D7=""),"",Bills!D7)</f>
        <v>47900</v>
      </c>
      <c r="D6" s="62">
        <f>IF(AND(Bills!E7=""),"",Bills!E7)</f>
        <v>5748</v>
      </c>
      <c r="E6" s="62">
        <f>IF(AND(Bills!F7=""),"",Bills!F7)</f>
        <v>3832</v>
      </c>
      <c r="F6" s="62" t="str">
        <f>IF(AND(Bills!G7=""),"",Bills!G7)</f>
        <v/>
      </c>
      <c r="G6" s="62">
        <f>IF(AND(Bills!H7=""),"",Bills!H7)</f>
        <v>600</v>
      </c>
      <c r="H6" s="62" t="str">
        <f>IF(AND(Bills!I7=""),"",Bills!I7)</f>
        <v/>
      </c>
      <c r="I6" s="62" t="str">
        <f>IF(AND(Bills!J7=""),"",Bills!J7)</f>
        <v/>
      </c>
      <c r="J6" s="62" t="str">
        <f>IF(AND(Bills!K7=""),"",Bills!K7)</f>
        <v/>
      </c>
      <c r="K6" s="62" t="str">
        <f>IF(AND(Bills!L7=""),"",Bills!L7)</f>
        <v/>
      </c>
      <c r="L6" s="62">
        <f>IF(AND(Bills!M7=""),"",Bills!M7)</f>
        <v>58080</v>
      </c>
      <c r="M6" s="62">
        <f>IF(AND(Bills!N7=""),"",Bills!N7)</f>
        <v>4000</v>
      </c>
      <c r="N6" s="62">
        <f>IF(AND(Bills!O7=""),"",Bills!O7)</f>
        <v>3575</v>
      </c>
      <c r="O6" s="62">
        <f>IF(AND(Bills!P7=""),"",Bills!P7)</f>
        <v>568</v>
      </c>
      <c r="P6" s="62" t="str">
        <f>IF(AND(Bills!Q7=""),"",Bills!Q7)</f>
        <v/>
      </c>
      <c r="Q6" s="62">
        <f>IF(AND(Bills!R7=""),"",Bills!R7)</f>
        <v>2158</v>
      </c>
      <c r="R6" s="62" t="str">
        <f>IF(AND(Bills!S7=""),"",Bills!S7)</f>
        <v/>
      </c>
      <c r="S6" s="62" t="str">
        <f>IF(AND(Bills!T7=""),"",Bills!T7)</f>
        <v/>
      </c>
      <c r="T6" s="62" t="str">
        <f>IF(AND(Bills!U7=""),"",Bills!U7)</f>
        <v/>
      </c>
      <c r="U6" s="62">
        <f>IF(AND(Bills!V7=""),"",Bills!V7)</f>
        <v>500</v>
      </c>
      <c r="V6" s="62" t="str">
        <f>IF(AND(Bills!W7=""),"",Bills!W7)</f>
        <v/>
      </c>
      <c r="W6" s="62" t="str">
        <f>IF(AND(Bills!X7=""),"",Bills!X7)</f>
        <v/>
      </c>
      <c r="X6" s="62">
        <f>IF(AND(Bills!Y7=""),"",Bills!Y7)</f>
        <v>10801</v>
      </c>
      <c r="Y6" s="63">
        <f>IF(AND(Bills!Z7=""),"",Bills!Z7)</f>
        <v>47279</v>
      </c>
      <c r="Z6" s="323" t="str">
        <f>IF(AND(Bills!AA7=""),"",Bills!AA7)</f>
        <v/>
      </c>
      <c r="AA6" s="411" t="str">
        <f>IF(AND(Bills!AB7=""),"",Bills!AB7)</f>
        <v/>
      </c>
      <c r="CK6" s="4" t="s">
        <v>6</v>
      </c>
    </row>
    <row r="7" spans="1:89" ht="20.100000000000001" customHeight="1">
      <c r="A7" s="44">
        <v>2</v>
      </c>
      <c r="B7" s="373">
        <f>IF(AND(Bills!C8=""),"",Bills!C8)</f>
        <v>43556</v>
      </c>
      <c r="C7" s="62">
        <f>IF(AND(Bills!D8=""),"",Bills!D8)</f>
        <v>47900</v>
      </c>
      <c r="D7" s="62">
        <f>IF(AND(Bills!E8=""),"",Bills!E8)</f>
        <v>5748</v>
      </c>
      <c r="E7" s="62">
        <f>IF(AND(Bills!F8=""),"",Bills!F8)</f>
        <v>3832</v>
      </c>
      <c r="F7" s="62" t="str">
        <f>IF(AND(Bills!G8=""),"",Bills!G8)</f>
        <v/>
      </c>
      <c r="G7" s="62">
        <f>IF(AND(Bills!H8=""),"",Bills!H8)</f>
        <v>600</v>
      </c>
      <c r="H7" s="62" t="str">
        <f>IF(AND(Bills!I8=""),"",Bills!I8)</f>
        <v/>
      </c>
      <c r="I7" s="62" t="str">
        <f>IF(AND(Bills!J8=""),"",Bills!J8)</f>
        <v/>
      </c>
      <c r="J7" s="62" t="str">
        <f>IF(AND(Bills!K8=""),"",Bills!K8)</f>
        <v/>
      </c>
      <c r="K7" s="62" t="str">
        <f>IF(AND(Bills!L8=""),"",Bills!L8)</f>
        <v/>
      </c>
      <c r="L7" s="62">
        <f>IF(AND(Bills!M8=""),"",Bills!M8)</f>
        <v>58080</v>
      </c>
      <c r="M7" s="62">
        <f>IF(AND(Bills!N8=""),"",Bills!N8)</f>
        <v>4000</v>
      </c>
      <c r="N7" s="62">
        <f>IF(AND(Bills!O8=""),"",Bills!O8)</f>
        <v>3575</v>
      </c>
      <c r="O7" s="62">
        <f>IF(AND(Bills!P8=""),"",Bills!P8)</f>
        <v>602</v>
      </c>
      <c r="P7" s="62" t="str">
        <f>IF(AND(Bills!Q8=""),"",Bills!Q8)</f>
        <v/>
      </c>
      <c r="Q7" s="62">
        <f>IF(AND(Bills!R8=""),"",Bills!R8)</f>
        <v>2158</v>
      </c>
      <c r="R7" s="62" t="str">
        <f>IF(AND(Bills!S8=""),"",Bills!S8)</f>
        <v/>
      </c>
      <c r="S7" s="62" t="str">
        <f>IF(AND(Bills!T8=""),"",Bills!T8)</f>
        <v/>
      </c>
      <c r="T7" s="62" t="str">
        <f>IF(AND(Bills!U8=""),"",Bills!U8)</f>
        <v/>
      </c>
      <c r="U7" s="62">
        <f>IF(AND(Bills!V8=""),"",Bills!V8)</f>
        <v>500</v>
      </c>
      <c r="V7" s="62">
        <f>IF(AND(Bills!W8=""),"",Bills!W8)</f>
        <v>220</v>
      </c>
      <c r="W7" s="62" t="str">
        <f>IF(AND(Bills!X8=""),"",Bills!X8)</f>
        <v/>
      </c>
      <c r="X7" s="62">
        <f>IF(AND(Bills!Y8=""),"",Bills!Y8)</f>
        <v>11055</v>
      </c>
      <c r="Y7" s="63">
        <f>IF(AND(Bills!Z8=""),"",Bills!Z8)</f>
        <v>47025</v>
      </c>
      <c r="Z7" s="323" t="str">
        <f>IF(AND(Bills!AA8=""),"",Bills!AA8)</f>
        <v/>
      </c>
      <c r="AA7" s="411" t="str">
        <f>IF(AND(Bills!AB8=""),"",Bills!AB8)</f>
        <v/>
      </c>
      <c r="CK7" s="4" t="s">
        <v>151</v>
      </c>
    </row>
    <row r="8" spans="1:89" ht="20.100000000000001" customHeight="1">
      <c r="A8" s="44">
        <v>3</v>
      </c>
      <c r="B8" s="373">
        <f>IF(AND(Bills!C9=""),"",Bills!C9)</f>
        <v>43586</v>
      </c>
      <c r="C8" s="62">
        <f>IF(AND(Bills!D9=""),"",Bills!D9)</f>
        <v>47900</v>
      </c>
      <c r="D8" s="62">
        <f>IF(AND(Bills!E9=""),"",Bills!E9)</f>
        <v>5748</v>
      </c>
      <c r="E8" s="62">
        <f>IF(AND(Bills!F9=""),"",Bills!F9)</f>
        <v>3832</v>
      </c>
      <c r="F8" s="62" t="str">
        <f>IF(AND(Bills!G9=""),"",Bills!G9)</f>
        <v/>
      </c>
      <c r="G8" s="62">
        <f>IF(AND(Bills!H9=""),"",Bills!H9)</f>
        <v>600</v>
      </c>
      <c r="H8" s="62" t="str">
        <f>IF(AND(Bills!I9=""),"",Bills!I9)</f>
        <v/>
      </c>
      <c r="I8" s="62" t="str">
        <f>IF(AND(Bills!J9=""),"",Bills!J9)</f>
        <v/>
      </c>
      <c r="J8" s="62" t="str">
        <f>IF(AND(Bills!K9=""),"",Bills!K9)</f>
        <v/>
      </c>
      <c r="K8" s="62" t="str">
        <f>IF(AND(Bills!L9=""),"",Bills!L9)</f>
        <v/>
      </c>
      <c r="L8" s="62">
        <f>IF(AND(Bills!M9=""),"",Bills!M9)</f>
        <v>58080</v>
      </c>
      <c r="M8" s="62">
        <f>IF(AND(Bills!N9=""),"",Bills!N9)</f>
        <v>4000</v>
      </c>
      <c r="N8" s="62">
        <f>IF(AND(Bills!O9=""),"",Bills!O9)</f>
        <v>3575</v>
      </c>
      <c r="O8" s="62">
        <f>IF(AND(Bills!P9=""),"",Bills!P9)</f>
        <v>602</v>
      </c>
      <c r="P8" s="62" t="str">
        <f>IF(AND(Bills!Q9=""),"",Bills!Q9)</f>
        <v/>
      </c>
      <c r="Q8" s="62">
        <f>IF(AND(Bills!R9=""),"",Bills!R9)</f>
        <v>2158</v>
      </c>
      <c r="R8" s="62" t="str">
        <f>IF(AND(Bills!S9=""),"",Bills!S9)</f>
        <v/>
      </c>
      <c r="S8" s="62" t="str">
        <f>IF(AND(Bills!T9=""),"",Bills!T9)</f>
        <v/>
      </c>
      <c r="T8" s="62" t="str">
        <f>IF(AND(Bills!U9=""),"",Bills!U9)</f>
        <v/>
      </c>
      <c r="U8" s="62">
        <f>IF(AND(Bills!V9=""),"",Bills!V9)</f>
        <v>500</v>
      </c>
      <c r="V8" s="62" t="str">
        <f>IF(AND(Bills!W9=""),"",Bills!W9)</f>
        <v/>
      </c>
      <c r="W8" s="62" t="str">
        <f>IF(AND(Bills!X9=""),"",Bills!X9)</f>
        <v/>
      </c>
      <c r="X8" s="62">
        <f>IF(AND(Bills!Y9=""),"",Bills!Y9)</f>
        <v>10835</v>
      </c>
      <c r="Y8" s="63">
        <f>IF(AND(Bills!Z9=""),"",Bills!Z9)</f>
        <v>47245</v>
      </c>
      <c r="Z8" s="323" t="str">
        <f>IF(AND(Bills!AA9=""),"",Bills!AA9)</f>
        <v/>
      </c>
      <c r="AA8" s="411" t="str">
        <f>IF(AND(Bills!AB9=""),"",Bills!AB9)</f>
        <v/>
      </c>
      <c r="CK8" s="4" t="s">
        <v>152</v>
      </c>
    </row>
    <row r="9" spans="1:89" ht="20.100000000000001" customHeight="1">
      <c r="A9" s="44">
        <v>4</v>
      </c>
      <c r="B9" s="373">
        <f>IF(AND(Bills!C10=""),"",Bills!C10)</f>
        <v>43617</v>
      </c>
      <c r="C9" s="62">
        <f>IF(AND(Bills!D10=""),"",Bills!D10)</f>
        <v>47900</v>
      </c>
      <c r="D9" s="62">
        <f>IF(AND(Bills!E10=""),"",Bills!E10)</f>
        <v>5748</v>
      </c>
      <c r="E9" s="62">
        <f>IF(AND(Bills!F10=""),"",Bills!F10)</f>
        <v>3832</v>
      </c>
      <c r="F9" s="62" t="str">
        <f>IF(AND(Bills!G10=""),"",Bills!G10)</f>
        <v/>
      </c>
      <c r="G9" s="62">
        <f>IF(AND(Bills!H10=""),"",Bills!H10)</f>
        <v>600</v>
      </c>
      <c r="H9" s="62" t="str">
        <f>IF(AND(Bills!I10=""),"",Bills!I10)</f>
        <v/>
      </c>
      <c r="I9" s="62" t="str">
        <f>IF(AND(Bills!J10=""),"",Bills!J10)</f>
        <v/>
      </c>
      <c r="J9" s="62" t="str">
        <f>IF(AND(Bills!K10=""),"",Bills!K10)</f>
        <v/>
      </c>
      <c r="K9" s="62" t="str">
        <f>IF(AND(Bills!L10=""),"",Bills!L10)</f>
        <v/>
      </c>
      <c r="L9" s="62">
        <f>IF(AND(Bills!M10=""),"",Bills!M10)</f>
        <v>58080</v>
      </c>
      <c r="M9" s="62">
        <f>IF(AND(Bills!N10=""),"",Bills!N10)</f>
        <v>4000</v>
      </c>
      <c r="N9" s="62">
        <f>IF(AND(Bills!O10=""),"",Bills!O10)</f>
        <v>3575</v>
      </c>
      <c r="O9" s="62">
        <f>IF(AND(Bills!P10=""),"",Bills!P10)</f>
        <v>602</v>
      </c>
      <c r="P9" s="62" t="str">
        <f>IF(AND(Bills!Q10=""),"",Bills!Q10)</f>
        <v/>
      </c>
      <c r="Q9" s="62">
        <f>IF(AND(Bills!R10=""),"",Bills!R10)</f>
        <v>2158</v>
      </c>
      <c r="R9" s="62" t="str">
        <f>IF(AND(Bills!S10=""),"",Bills!S10)</f>
        <v/>
      </c>
      <c r="S9" s="62" t="str">
        <f>IF(AND(Bills!T10=""),"",Bills!T10)</f>
        <v/>
      </c>
      <c r="T9" s="62" t="str">
        <f>IF(AND(Bills!U10=""),"",Bills!U10)</f>
        <v/>
      </c>
      <c r="U9" s="62">
        <f>IF(AND(Bills!V10=""),"",Bills!V10)</f>
        <v>500</v>
      </c>
      <c r="V9" s="62" t="str">
        <f>IF(AND(Bills!W10=""),"",Bills!W10)</f>
        <v/>
      </c>
      <c r="W9" s="62" t="str">
        <f>IF(AND(Bills!X10=""),"",Bills!X10)</f>
        <v/>
      </c>
      <c r="X9" s="62">
        <f>IF(AND(Bills!Y10=""),"",Bills!Y10)</f>
        <v>10835</v>
      </c>
      <c r="Y9" s="63">
        <f>IF(AND(Bills!Z10=""),"",Bills!Z10)</f>
        <v>47245</v>
      </c>
      <c r="Z9" s="323">
        <f>IF(AND(Bills!AA10=""),"",Bills!AA10)</f>
        <v>31093</v>
      </c>
      <c r="AA9" s="411">
        <f>IF(AND(Bills!AB10=""),"",Bills!AB10)</f>
        <v>43293</v>
      </c>
    </row>
    <row r="10" spans="1:89" ht="20.100000000000001" customHeight="1">
      <c r="A10" s="44">
        <v>5</v>
      </c>
      <c r="B10" s="373">
        <f>IF(AND(Bills!C11=""),"",Bills!C11)</f>
        <v>43647</v>
      </c>
      <c r="C10" s="62">
        <f>IF(AND(Bills!D11=""),"",Bills!D11)</f>
        <v>49300</v>
      </c>
      <c r="D10" s="62">
        <f>IF(AND(Bills!E11=""),"",Bills!E11)</f>
        <v>5916</v>
      </c>
      <c r="E10" s="62">
        <f>IF(AND(Bills!F11=""),"",Bills!F11)</f>
        <v>3944</v>
      </c>
      <c r="F10" s="62" t="str">
        <f>IF(AND(Bills!G11=""),"",Bills!G11)</f>
        <v/>
      </c>
      <c r="G10" s="62">
        <f>IF(AND(Bills!H11=""),"",Bills!H11)</f>
        <v>600</v>
      </c>
      <c r="H10" s="62" t="str">
        <f>IF(AND(Bills!I11=""),"",Bills!I11)</f>
        <v/>
      </c>
      <c r="I10" s="62" t="str">
        <f>IF(AND(Bills!J11=""),"",Bills!J11)</f>
        <v/>
      </c>
      <c r="J10" s="62" t="str">
        <f>IF(AND(Bills!K11=""),"",Bills!K11)</f>
        <v/>
      </c>
      <c r="K10" s="62" t="str">
        <f>IF(AND(Bills!L11=""),"",Bills!L11)</f>
        <v/>
      </c>
      <c r="L10" s="62">
        <f>IF(AND(Bills!M11=""),"",Bills!M11)</f>
        <v>59760</v>
      </c>
      <c r="M10" s="62">
        <f>IF(AND(Bills!N11=""),"",Bills!N11)</f>
        <v>4000</v>
      </c>
      <c r="N10" s="62">
        <f>IF(AND(Bills!O11=""),"",Bills!O11)</f>
        <v>3575</v>
      </c>
      <c r="O10" s="62">
        <f>IF(AND(Bills!P11=""),"",Bills!P11)</f>
        <v>602</v>
      </c>
      <c r="P10" s="62" t="str">
        <f>IF(AND(Bills!Q11=""),"",Bills!Q11)</f>
        <v/>
      </c>
      <c r="Q10" s="62">
        <f>IF(AND(Bills!R11=""),"",Bills!R11)</f>
        <v>2158</v>
      </c>
      <c r="R10" s="62" t="str">
        <f>IF(AND(Bills!S11=""),"",Bills!S11)</f>
        <v/>
      </c>
      <c r="S10" s="62" t="str">
        <f>IF(AND(Bills!T11=""),"",Bills!T11)</f>
        <v/>
      </c>
      <c r="T10" s="62" t="str">
        <f>IF(AND(Bills!U11=""),"",Bills!U11)</f>
        <v/>
      </c>
      <c r="U10" s="62">
        <f>IF(AND(Bills!V11=""),"",Bills!V11)</f>
        <v>500</v>
      </c>
      <c r="V10" s="62" t="str">
        <f>IF(AND(Bills!W11=""),"",Bills!W11)</f>
        <v/>
      </c>
      <c r="W10" s="62" t="str">
        <f>IF(AND(Bills!X11=""),"",Bills!X11)</f>
        <v/>
      </c>
      <c r="X10" s="62">
        <f>IF(AND(Bills!Y11=""),"",Bills!Y11)</f>
        <v>10835</v>
      </c>
      <c r="Y10" s="63">
        <f>IF(AND(Bills!Z11=""),"",Bills!Z11)</f>
        <v>48925</v>
      </c>
      <c r="Z10" s="323">
        <f>IF(AND(Bills!AA11=""),"",Bills!AA11)</f>
        <v>36066</v>
      </c>
      <c r="AA10" s="411">
        <f>IF(AND(Bills!AB11=""),"",Bills!AB11)</f>
        <v>43313</v>
      </c>
    </row>
    <row r="11" spans="1:89" ht="20.100000000000001" customHeight="1">
      <c r="A11" s="44">
        <v>6</v>
      </c>
      <c r="B11" s="373">
        <f>IF(AND(Bills!C12=""),"",Bills!C12)</f>
        <v>43678</v>
      </c>
      <c r="C11" s="62">
        <f>IF(AND(Bills!D12=""),"",Bills!D12)</f>
        <v>49300</v>
      </c>
      <c r="D11" s="62">
        <f>IF(AND(Bills!E12=""),"",Bills!E12)</f>
        <v>5916</v>
      </c>
      <c r="E11" s="62">
        <f>IF(AND(Bills!F12=""),"",Bills!F12)</f>
        <v>3944</v>
      </c>
      <c r="F11" s="62" t="str">
        <f>IF(AND(Bills!G12=""),"",Bills!G12)</f>
        <v/>
      </c>
      <c r="G11" s="62">
        <f>IF(AND(Bills!H12=""),"",Bills!H12)</f>
        <v>600</v>
      </c>
      <c r="H11" s="62" t="str">
        <f>IF(AND(Bills!I12=""),"",Bills!I12)</f>
        <v/>
      </c>
      <c r="I11" s="62" t="str">
        <f>IF(AND(Bills!J12=""),"",Bills!J12)</f>
        <v/>
      </c>
      <c r="J11" s="62" t="str">
        <f>IF(AND(Bills!K12=""),"",Bills!K12)</f>
        <v/>
      </c>
      <c r="K11" s="62" t="str">
        <f>IF(AND(Bills!L12=""),"",Bills!L12)</f>
        <v/>
      </c>
      <c r="L11" s="62">
        <f>IF(AND(Bills!M12=""),"",Bills!M12)</f>
        <v>59760</v>
      </c>
      <c r="M11" s="62">
        <f>IF(AND(Bills!N12=""),"",Bills!N12)</f>
        <v>4000</v>
      </c>
      <c r="N11" s="62">
        <f>IF(AND(Bills!O12=""),"",Bills!O12)</f>
        <v>3575</v>
      </c>
      <c r="O11" s="62">
        <f>IF(AND(Bills!P12=""),"",Bills!P12)</f>
        <v>602</v>
      </c>
      <c r="P11" s="62" t="str">
        <f>IF(AND(Bills!Q12=""),"",Bills!Q12)</f>
        <v/>
      </c>
      <c r="Q11" s="62">
        <f>IF(AND(Bills!R12=""),"",Bills!R12)</f>
        <v>2158</v>
      </c>
      <c r="R11" s="62" t="str">
        <f>IF(AND(Bills!S12=""),"",Bills!S12)</f>
        <v/>
      </c>
      <c r="S11" s="62" t="str">
        <f>IF(AND(Bills!T12=""),"",Bills!T12)</f>
        <v/>
      </c>
      <c r="T11" s="62" t="str">
        <f>IF(AND(Bills!U12=""),"",Bills!U12)</f>
        <v/>
      </c>
      <c r="U11" s="62">
        <f>IF(AND(Bills!V12=""),"",Bills!V12)</f>
        <v>500</v>
      </c>
      <c r="V11" s="62" t="str">
        <f>IF(AND(Bills!W12=""),"",Bills!W12)</f>
        <v/>
      </c>
      <c r="W11" s="62" t="str">
        <f>IF(AND(Bills!X12=""),"",Bills!X12)</f>
        <v/>
      </c>
      <c r="X11" s="62">
        <f>IF(AND(Bills!Y12=""),"",Bills!Y12)</f>
        <v>10835</v>
      </c>
      <c r="Y11" s="63">
        <f>IF(AND(Bills!Z12=""),"",Bills!Z12)</f>
        <v>48925</v>
      </c>
      <c r="Z11" s="323">
        <f>IF(AND(Bills!AA12=""),"",Bills!AA12)</f>
        <v>51985</v>
      </c>
      <c r="AA11" s="411">
        <f>IF(AND(Bills!AB12=""),"",Bills!AB12)</f>
        <v>43344</v>
      </c>
    </row>
    <row r="12" spans="1:89" ht="20.100000000000001" customHeight="1">
      <c r="A12" s="44">
        <v>7</v>
      </c>
      <c r="B12" s="373">
        <f>IF(AND(Bills!C13=""),"",Bills!C13)</f>
        <v>43709</v>
      </c>
      <c r="C12" s="62">
        <f>IF(AND(Bills!D13=""),"",Bills!D13)</f>
        <v>49300</v>
      </c>
      <c r="D12" s="62">
        <f>IF(AND(Bills!E13=""),"",Bills!E13)</f>
        <v>5916</v>
      </c>
      <c r="E12" s="62">
        <f>IF(AND(Bills!F13=""),"",Bills!F13)</f>
        <v>3944</v>
      </c>
      <c r="F12" s="62" t="str">
        <f>IF(AND(Bills!G13=""),"",Bills!G13)</f>
        <v/>
      </c>
      <c r="G12" s="62">
        <f>IF(AND(Bills!H13=""),"",Bills!H13)</f>
        <v>600</v>
      </c>
      <c r="H12" s="62" t="str">
        <f>IF(AND(Bills!I13=""),"",Bills!I13)</f>
        <v/>
      </c>
      <c r="I12" s="62" t="str">
        <f>IF(AND(Bills!J13=""),"",Bills!J13)</f>
        <v/>
      </c>
      <c r="J12" s="62" t="str">
        <f>IF(AND(Bills!K13=""),"",Bills!K13)</f>
        <v/>
      </c>
      <c r="K12" s="62" t="str">
        <f>IF(AND(Bills!L13=""),"",Bills!L13)</f>
        <v/>
      </c>
      <c r="L12" s="62">
        <f>IF(AND(Bills!M13=""),"",Bills!M13)</f>
        <v>59760</v>
      </c>
      <c r="M12" s="62">
        <f>IF(AND(Bills!N13=""),"",Bills!N13)</f>
        <v>4000</v>
      </c>
      <c r="N12" s="62">
        <f>IF(AND(Bills!O13=""),"",Bills!O13)</f>
        <v>3575</v>
      </c>
      <c r="O12" s="62">
        <f>IF(AND(Bills!P13=""),"",Bills!P13)</f>
        <v>602</v>
      </c>
      <c r="P12" s="62" t="str">
        <f>IF(AND(Bills!Q13=""),"",Bills!Q13)</f>
        <v/>
      </c>
      <c r="Q12" s="62">
        <f>IF(AND(Bills!R13=""),"",Bills!R13)</f>
        <v>2158</v>
      </c>
      <c r="R12" s="62" t="str">
        <f>IF(AND(Bills!S13=""),"",Bills!S13)</f>
        <v/>
      </c>
      <c r="S12" s="62" t="str">
        <f>IF(AND(Bills!T13=""),"",Bills!T13)</f>
        <v/>
      </c>
      <c r="T12" s="62" t="str">
        <f>IF(AND(Bills!U13=""),"",Bills!U13)</f>
        <v/>
      </c>
      <c r="U12" s="62">
        <f>IF(AND(Bills!V13=""),"",Bills!V13)</f>
        <v>500</v>
      </c>
      <c r="V12" s="62" t="str">
        <f>IF(AND(Bills!W13=""),"",Bills!W13)</f>
        <v/>
      </c>
      <c r="W12" s="62" t="str">
        <f>IF(AND(Bills!X13=""),"",Bills!X13)</f>
        <v/>
      </c>
      <c r="X12" s="62">
        <f>IF(AND(Bills!Y13=""),"",Bills!Y13)</f>
        <v>10835</v>
      </c>
      <c r="Y12" s="63">
        <f>IF(AND(Bills!Z13=""),"",Bills!Z13)</f>
        <v>48925</v>
      </c>
      <c r="Z12" s="323">
        <f>IF(AND(Bills!AA13=""),"",Bills!AA13)</f>
        <v>61201</v>
      </c>
      <c r="AA12" s="411">
        <f>IF(AND(Bills!AB13=""),"",Bills!AB13)</f>
        <v>43377</v>
      </c>
    </row>
    <row r="13" spans="1:89" ht="20.100000000000001" customHeight="1">
      <c r="A13" s="44">
        <v>8</v>
      </c>
      <c r="B13" s="373">
        <f>IF(AND(Bills!C14=""),"",Bills!C14)</f>
        <v>43739</v>
      </c>
      <c r="C13" s="62">
        <f>IF(AND(Bills!D14=""),"",Bills!D14)</f>
        <v>49300</v>
      </c>
      <c r="D13" s="62">
        <f>IF(AND(Bills!E14=""),"",Bills!E14)</f>
        <v>5916</v>
      </c>
      <c r="E13" s="62">
        <f>IF(AND(Bills!F14=""),"",Bills!F14)</f>
        <v>3944</v>
      </c>
      <c r="F13" s="62" t="str">
        <f>IF(AND(Bills!G14=""),"",Bills!G14)</f>
        <v/>
      </c>
      <c r="G13" s="62">
        <f>IF(AND(Bills!H14=""),"",Bills!H14)</f>
        <v>600</v>
      </c>
      <c r="H13" s="62" t="str">
        <f>IF(AND(Bills!I14=""),"",Bills!I14)</f>
        <v/>
      </c>
      <c r="I13" s="62" t="str">
        <f>IF(AND(Bills!J14=""),"",Bills!J14)</f>
        <v/>
      </c>
      <c r="J13" s="62" t="str">
        <f>IF(AND(Bills!K14=""),"",Bills!K14)</f>
        <v/>
      </c>
      <c r="K13" s="62" t="str">
        <f>IF(AND(Bills!L14=""),"",Bills!L14)</f>
        <v/>
      </c>
      <c r="L13" s="62">
        <f>IF(AND(Bills!M14=""),"",Bills!M14)</f>
        <v>59760</v>
      </c>
      <c r="M13" s="62">
        <f>IF(AND(Bills!N14=""),"",Bills!N14)</f>
        <v>4000</v>
      </c>
      <c r="N13" s="62">
        <f>IF(AND(Bills!O14=""),"",Bills!O14)</f>
        <v>3575</v>
      </c>
      <c r="O13" s="62">
        <f>IF(AND(Bills!P14=""),"",Bills!P14)</f>
        <v>602</v>
      </c>
      <c r="P13" s="62" t="str">
        <f>IF(AND(Bills!Q14=""),"",Bills!Q14)</f>
        <v/>
      </c>
      <c r="Q13" s="62">
        <f>IF(AND(Bills!R14=""),"",Bills!R14)</f>
        <v>2158</v>
      </c>
      <c r="R13" s="62" t="str">
        <f>IF(AND(Bills!S14=""),"",Bills!S14)</f>
        <v/>
      </c>
      <c r="S13" s="62" t="str">
        <f>IF(AND(Bills!T14=""),"",Bills!T14)</f>
        <v/>
      </c>
      <c r="T13" s="62" t="str">
        <f>IF(AND(Bills!U14=""),"",Bills!U14)</f>
        <v/>
      </c>
      <c r="U13" s="62">
        <f>IF(AND(Bills!V14=""),"",Bills!V14)</f>
        <v>500</v>
      </c>
      <c r="V13" s="62" t="str">
        <f>IF(AND(Bills!W14=""),"",Bills!W14)</f>
        <v/>
      </c>
      <c r="W13" s="62" t="str">
        <f>IF(AND(Bills!X14=""),"",Bills!X14)</f>
        <v/>
      </c>
      <c r="X13" s="62">
        <f>IF(AND(Bills!Y14=""),"",Bills!Y14)</f>
        <v>10835</v>
      </c>
      <c r="Y13" s="63">
        <f>IF(AND(Bills!Z14=""),"",Bills!Z14)</f>
        <v>48925</v>
      </c>
      <c r="Z13" s="323">
        <f>IF(AND(Bills!AA14=""),"",Bills!AA14)</f>
        <v>85964</v>
      </c>
      <c r="AA13" s="411">
        <f>IF(AND(Bills!AB14=""),"",Bills!AB14)</f>
        <v>43405</v>
      </c>
    </row>
    <row r="14" spans="1:89" ht="20.100000000000001" customHeight="1">
      <c r="A14" s="44">
        <v>9</v>
      </c>
      <c r="B14" s="373">
        <f>IF(AND(Bills!C15=""),"",Bills!C15)</f>
        <v>43770</v>
      </c>
      <c r="C14" s="62">
        <f>IF(AND(Bills!D15=""),"",Bills!D15)</f>
        <v>49300</v>
      </c>
      <c r="D14" s="62">
        <f>IF(AND(Bills!E15=""),"",Bills!E15)</f>
        <v>5916</v>
      </c>
      <c r="E14" s="62">
        <f>IF(AND(Bills!F15=""),"",Bills!F15)</f>
        <v>3944</v>
      </c>
      <c r="F14" s="62" t="str">
        <f>IF(AND(Bills!G15=""),"",Bills!G15)</f>
        <v/>
      </c>
      <c r="G14" s="62">
        <f>IF(AND(Bills!H15=""),"",Bills!H15)</f>
        <v>600</v>
      </c>
      <c r="H14" s="62" t="str">
        <f>IF(AND(Bills!I15=""),"",Bills!I15)</f>
        <v/>
      </c>
      <c r="I14" s="62" t="str">
        <f>IF(AND(Bills!J15=""),"",Bills!J15)</f>
        <v/>
      </c>
      <c r="J14" s="62" t="str">
        <f>IF(AND(Bills!K15=""),"",Bills!K15)</f>
        <v/>
      </c>
      <c r="K14" s="62" t="str">
        <f>IF(AND(Bills!L15=""),"",Bills!L15)</f>
        <v/>
      </c>
      <c r="L14" s="62">
        <f>IF(AND(Bills!M15=""),"",Bills!M15)</f>
        <v>59760</v>
      </c>
      <c r="M14" s="62">
        <f>IF(AND(Bills!N15=""),"",Bills!N15)</f>
        <v>4000</v>
      </c>
      <c r="N14" s="62">
        <f>IF(AND(Bills!O15=""),"",Bills!O15)</f>
        <v>3575</v>
      </c>
      <c r="O14" s="62">
        <f>IF(AND(Bills!P15=""),"",Bills!P15)</f>
        <v>602</v>
      </c>
      <c r="P14" s="62" t="str">
        <f>IF(AND(Bills!Q15=""),"",Bills!Q15)</f>
        <v/>
      </c>
      <c r="Q14" s="62">
        <f>IF(AND(Bills!R15=""),"",Bills!R15)</f>
        <v>2158</v>
      </c>
      <c r="R14" s="62" t="str">
        <f>IF(AND(Bills!S15=""),"",Bills!S15)</f>
        <v/>
      </c>
      <c r="S14" s="62" t="str">
        <f>IF(AND(Bills!T15=""),"",Bills!T15)</f>
        <v/>
      </c>
      <c r="T14" s="62" t="str">
        <f>IF(AND(Bills!U15=""),"",Bills!U15)</f>
        <v/>
      </c>
      <c r="U14" s="62">
        <f>IF(AND(Bills!V15=""),"",Bills!V15)</f>
        <v>500</v>
      </c>
      <c r="V14" s="62" t="str">
        <f>IF(AND(Bills!W15=""),"",Bills!W15)</f>
        <v/>
      </c>
      <c r="W14" s="62" t="str">
        <f>IF(AND(Bills!X15=""),"",Bills!X15)</f>
        <v/>
      </c>
      <c r="X14" s="62">
        <f>IF(AND(Bills!Y15=""),"",Bills!Y15)</f>
        <v>10835</v>
      </c>
      <c r="Y14" s="63">
        <f>IF(AND(Bills!Z15=""),"",Bills!Z15)</f>
        <v>48925</v>
      </c>
      <c r="Z14" s="323">
        <f>IF(AND(Bills!AA15=""),"",Bills!AA15)</f>
        <v>96129</v>
      </c>
      <c r="AA14" s="411">
        <f>IF(AND(Bills!AB15=""),"",Bills!AB15)</f>
        <v>43438</v>
      </c>
      <c r="AD14" s="74" t="str">
        <f>IF(AND(CG3=""),"",IF(AND(CG3="YES"),CH3,IF(AND(CG3="NO"),CH4,"")))</f>
        <v/>
      </c>
    </row>
    <row r="15" spans="1:89" ht="20.100000000000001" customHeight="1">
      <c r="A15" s="44">
        <v>10</v>
      </c>
      <c r="B15" s="373">
        <f>IF(AND(Bills!C16=""),"",Bills!C16)</f>
        <v>43800</v>
      </c>
      <c r="C15" s="62">
        <f>IF(AND(Bills!D16=""),"",Bills!D16)</f>
        <v>49300</v>
      </c>
      <c r="D15" s="62">
        <f>IF(AND(Bills!E16=""),"",Bills!E16)</f>
        <v>5916</v>
      </c>
      <c r="E15" s="62">
        <f>IF(AND(Bills!F16=""),"",Bills!F16)</f>
        <v>3944</v>
      </c>
      <c r="F15" s="62" t="str">
        <f>IF(AND(Bills!G16=""),"",Bills!G16)</f>
        <v/>
      </c>
      <c r="G15" s="62">
        <f>IF(AND(Bills!H16=""),"",Bills!H16)</f>
        <v>600</v>
      </c>
      <c r="H15" s="62" t="str">
        <f>IF(AND(Bills!I16=""),"",Bills!I16)</f>
        <v/>
      </c>
      <c r="I15" s="62" t="str">
        <f>IF(AND(Bills!J16=""),"",Bills!J16)</f>
        <v/>
      </c>
      <c r="J15" s="62" t="str">
        <f>IF(AND(Bills!K16=""),"",Bills!K16)</f>
        <v/>
      </c>
      <c r="K15" s="62" t="str">
        <f>IF(AND(Bills!L16=""),"",Bills!L16)</f>
        <v/>
      </c>
      <c r="L15" s="62">
        <f>IF(AND(Bills!M16=""),"",Bills!M16)</f>
        <v>59760</v>
      </c>
      <c r="M15" s="62">
        <f>IF(AND(Bills!N16=""),"",Bills!N16)</f>
        <v>4000</v>
      </c>
      <c r="N15" s="62">
        <f>IF(AND(Bills!O16=""),"",Bills!O16)</f>
        <v>3575</v>
      </c>
      <c r="O15" s="62">
        <f>IF(AND(Bills!P16=""),"",Bills!P16)</f>
        <v>602</v>
      </c>
      <c r="P15" s="62" t="str">
        <f>IF(AND(Bills!Q16=""),"",Bills!Q16)</f>
        <v/>
      </c>
      <c r="Q15" s="62">
        <f>IF(AND(Bills!R16=""),"",Bills!R16)</f>
        <v>2158</v>
      </c>
      <c r="R15" s="62" t="str">
        <f>IF(AND(Bills!S16=""),"",Bills!S16)</f>
        <v/>
      </c>
      <c r="S15" s="62" t="str">
        <f>IF(AND(Bills!T16=""),"",Bills!T16)</f>
        <v/>
      </c>
      <c r="T15" s="62" t="str">
        <f>IF(AND(Bills!U16=""),"",Bills!U16)</f>
        <v/>
      </c>
      <c r="U15" s="62">
        <f>IF(AND(Bills!V16=""),"",Bills!V16)</f>
        <v>500</v>
      </c>
      <c r="V15" s="62" t="str">
        <f>IF(AND(Bills!W16=""),"",Bills!W16)</f>
        <v/>
      </c>
      <c r="W15" s="62" t="str">
        <f>IF(AND(Bills!X16=""),"",Bills!X16)</f>
        <v/>
      </c>
      <c r="X15" s="62">
        <f>IF(AND(Bills!Y16=""),"",Bills!Y16)</f>
        <v>10835</v>
      </c>
      <c r="Y15" s="63">
        <f>IF(AND(Bills!Z16=""),"",Bills!Z16)</f>
        <v>48925</v>
      </c>
      <c r="Z15" s="323">
        <f>IF(AND(Bills!AA16=""),"",Bills!AA16)</f>
        <v>103672</v>
      </c>
      <c r="AA15" s="411">
        <f>IF(AND(Bills!AB16=""),"",Bills!AB16)</f>
        <v>43466</v>
      </c>
    </row>
    <row r="16" spans="1:89" ht="20.100000000000001" customHeight="1">
      <c r="A16" s="44">
        <v>11</v>
      </c>
      <c r="B16" s="373">
        <f>IF(AND(Bills!C17=""),"",Bills!C17)</f>
        <v>43831</v>
      </c>
      <c r="C16" s="62">
        <f>IF(AND(Bills!D17=""),"",Bills!D17)</f>
        <v>49300</v>
      </c>
      <c r="D16" s="62">
        <f>IF(AND(Bills!E17=""),"",Bills!E17)</f>
        <v>5916</v>
      </c>
      <c r="E16" s="62">
        <f>IF(AND(Bills!F17=""),"",Bills!F17)</f>
        <v>3944</v>
      </c>
      <c r="F16" s="62" t="str">
        <f>IF(AND(Bills!G17=""),"",Bills!G17)</f>
        <v/>
      </c>
      <c r="G16" s="62">
        <f>IF(AND(Bills!H17=""),"",Bills!H17)</f>
        <v>600</v>
      </c>
      <c r="H16" s="62" t="str">
        <f>IF(AND(Bills!I17=""),"",Bills!I17)</f>
        <v/>
      </c>
      <c r="I16" s="62" t="str">
        <f>IF(AND(Bills!J17=""),"",Bills!J17)</f>
        <v/>
      </c>
      <c r="J16" s="62" t="str">
        <f>IF(AND(Bills!K17=""),"",Bills!K17)</f>
        <v/>
      </c>
      <c r="K16" s="62" t="str">
        <f>IF(AND(Bills!L17=""),"",Bills!L17)</f>
        <v/>
      </c>
      <c r="L16" s="62">
        <f>IF(AND(Bills!M17=""),"",Bills!M17)</f>
        <v>59760</v>
      </c>
      <c r="M16" s="62">
        <f>IF(AND(Bills!N17=""),"",Bills!N17)</f>
        <v>4000</v>
      </c>
      <c r="N16" s="62">
        <f>IF(AND(Bills!O17=""),"",Bills!O17)</f>
        <v>3575</v>
      </c>
      <c r="O16" s="62">
        <f>IF(AND(Bills!P17=""),"",Bills!P17)</f>
        <v>602</v>
      </c>
      <c r="P16" s="62" t="str">
        <f>IF(AND(Bills!Q17=""),"",Bills!Q17)</f>
        <v/>
      </c>
      <c r="Q16" s="62">
        <f>IF(AND(Bills!R17=""),"",Bills!R17)</f>
        <v>2158</v>
      </c>
      <c r="R16" s="62" t="str">
        <f>IF(AND(Bills!S17=""),"",Bills!S17)</f>
        <v/>
      </c>
      <c r="S16" s="62" t="str">
        <f>IF(AND(Bills!T17=""),"",Bills!T17)</f>
        <v/>
      </c>
      <c r="T16" s="62" t="str">
        <f>IF(AND(Bills!U17=""),"",Bills!U17)</f>
        <v/>
      </c>
      <c r="U16" s="62">
        <f>IF(AND(Bills!V17=""),"",Bills!V17)</f>
        <v>500</v>
      </c>
      <c r="V16" s="62" t="str">
        <f>IF(AND(Bills!W17=""),"",Bills!W17)</f>
        <v/>
      </c>
      <c r="W16" s="62" t="str">
        <f>IF(AND(Bills!X17=""),"",Bills!X17)</f>
        <v/>
      </c>
      <c r="X16" s="62">
        <f>IF(AND(Bills!Y17=""),"",Bills!Y17)</f>
        <v>10835</v>
      </c>
      <c r="Y16" s="63">
        <f>IF(AND(Bills!Z17=""),"",Bills!Z17)</f>
        <v>48925</v>
      </c>
      <c r="Z16" s="323">
        <f>IF(AND(Bills!AA17=""),"",Bills!AA17)</f>
        <v>112250</v>
      </c>
      <c r="AA16" s="411">
        <f>IF(AND(Bills!AB17=""),"",Bills!AB17)</f>
        <v>43497</v>
      </c>
    </row>
    <row r="17" spans="1:27" ht="20.100000000000001" customHeight="1">
      <c r="A17" s="44">
        <v>12</v>
      </c>
      <c r="B17" s="373">
        <f>IF(AND(Bills!C18=""),"",Bills!C18)</f>
        <v>43862</v>
      </c>
      <c r="C17" s="62">
        <f>IF(AND(Bills!D18=""),"",Bills!D18)</f>
        <v>49300</v>
      </c>
      <c r="D17" s="62">
        <f>IF(AND(Bills!E18=""),"",Bills!E18)</f>
        <v>5916</v>
      </c>
      <c r="E17" s="62">
        <f>IF(AND(Bills!F18=""),"",Bills!F18)</f>
        <v>3944</v>
      </c>
      <c r="F17" s="62" t="str">
        <f>IF(AND(Bills!G18=""),"",Bills!G18)</f>
        <v/>
      </c>
      <c r="G17" s="62">
        <f>IF(AND(Bills!H18=""),"",Bills!H18)</f>
        <v>600</v>
      </c>
      <c r="H17" s="62" t="str">
        <f>IF(AND(Bills!I18=""),"",Bills!I18)</f>
        <v/>
      </c>
      <c r="I17" s="62" t="str">
        <f>IF(AND(Bills!J18=""),"",Bills!J18)</f>
        <v/>
      </c>
      <c r="J17" s="62" t="str">
        <f>IF(AND(Bills!K18=""),"",Bills!K18)</f>
        <v/>
      </c>
      <c r="K17" s="62" t="str">
        <f>IF(AND(Bills!L18=""),"",Bills!L18)</f>
        <v/>
      </c>
      <c r="L17" s="62">
        <f>IF(AND(Bills!M18=""),"",Bills!M18)</f>
        <v>59760</v>
      </c>
      <c r="M17" s="62">
        <f>IF(AND(Bills!N18=""),"",Bills!N18)</f>
        <v>4000</v>
      </c>
      <c r="N17" s="62">
        <f>IF(AND(Bills!O18=""),"",Bills!O18)</f>
        <v>3575</v>
      </c>
      <c r="O17" s="62">
        <f>IF(AND(Bills!P18=""),"",Bills!P18)</f>
        <v>602</v>
      </c>
      <c r="P17" s="62" t="str">
        <f>IF(AND(Bills!Q18=""),"",Bills!Q18)</f>
        <v/>
      </c>
      <c r="Q17" s="62">
        <f>IF(AND(Bills!R18=""),"",Bills!R18)</f>
        <v>2158</v>
      </c>
      <c r="R17" s="62" t="str">
        <f>IF(AND(Bills!S18=""),"",Bills!S18)</f>
        <v/>
      </c>
      <c r="S17" s="62" t="str">
        <f>IF(AND(Bills!T18=""),"",Bills!T18)</f>
        <v/>
      </c>
      <c r="T17" s="62" t="str">
        <f>IF(AND(Bills!U18=""),"",Bills!U18)</f>
        <v/>
      </c>
      <c r="U17" s="62">
        <f>IF(AND(Bills!V18=""),"",Bills!V18)</f>
        <v>500</v>
      </c>
      <c r="V17" s="62" t="str">
        <f>IF(AND(Bills!W18=""),"",Bills!W18)</f>
        <v/>
      </c>
      <c r="W17" s="62" t="str">
        <f>IF(AND(Bills!X18=""),"",Bills!X18)</f>
        <v/>
      </c>
      <c r="X17" s="62">
        <f>IF(AND(Bills!Y18=""),"",Bills!Y18)</f>
        <v>10835</v>
      </c>
      <c r="Y17" s="63">
        <f>IF(AND(Bills!Z18=""),"",Bills!Z18)</f>
        <v>48925</v>
      </c>
      <c r="Z17" s="323">
        <f>IF(AND(Bills!AA18=""),"",Bills!AA18)</f>
        <v>121924</v>
      </c>
      <c r="AA17" s="411">
        <f>IF(AND(Bills!AB18=""),"",Bills!AB18)</f>
        <v>43525</v>
      </c>
    </row>
    <row r="18" spans="1:27" ht="20.100000000000001" customHeight="1">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f>IF(AND(Bills!AA19=""),"",Bills!AA19)</f>
        <v>86074</v>
      </c>
      <c r="AA18" s="411">
        <f>IF(AND(Bills!AB19=""),"",Bills!AB19)</f>
        <v>43405</v>
      </c>
    </row>
    <row r="19" spans="1:27" ht="24" customHeight="1">
      <c r="A19" s="44">
        <v>14</v>
      </c>
      <c r="B19" s="374" t="str">
        <f>IF(AND(Bills!C20=""),"",Bills!C20)</f>
        <v xml:space="preserve">PL  Surrender </v>
      </c>
      <c r="C19" s="62">
        <f>IF(AND(Bills!D20=""),"",Bills!D20)</f>
        <v>24650</v>
      </c>
      <c r="D19" s="62">
        <f>IF(AND(Bills!E20=""),"",Bills!E20)</f>
        <v>2958</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27608</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27608</v>
      </c>
      <c r="Z19" s="323" t="str">
        <f>IF(AND(Bills!AA20=""),"",Bills!AA20)</f>
        <v/>
      </c>
      <c r="AA19" s="411" t="str">
        <f>IF(AND(Bills!AB20=""),"",Bills!AB20)</f>
        <v/>
      </c>
    </row>
    <row r="20" spans="1:27" ht="24" customHeight="1">
      <c r="A20" s="44">
        <v>15</v>
      </c>
      <c r="B20" s="374" t="str">
        <f>IF(AND(Bills!C21=""),"",Bills!C21)</f>
        <v>DA Arrear 12%</v>
      </c>
      <c r="C20" s="62" t="str">
        <f>IF(AND(Bills!D21=""),"",Bills!D21)</f>
        <v/>
      </c>
      <c r="D20" s="62">
        <f>IF(AND(Bills!E21=""),"",Bills!E21)</f>
        <v>2874</v>
      </c>
      <c r="E20" s="62" t="str">
        <f>IF(AND(Bills!F21=""),"",Bills!F21)</f>
        <v/>
      </c>
      <c r="F20" s="62" t="str">
        <f>IF(AND(Bills!G21=""),"",Bills!G21)</f>
        <v/>
      </c>
      <c r="G20" s="62" t="str">
        <f>IF(AND(Bills!H21=""),"",Bills!H21)</f>
        <v/>
      </c>
      <c r="H20" s="62" t="str">
        <f>IF(AND(Bills!I21=""),"",Bills!I21)</f>
        <v/>
      </c>
      <c r="I20" s="62" t="str">
        <f>IF(AND(Bills!J21=""),"",Bills!J21)</f>
        <v/>
      </c>
      <c r="J20" s="62" t="str">
        <f>IF(AND(Bills!K21=""),"",Bills!K21)</f>
        <v/>
      </c>
      <c r="K20" s="62" t="str">
        <f>IF(AND(Bills!L21=""),"",Bills!L21)</f>
        <v/>
      </c>
      <c r="L20" s="62">
        <f>IF(AND(Bills!M21=""),"",Bills!M21)</f>
        <v>2874</v>
      </c>
      <c r="M20" s="62" t="str">
        <f>IF(AND(Bills!N21=""),"",Bills!N21)</f>
        <v/>
      </c>
      <c r="N20" s="62">
        <f>IF(AND(Bills!O21=""),"",Bills!O21)</f>
        <v>2874</v>
      </c>
      <c r="O20" s="62" t="str">
        <f>IF(AND(Bills!P21=""),"",Bills!P21)</f>
        <v/>
      </c>
      <c r="P20" s="62" t="str">
        <f>IF(AND(Bills!Q21=""),"",Bills!Q21)</f>
        <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2874</v>
      </c>
      <c r="Y20" s="63">
        <f>IF(AND(Bills!Z21=""),"",Bills!Z21)</f>
        <v>0</v>
      </c>
      <c r="Z20" s="323">
        <f>IF(AND(Bills!AA21=""),"",Bills!AA21)</f>
        <v>64494</v>
      </c>
      <c r="AA20" s="411">
        <f>IF(AND(Bills!AB21=""),"",Bills!AB21)</f>
        <v>43388</v>
      </c>
    </row>
    <row r="21" spans="1:27" ht="21" customHeight="1">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t="str">
        <f>IF(AND(Bills!K22=""),"",Bills!K22)</f>
        <v/>
      </c>
      <c r="K21" s="62" t="str">
        <f>IF(AND(Bills!L22=""),"",Bills!L22)</f>
        <v/>
      </c>
      <c r="L21" s="62">
        <f>IF(AND(Bills!M22=""),"",Bills!M22)</f>
        <v>0</v>
      </c>
      <c r="M21" s="62" t="str">
        <f>IF(AND(Bills!N22=""),"",Bills!N22)</f>
        <v/>
      </c>
      <c r="N21" s="62">
        <f>IF(AND(Bills!O22=""),"",Bills!O22)</f>
        <v>0</v>
      </c>
      <c r="O21" s="62" t="str">
        <f>IF(AND(Bills!P22=""),"",Bills!P22)</f>
        <v/>
      </c>
      <c r="P21" s="62" t="str">
        <f>IF(AND(Bills!Q22=""),"",Bills!Q22)</f>
        <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t="str">
        <f>IF(AND(Bills!K23=""),"",Bills!K23)</f>
        <v/>
      </c>
      <c r="K22" s="62" t="str">
        <f>IF(AND(Bills!L23=""),"",Bills!L23)</f>
        <v/>
      </c>
      <c r="L22" s="62">
        <f>IF(AND(Bills!M23=""),"",Bills!M23)</f>
        <v>0</v>
      </c>
      <c r="M22" s="62" t="str">
        <f>IF(AND(Bills!N23=""),"",Bills!N23)</f>
        <v/>
      </c>
      <c r="N22" s="62" t="str">
        <f>IF(AND(Bills!O23=""),"",Bills!O23)</f>
        <v/>
      </c>
      <c r="O22" s="62" t="str">
        <f>IF(AND(Bills!P23=""),"",Bills!P23)</f>
        <v/>
      </c>
      <c r="P22" s="62" t="str">
        <f>IF(AND(Bills!Q23=""),"",Bills!Q23)</f>
        <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c r="A23" s="44">
        <v>18</v>
      </c>
      <c r="B23" s="375" t="str">
        <f>IF(AND(Bills!C24=""),"",Bills!C24)</f>
        <v>Other</v>
      </c>
      <c r="C23" s="62" t="str">
        <f>IF(AND(Bills!D24=""),"",Bills!D24)</f>
        <v/>
      </c>
      <c r="D23" s="62" t="str">
        <f>IF(AND(Bills!E24=""),"",Bills!E24)</f>
        <v/>
      </c>
      <c r="E23" s="62" t="str">
        <f>IF(AND(Bills!F24=""),"",Bills!F24)</f>
        <v/>
      </c>
      <c r="F23" s="62" t="str">
        <f>IF(AND(Bills!G24=""),"",Bills!G24)</f>
        <v/>
      </c>
      <c r="G23" s="62" t="str">
        <f>IF(AND(Bills!H24=""),"",Bills!H24)</f>
        <v/>
      </c>
      <c r="H23" s="62" t="str">
        <f>IF(AND(Bills!I24=""),"",Bills!I24)</f>
        <v/>
      </c>
      <c r="I23" s="62" t="str">
        <f>IF(AND(Bills!J24=""),"",Bills!J24)</f>
        <v/>
      </c>
      <c r="J23" s="62" t="str">
        <f>IF(AND(Bills!K24=""),"",Bills!K24)</f>
        <v/>
      </c>
      <c r="K23" s="62" t="str">
        <f>IF(AND(Bills!L24=""),"",Bills!L24)</f>
        <v/>
      </c>
      <c r="L23" s="62">
        <f>IF(AND(Bills!M24=""),"",Bills!M24)</f>
        <v>0</v>
      </c>
      <c r="M23" s="62" t="str">
        <f>IF(AND(Bills!N24=""),"",Bills!N24)</f>
        <v/>
      </c>
      <c r="N23" s="62" t="str">
        <f>IF(AND(Bills!O24=""),"",Bills!O24)</f>
        <v/>
      </c>
      <c r="O23" s="62" t="str">
        <f>IF(AND(Bills!P24=""),"",Bills!P24)</f>
        <v/>
      </c>
      <c r="P23" s="62" t="str">
        <f>IF(AND(Bills!Q24=""),"",Bills!Q24)</f>
        <v/>
      </c>
      <c r="Q23" s="62" t="str">
        <f>IF(AND(Bills!R24=""),"",Bills!R24)</f>
        <v/>
      </c>
      <c r="R23" s="62" t="str">
        <f>IF(AND(Bills!S24=""),"",Bills!S24)</f>
        <v/>
      </c>
      <c r="S23" s="62" t="str">
        <f>IF(AND(Bills!T24=""),"",Bills!T24)</f>
        <v/>
      </c>
      <c r="T23" s="62" t="str">
        <f>IF(AND(Bills!U24=""),"",Bills!U24)</f>
        <v/>
      </c>
      <c r="U23" s="62" t="str">
        <f>IF(AND(Bills!V24=""),"",Bills!V24)</f>
        <v/>
      </c>
      <c r="V23" s="62" t="str">
        <f>IF(AND(Bills!W24=""),"",Bills!W24)</f>
        <v/>
      </c>
      <c r="W23" s="62" t="str">
        <f>IF(AND(Bills!X24=""),"",Bills!X24)</f>
        <v/>
      </c>
      <c r="X23" s="62">
        <f>IF(AND(Bills!Y24=""),"",Bills!Y24)</f>
        <v>0</v>
      </c>
      <c r="Y23" s="63">
        <f>IF(AND(Bills!Z24=""),"",Bills!Z24)</f>
        <v>0</v>
      </c>
      <c r="Z23" s="323">
        <f>IF(AND(Bills!AA24=""),"",Bills!AA24)</f>
        <v>44094</v>
      </c>
      <c r="AA23" s="411">
        <f>IF(AND(Bills!AB24=""),"",Bills!AB24)</f>
        <v>43333</v>
      </c>
    </row>
    <row r="24" spans="1:27" ht="17.25" customHeight="1">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c r="A27" s="45"/>
      <c r="B27" s="93" t="s">
        <v>154</v>
      </c>
      <c r="C27" s="324">
        <f>IF(AND($D$2=""),"",SUM(C6:C26))</f>
        <v>610650</v>
      </c>
      <c r="D27" s="324">
        <f>IF(AND($D$2=""),"",SUM(D6:D26))</f>
        <v>76152</v>
      </c>
      <c r="E27" s="324">
        <f>IF(AND($D$2=""),"",SUM(E6:E26))</f>
        <v>46880</v>
      </c>
      <c r="F27" s="324">
        <f t="shared" ref="F27:G27" si="0">IF(AND($D$2=""),"",SUM(F6:F26))</f>
        <v>0</v>
      </c>
      <c r="G27" s="324">
        <f t="shared" si="0"/>
        <v>7200</v>
      </c>
      <c r="H27" s="324">
        <f>IF(AND($D$2=""),"",SUM(H6:H26))</f>
        <v>6774</v>
      </c>
      <c r="I27" s="324">
        <f t="shared" ref="I27:W27" si="1">IF(AND($D$2=""),"",SUM(I6:I26))</f>
        <v>0</v>
      </c>
      <c r="J27" s="324">
        <f>IF(AND($D$2=""),"",SUM(J6:J26))</f>
        <v>0</v>
      </c>
      <c r="K27" s="324">
        <f t="shared" si="1"/>
        <v>0</v>
      </c>
      <c r="L27" s="324">
        <f t="shared" si="1"/>
        <v>747656</v>
      </c>
      <c r="M27" s="324">
        <f t="shared" si="1"/>
        <v>48000</v>
      </c>
      <c r="N27" s="324">
        <f t="shared" si="1"/>
        <v>45774</v>
      </c>
      <c r="O27" s="324">
        <f t="shared" si="1"/>
        <v>7190</v>
      </c>
      <c r="P27" s="324">
        <f t="shared" si="1"/>
        <v>0</v>
      </c>
      <c r="Q27" s="324">
        <f t="shared" si="1"/>
        <v>25896</v>
      </c>
      <c r="R27" s="324">
        <f t="shared" si="1"/>
        <v>0</v>
      </c>
      <c r="S27" s="324">
        <f t="shared" si="1"/>
        <v>0</v>
      </c>
      <c r="T27" s="324">
        <f t="shared" si="1"/>
        <v>0</v>
      </c>
      <c r="U27" s="324">
        <f t="shared" si="1"/>
        <v>6000</v>
      </c>
      <c r="V27" s="324">
        <f t="shared" si="1"/>
        <v>220</v>
      </c>
      <c r="W27" s="324">
        <f t="shared" si="1"/>
        <v>0</v>
      </c>
      <c r="X27" s="324">
        <f>IF(AND($D$2=""),"",SUM(X6:X26))</f>
        <v>133080</v>
      </c>
      <c r="Y27" s="324">
        <f>IF(AND($D$2=""),"",SUM(Y6:Y26))</f>
        <v>614576</v>
      </c>
      <c r="Z27" s="325"/>
      <c r="AA27" s="326"/>
    </row>
    <row r="28" spans="1:27" ht="30" customHeight="1">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c r="A29" s="75"/>
      <c r="B29" s="76"/>
      <c r="C29" s="572" t="str">
        <f>UPPER(IF(Master!D9="","",Master!D9))</f>
        <v>HEERA LAL JAT</v>
      </c>
      <c r="D29" s="572"/>
      <c r="E29" s="572"/>
      <c r="F29" s="572"/>
      <c r="G29" s="572"/>
      <c r="H29" s="572"/>
      <c r="I29" s="76"/>
      <c r="J29" s="76"/>
      <c r="K29" s="76"/>
      <c r="L29" s="76"/>
      <c r="M29" s="76"/>
      <c r="N29" s="76"/>
      <c r="O29" s="76"/>
      <c r="P29" s="77"/>
      <c r="Q29" s="77"/>
      <c r="R29" s="573" t="str">
        <f>IF(AND(Master!D17=""),"",CONCATENATE("( ",UPPER( Master!D17), " )",))</f>
        <v>( MISHRI LAL )</v>
      </c>
      <c r="S29" s="573"/>
      <c r="T29" s="573"/>
      <c r="U29" s="573"/>
      <c r="V29" s="573"/>
      <c r="W29" s="573"/>
      <c r="X29" s="573"/>
      <c r="Y29" s="573"/>
      <c r="Z29" s="78"/>
      <c r="AA29" s="9"/>
    </row>
    <row r="30" spans="1:27" ht="21" customHeight="1" thickBot="1">
      <c r="A30" s="79"/>
      <c r="B30" s="80"/>
      <c r="C30" s="80"/>
      <c r="D30" s="565" t="s">
        <v>215</v>
      </c>
      <c r="E30" s="565"/>
      <c r="F30" s="565"/>
      <c r="G30" s="565"/>
      <c r="H30" s="81"/>
      <c r="I30" s="81"/>
      <c r="J30" s="81"/>
      <c r="K30" s="80"/>
      <c r="L30" s="80"/>
      <c r="M30" s="80"/>
      <c r="N30" s="80"/>
      <c r="O30" s="80"/>
      <c r="P30" s="82"/>
      <c r="Q30" s="82"/>
      <c r="R30" s="564" t="s">
        <v>216</v>
      </c>
      <c r="S30" s="564"/>
      <c r="T30" s="564"/>
      <c r="U30" s="564"/>
      <c r="V30" s="564"/>
      <c r="W30" s="564"/>
      <c r="X30" s="564"/>
      <c r="Y30" s="564"/>
      <c r="Z30" s="83"/>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A3:B3"/>
    <mergeCell ref="M4:X4"/>
    <mergeCell ref="Y4:Y5"/>
    <mergeCell ref="Y1:AA1"/>
    <mergeCell ref="Z4:Z5"/>
    <mergeCell ref="AA4:AA5"/>
    <mergeCell ref="V1:X1"/>
    <mergeCell ref="K3:M3"/>
    <mergeCell ref="N3:P3"/>
    <mergeCell ref="A4:L4"/>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35" t="str">
        <f>IF(AND(Master!D8=""),"",CONCATENATE("Office Name :- ",PROPER(Master!D8)))</f>
        <v>Office Name :- Government Senior Secondary School Inderwara , Rani (Pali)</v>
      </c>
      <c r="B1" s="635"/>
      <c r="C1" s="635"/>
      <c r="D1" s="635"/>
      <c r="E1" s="635"/>
      <c r="F1" s="635"/>
      <c r="G1" s="635"/>
      <c r="H1" s="635"/>
      <c r="I1" s="635"/>
      <c r="J1" s="635"/>
      <c r="K1" s="635"/>
      <c r="L1" s="635"/>
      <c r="M1" s="635"/>
      <c r="N1" s="635"/>
      <c r="O1" s="635"/>
    </row>
    <row r="2" spans="1:22" ht="13.5" customHeight="1" thickBot="1">
      <c r="A2" s="117"/>
      <c r="B2" s="117"/>
      <c r="C2" s="618" t="s">
        <v>202</v>
      </c>
      <c r="D2" s="618"/>
      <c r="E2" s="618"/>
      <c r="F2" s="618"/>
      <c r="G2" s="617">
        <f>IF(AND(Master!D19=""),"",Master!D19)</f>
        <v>2020</v>
      </c>
      <c r="H2" s="617"/>
      <c r="I2" s="618" t="s">
        <v>203</v>
      </c>
      <c r="J2" s="618"/>
      <c r="K2" s="618"/>
      <c r="L2" s="617">
        <f>IF(AND(Master!H19=""),"",Master!H19)</f>
        <v>2021</v>
      </c>
      <c r="M2" s="617"/>
      <c r="N2" s="389" t="s">
        <v>204</v>
      </c>
    </row>
    <row r="3" spans="1:22" ht="16.5" customHeight="1" thickTop="1">
      <c r="A3" s="413">
        <v>1</v>
      </c>
      <c r="B3" s="615" t="s">
        <v>155</v>
      </c>
      <c r="C3" s="616"/>
      <c r="D3" s="636" t="str">
        <f>UPPER(Master!D9)</f>
        <v>HEERA LAL JAT</v>
      </c>
      <c r="E3" s="636"/>
      <c r="F3" s="636"/>
      <c r="G3" s="636"/>
      <c r="H3" s="636"/>
      <c r="I3" s="349" t="s">
        <v>156</v>
      </c>
      <c r="J3" s="637" t="str">
        <f>UPPER(Master!H9)</f>
        <v>SR. TEACHER</v>
      </c>
      <c r="K3" s="637"/>
      <c r="L3" s="637"/>
      <c r="M3" s="350" t="s">
        <v>157</v>
      </c>
      <c r="N3" s="638" t="str">
        <f>UPPER(Master!D12)</f>
        <v>ADEPLXXXXX</v>
      </c>
      <c r="O3" s="639"/>
      <c r="P3" s="332"/>
      <c r="Q3" s="332"/>
    </row>
    <row r="4" spans="1:22" ht="16.5" customHeight="1">
      <c r="A4" s="412">
        <v>2</v>
      </c>
      <c r="B4" s="640" t="s">
        <v>420</v>
      </c>
      <c r="C4" s="640"/>
      <c r="D4" s="626"/>
      <c r="E4" s="626"/>
      <c r="F4" s="626"/>
      <c r="G4" s="626"/>
      <c r="H4" s="626"/>
      <c r="I4" s="640"/>
      <c r="J4" s="626"/>
      <c r="K4" s="626"/>
      <c r="L4" s="626"/>
      <c r="M4" s="640"/>
      <c r="N4" s="376" t="s">
        <v>158</v>
      </c>
      <c r="O4" s="377">
        <f>'GA55 Summry'!L27+IF(Master!I5=Master!AC3,'GA55 Summry'!P27,"0")</f>
        <v>747656</v>
      </c>
      <c r="P4" s="336"/>
      <c r="Q4" s="348" t="s">
        <v>450</v>
      </c>
      <c r="R4" s="614" t="s">
        <v>363</v>
      </c>
      <c r="S4" s="614"/>
      <c r="T4" s="614"/>
      <c r="U4" s="614"/>
      <c r="V4" s="614"/>
    </row>
    <row r="5" spans="1:22" ht="13.5" customHeight="1">
      <c r="A5" s="412">
        <v>3</v>
      </c>
      <c r="B5" s="626" t="s">
        <v>552</v>
      </c>
      <c r="C5" s="626"/>
      <c r="D5" s="626"/>
      <c r="E5" s="626"/>
      <c r="F5" s="626"/>
      <c r="G5" s="626"/>
      <c r="H5" s="626"/>
      <c r="I5" s="626"/>
      <c r="J5" s="626"/>
      <c r="K5" s="626"/>
      <c r="L5" s="626"/>
      <c r="M5" s="626"/>
      <c r="N5" s="376" t="s">
        <v>158</v>
      </c>
      <c r="O5" s="446"/>
      <c r="P5" s="334"/>
      <c r="Q5" s="334"/>
      <c r="R5" s="614"/>
      <c r="S5" s="614"/>
      <c r="T5" s="614"/>
      <c r="U5" s="614"/>
      <c r="V5" s="614"/>
    </row>
    <row r="6" spans="1:22" ht="14.25" customHeight="1">
      <c r="A6" s="412">
        <v>4</v>
      </c>
      <c r="B6" s="622" t="s">
        <v>159</v>
      </c>
      <c r="C6" s="622"/>
      <c r="D6" s="622"/>
      <c r="E6" s="622"/>
      <c r="F6" s="622"/>
      <c r="G6" s="622"/>
      <c r="H6" s="622"/>
      <c r="I6" s="622"/>
      <c r="J6" s="622"/>
      <c r="K6" s="622"/>
      <c r="L6" s="622"/>
      <c r="M6" s="622"/>
      <c r="N6" s="376" t="s">
        <v>158</v>
      </c>
      <c r="O6" s="378">
        <f>O4-O5</f>
        <v>747656</v>
      </c>
      <c r="P6" s="334"/>
      <c r="Q6" s="334"/>
      <c r="R6" s="614"/>
      <c r="S6" s="614"/>
      <c r="T6" s="614"/>
      <c r="U6" s="614"/>
      <c r="V6" s="614"/>
    </row>
    <row r="7" spans="1:22" ht="17.25" customHeight="1">
      <c r="A7" s="600">
        <v>5</v>
      </c>
      <c r="B7" s="634" t="s">
        <v>531</v>
      </c>
      <c r="C7" s="634"/>
      <c r="D7" s="634"/>
      <c r="E7" s="634"/>
      <c r="F7" s="634"/>
      <c r="G7" s="634"/>
      <c r="H7" s="634"/>
      <c r="I7" s="634"/>
      <c r="J7" s="634"/>
      <c r="K7" s="641">
        <f>'Extra deduc'!G6</f>
        <v>0</v>
      </c>
      <c r="L7" s="641"/>
      <c r="M7" s="641"/>
      <c r="N7" s="642"/>
      <c r="O7" s="643"/>
      <c r="P7" s="333"/>
      <c r="Q7" s="333"/>
      <c r="R7" s="614"/>
      <c r="S7" s="614"/>
      <c r="T7" s="614"/>
      <c r="U7" s="614"/>
      <c r="V7" s="614"/>
    </row>
    <row r="8" spans="1:22" ht="15" customHeight="1">
      <c r="A8" s="606"/>
      <c r="B8" s="634" t="s">
        <v>429</v>
      </c>
      <c r="C8" s="634"/>
      <c r="D8" s="634"/>
      <c r="E8" s="634"/>
      <c r="F8" s="634"/>
      <c r="G8" s="634"/>
      <c r="H8" s="634"/>
      <c r="I8" s="634"/>
      <c r="J8" s="634"/>
      <c r="K8" s="641">
        <f>'Extra deduc'!G7</f>
        <v>0</v>
      </c>
      <c r="L8" s="641"/>
      <c r="M8" s="641"/>
      <c r="N8" s="642"/>
      <c r="O8" s="643"/>
      <c r="P8" s="333"/>
      <c r="Q8" s="333"/>
      <c r="R8" s="231"/>
      <c r="S8" s="231"/>
      <c r="T8" s="231"/>
      <c r="U8" s="231"/>
      <c r="V8" s="231"/>
    </row>
    <row r="9" spans="1:22" ht="15" customHeight="1">
      <c r="A9" s="601"/>
      <c r="B9" s="634" t="s">
        <v>530</v>
      </c>
      <c r="C9" s="634"/>
      <c r="D9" s="634"/>
      <c r="E9" s="634"/>
      <c r="F9" s="634"/>
      <c r="G9" s="634"/>
      <c r="H9" s="634"/>
      <c r="I9" s="634"/>
      <c r="J9" s="634"/>
      <c r="K9" s="644">
        <v>50000</v>
      </c>
      <c r="L9" s="644"/>
      <c r="M9" s="644"/>
      <c r="N9" s="376" t="s">
        <v>158</v>
      </c>
      <c r="O9" s="378">
        <f>SUM(K7:M9)</f>
        <v>50000</v>
      </c>
      <c r="P9" s="334"/>
      <c r="Q9" s="334"/>
      <c r="R9" s="231"/>
      <c r="S9" s="231"/>
      <c r="T9" s="231"/>
      <c r="U9" s="231"/>
      <c r="V9" s="231"/>
    </row>
    <row r="10" spans="1:22" ht="12.95" customHeight="1">
      <c r="A10" s="412">
        <v>6</v>
      </c>
      <c r="B10" s="627" t="s">
        <v>160</v>
      </c>
      <c r="C10" s="628"/>
      <c r="D10" s="628"/>
      <c r="E10" s="628"/>
      <c r="F10" s="628"/>
      <c r="G10" s="628"/>
      <c r="H10" s="628"/>
      <c r="I10" s="628"/>
      <c r="J10" s="628"/>
      <c r="K10" s="628"/>
      <c r="L10" s="628"/>
      <c r="M10" s="629"/>
      <c r="N10" s="376" t="s">
        <v>158</v>
      </c>
      <c r="O10" s="378">
        <f>O6-O9</f>
        <v>697656</v>
      </c>
      <c r="P10" s="334"/>
      <c r="Q10" s="334"/>
    </row>
    <row r="11" spans="1:22" ht="12.95" customHeight="1">
      <c r="A11" s="645">
        <v>7</v>
      </c>
      <c r="B11" s="634" t="s">
        <v>161</v>
      </c>
      <c r="C11" s="634"/>
      <c r="D11" s="634"/>
      <c r="E11" s="634"/>
      <c r="F11" s="634"/>
      <c r="G11" s="634"/>
      <c r="H11" s="634"/>
      <c r="I11" s="646" t="s">
        <v>162</v>
      </c>
      <c r="J11" s="646"/>
      <c r="K11" s="641">
        <f>'Extra deduc'!G8</f>
        <v>0</v>
      </c>
      <c r="L11" s="641"/>
      <c r="M11" s="641"/>
      <c r="N11" s="647"/>
      <c r="O11" s="648"/>
      <c r="P11" s="335"/>
      <c r="Q11" s="335"/>
    </row>
    <row r="12" spans="1:22" ht="12.95" customHeight="1">
      <c r="A12" s="645"/>
      <c r="B12" s="649" t="s">
        <v>163</v>
      </c>
      <c r="C12" s="649"/>
      <c r="D12" s="650" t="s">
        <v>201</v>
      </c>
      <c r="E12" s="650"/>
      <c r="F12" s="650" t="s">
        <v>164</v>
      </c>
      <c r="G12" s="650"/>
      <c r="H12" s="650"/>
      <c r="I12" s="650" t="s">
        <v>165</v>
      </c>
      <c r="J12" s="650"/>
      <c r="K12" s="646" t="s">
        <v>166</v>
      </c>
      <c r="L12" s="646"/>
      <c r="M12" s="646"/>
      <c r="N12" s="647"/>
      <c r="O12" s="648"/>
      <c r="P12" s="335"/>
      <c r="Q12" s="335"/>
    </row>
    <row r="13" spans="1:22" ht="12.95" customHeight="1">
      <c r="A13" s="645"/>
      <c r="B13" s="649"/>
      <c r="C13" s="649"/>
      <c r="D13" s="641">
        <f>ROUND(K11*0.3,0)</f>
        <v>0</v>
      </c>
      <c r="E13" s="641"/>
      <c r="F13" s="641">
        <f>'Extra deduc'!G11</f>
        <v>0</v>
      </c>
      <c r="G13" s="641"/>
      <c r="H13" s="641"/>
      <c r="I13" s="641">
        <f>'Extra deduc'!G9</f>
        <v>0</v>
      </c>
      <c r="J13" s="641"/>
      <c r="K13" s="641">
        <f>D13+F13+I13</f>
        <v>0</v>
      </c>
      <c r="L13" s="641"/>
      <c r="M13" s="641"/>
      <c r="N13" s="647"/>
      <c r="O13" s="648"/>
      <c r="P13" s="335"/>
      <c r="Q13" s="335"/>
    </row>
    <row r="14" spans="1:22" ht="12.95" customHeight="1">
      <c r="A14" s="412"/>
      <c r="B14" s="630" t="s">
        <v>430</v>
      </c>
      <c r="C14" s="631"/>
      <c r="D14" s="631"/>
      <c r="E14" s="631"/>
      <c r="F14" s="631"/>
      <c r="G14" s="631"/>
      <c r="H14" s="631"/>
      <c r="I14" s="631"/>
      <c r="J14" s="631"/>
      <c r="K14" s="631"/>
      <c r="L14" s="631"/>
      <c r="M14" s="632"/>
      <c r="N14" s="376" t="s">
        <v>158</v>
      </c>
      <c r="O14" s="378">
        <f>K11-K13</f>
        <v>0</v>
      </c>
      <c r="P14" s="334"/>
      <c r="Q14" s="334"/>
    </row>
    <row r="15" spans="1:22" ht="12.95" customHeight="1">
      <c r="A15" s="412">
        <v>8</v>
      </c>
      <c r="B15" s="634" t="s">
        <v>455</v>
      </c>
      <c r="C15" s="634"/>
      <c r="D15" s="634"/>
      <c r="E15" s="633">
        <f>'Extra deduc'!J15</f>
        <v>0</v>
      </c>
      <c r="F15" s="633"/>
      <c r="G15" s="633"/>
      <c r="H15" s="363"/>
      <c r="I15" s="363"/>
      <c r="J15" s="631" t="s">
        <v>454</v>
      </c>
      <c r="K15" s="631"/>
      <c r="L15" s="631"/>
      <c r="M15" s="632"/>
      <c r="N15" s="376" t="s">
        <v>158</v>
      </c>
      <c r="O15" s="378">
        <f>O10+O14</f>
        <v>697656</v>
      </c>
      <c r="P15" s="334"/>
      <c r="Q15" s="334"/>
    </row>
    <row r="16" spans="1:22" ht="15.75">
      <c r="A16" s="412">
        <v>9</v>
      </c>
      <c r="B16" s="634" t="s">
        <v>456</v>
      </c>
      <c r="C16" s="634"/>
      <c r="D16" s="634"/>
      <c r="E16" s="633">
        <f>'Extra deduc'!J5</f>
        <v>0</v>
      </c>
      <c r="F16" s="633"/>
      <c r="G16" s="633"/>
      <c r="H16" s="363"/>
      <c r="I16" s="363"/>
      <c r="J16" s="363"/>
      <c r="K16" s="631" t="s">
        <v>458</v>
      </c>
      <c r="L16" s="631"/>
      <c r="M16" s="632"/>
      <c r="N16" s="376" t="s">
        <v>158</v>
      </c>
      <c r="O16" s="378">
        <f>E15+E16</f>
        <v>0</v>
      </c>
      <c r="P16" s="334"/>
      <c r="Q16" s="334"/>
    </row>
    <row r="17" spans="1:22" ht="15.75">
      <c r="A17" s="412">
        <v>10</v>
      </c>
      <c r="B17" s="591" t="s">
        <v>457</v>
      </c>
      <c r="C17" s="591"/>
      <c r="D17" s="591"/>
      <c r="E17" s="591"/>
      <c r="F17" s="591"/>
      <c r="G17" s="591"/>
      <c r="H17" s="591"/>
      <c r="I17" s="591"/>
      <c r="J17" s="591"/>
      <c r="K17" s="591"/>
      <c r="L17" s="591"/>
      <c r="M17" s="591"/>
      <c r="N17" s="376" t="s">
        <v>158</v>
      </c>
      <c r="O17" s="377">
        <f>O15+O16</f>
        <v>697656</v>
      </c>
      <c r="P17" s="336"/>
      <c r="Q17" s="336"/>
    </row>
    <row r="18" spans="1:22" ht="15" customHeight="1">
      <c r="A18" s="600">
        <v>11</v>
      </c>
      <c r="B18" s="651" t="s">
        <v>431</v>
      </c>
      <c r="C18" s="651"/>
      <c r="D18" s="651"/>
      <c r="E18" s="651"/>
      <c r="F18" s="651"/>
      <c r="G18" s="651"/>
      <c r="H18" s="651"/>
      <c r="I18" s="651"/>
      <c r="J18" s="651"/>
      <c r="K18" s="651"/>
      <c r="L18" s="651"/>
      <c r="M18" s="651"/>
      <c r="N18" s="651"/>
      <c r="O18" s="652"/>
      <c r="P18" s="337"/>
      <c r="Q18" s="337"/>
    </row>
    <row r="19" spans="1:22" ht="12.95" customHeight="1">
      <c r="A19" s="606"/>
      <c r="B19" s="653" t="s">
        <v>464</v>
      </c>
      <c r="C19" s="653"/>
      <c r="D19" s="653"/>
      <c r="E19" s="653"/>
      <c r="F19" s="653"/>
      <c r="G19" s="653"/>
      <c r="H19" s="653"/>
      <c r="I19" s="653"/>
      <c r="J19" s="653"/>
      <c r="K19" s="653"/>
      <c r="L19" s="653"/>
      <c r="M19" s="653"/>
      <c r="N19" s="653"/>
      <c r="O19" s="654"/>
      <c r="P19" s="338"/>
      <c r="Q19" s="338"/>
    </row>
    <row r="20" spans="1:22" ht="12.95" customHeight="1">
      <c r="A20" s="606"/>
      <c r="B20" s="385" t="s">
        <v>47</v>
      </c>
      <c r="C20" s="626" t="s">
        <v>433</v>
      </c>
      <c r="D20" s="626"/>
      <c r="E20" s="626"/>
      <c r="F20" s="345" t="s">
        <v>158</v>
      </c>
      <c r="G20" s="382">
        <f>'GA55 Summry'!M27</f>
        <v>48000</v>
      </c>
      <c r="H20" s="386" t="s">
        <v>168</v>
      </c>
      <c r="I20" s="655" t="s">
        <v>534</v>
      </c>
      <c r="J20" s="655"/>
      <c r="K20" s="655"/>
      <c r="L20" s="345" t="s">
        <v>158</v>
      </c>
      <c r="M20" s="382">
        <f>'GA55 Summry'!P27</f>
        <v>0</v>
      </c>
      <c r="N20" s="656"/>
      <c r="O20" s="657"/>
      <c r="P20" s="333"/>
      <c r="Q20" s="333"/>
    </row>
    <row r="21" spans="1:22" ht="12.95" customHeight="1">
      <c r="A21" s="606"/>
      <c r="B21" s="385" t="s">
        <v>48</v>
      </c>
      <c r="C21" s="626" t="s">
        <v>198</v>
      </c>
      <c r="D21" s="626"/>
      <c r="E21" s="626"/>
      <c r="F21" s="345" t="s">
        <v>158</v>
      </c>
      <c r="G21" s="382">
        <f>'GA55 Summry'!Q27</f>
        <v>25896</v>
      </c>
      <c r="H21" s="386" t="s">
        <v>169</v>
      </c>
      <c r="I21" s="658" t="s">
        <v>533</v>
      </c>
      <c r="J21" s="658"/>
      <c r="K21" s="658"/>
      <c r="L21" s="345" t="s">
        <v>158</v>
      </c>
      <c r="M21" s="382">
        <f>'Extra deduc'!J6</f>
        <v>0</v>
      </c>
      <c r="N21" s="656"/>
      <c r="O21" s="657"/>
      <c r="P21" s="333"/>
      <c r="Q21" s="333"/>
    </row>
    <row r="22" spans="1:22" ht="12.95" customHeight="1">
      <c r="A22" s="606"/>
      <c r="B22" s="385" t="s">
        <v>49</v>
      </c>
      <c r="C22" s="626" t="s">
        <v>199</v>
      </c>
      <c r="D22" s="626"/>
      <c r="E22" s="626"/>
      <c r="F22" s="345" t="s">
        <v>158</v>
      </c>
      <c r="G22" s="382">
        <f>'Extra deduc'!G16</f>
        <v>0</v>
      </c>
      <c r="H22" s="386" t="s">
        <v>171</v>
      </c>
      <c r="I22" s="658" t="s">
        <v>170</v>
      </c>
      <c r="J22" s="658"/>
      <c r="K22" s="658"/>
      <c r="L22" s="345" t="s">
        <v>158</v>
      </c>
      <c r="M22" s="383">
        <f>'Extra deduc'!G17</f>
        <v>0</v>
      </c>
      <c r="N22" s="656"/>
      <c r="O22" s="657"/>
      <c r="P22" s="333"/>
      <c r="Q22" s="333"/>
    </row>
    <row r="23" spans="1:22" ht="12.95" customHeight="1">
      <c r="A23" s="606"/>
      <c r="B23" s="385" t="s">
        <v>50</v>
      </c>
      <c r="C23" s="626" t="s">
        <v>200</v>
      </c>
      <c r="D23" s="626"/>
      <c r="E23" s="626"/>
      <c r="F23" s="345" t="s">
        <v>158</v>
      </c>
      <c r="G23" s="382">
        <f>'Extra deduc'!G18</f>
        <v>0</v>
      </c>
      <c r="H23" s="386" t="s">
        <v>173</v>
      </c>
      <c r="I23" s="658" t="s">
        <v>172</v>
      </c>
      <c r="J23" s="658"/>
      <c r="K23" s="658"/>
      <c r="L23" s="345" t="s">
        <v>158</v>
      </c>
      <c r="M23" s="383">
        <f>'Extra deduc'!G14</f>
        <v>0</v>
      </c>
      <c r="N23" s="656"/>
      <c r="O23" s="657"/>
      <c r="P23" s="333"/>
      <c r="Q23" s="333"/>
    </row>
    <row r="24" spans="1:22" ht="12.95" customHeight="1">
      <c r="A24" s="606"/>
      <c r="B24" s="385" t="s">
        <v>51</v>
      </c>
      <c r="C24" s="626" t="s">
        <v>421</v>
      </c>
      <c r="D24" s="626"/>
      <c r="E24" s="626"/>
      <c r="F24" s="345" t="s">
        <v>158</v>
      </c>
      <c r="G24" s="382">
        <f>'Extra deduc'!G19</f>
        <v>0</v>
      </c>
      <c r="H24" s="386" t="s">
        <v>175</v>
      </c>
      <c r="I24" s="658" t="s">
        <v>174</v>
      </c>
      <c r="J24" s="658"/>
      <c r="K24" s="658"/>
      <c r="L24" s="345" t="s">
        <v>158</v>
      </c>
      <c r="M24" s="382">
        <f>'Extra deduc'!J18</f>
        <v>0</v>
      </c>
      <c r="N24" s="656"/>
      <c r="O24" s="657"/>
      <c r="P24" s="333"/>
      <c r="Q24" s="333"/>
    </row>
    <row r="25" spans="1:22" ht="12.95" customHeight="1">
      <c r="A25" s="606"/>
      <c r="B25" s="385" t="s">
        <v>52</v>
      </c>
      <c r="C25" s="626" t="s">
        <v>422</v>
      </c>
      <c r="D25" s="626"/>
      <c r="E25" s="626"/>
      <c r="F25" s="345" t="s">
        <v>158</v>
      </c>
      <c r="G25" s="382">
        <f>'GA55 Summry'!N27</f>
        <v>45774</v>
      </c>
      <c r="H25" s="386" t="s">
        <v>176</v>
      </c>
      <c r="I25" s="658" t="s">
        <v>423</v>
      </c>
      <c r="J25" s="658"/>
      <c r="K25" s="658"/>
      <c r="L25" s="345" t="s">
        <v>158</v>
      </c>
      <c r="M25" s="382">
        <f>'Extra deduc'!J19</f>
        <v>0</v>
      </c>
      <c r="N25" s="656"/>
      <c r="O25" s="657"/>
      <c r="P25" s="333"/>
      <c r="Q25" s="333"/>
    </row>
    <row r="26" spans="1:22" ht="12.95" customHeight="1">
      <c r="A26" s="606"/>
      <c r="B26" s="385" t="s">
        <v>53</v>
      </c>
      <c r="C26" s="626" t="s">
        <v>424</v>
      </c>
      <c r="D26" s="626"/>
      <c r="E26" s="626"/>
      <c r="F26" s="345" t="s">
        <v>158</v>
      </c>
      <c r="G26" s="383">
        <f>IF('GA55 Summry'!V27&gt;=100,220,"0")</f>
        <v>220</v>
      </c>
      <c r="H26" s="386" t="s">
        <v>179</v>
      </c>
      <c r="I26" s="620" t="s">
        <v>532</v>
      </c>
      <c r="J26" s="620"/>
      <c r="K26" s="620"/>
      <c r="L26" s="345" t="s">
        <v>158</v>
      </c>
      <c r="M26" s="382">
        <f>'Extra deduc'!G13</f>
        <v>0</v>
      </c>
      <c r="N26" s="656"/>
      <c r="O26" s="657"/>
      <c r="P26" s="333"/>
      <c r="Q26" s="333"/>
    </row>
    <row r="27" spans="1:22" ht="12.95" customHeight="1">
      <c r="A27" s="606"/>
      <c r="B27" s="385" t="s">
        <v>177</v>
      </c>
      <c r="C27" s="626" t="s">
        <v>178</v>
      </c>
      <c r="D27" s="626"/>
      <c r="E27" s="626"/>
      <c r="F27" s="345" t="s">
        <v>158</v>
      </c>
      <c r="G27" s="383">
        <f>'Extra deduc'!G15</f>
        <v>0</v>
      </c>
      <c r="H27" s="386" t="s">
        <v>425</v>
      </c>
      <c r="I27" s="620" t="s">
        <v>180</v>
      </c>
      <c r="J27" s="620"/>
      <c r="K27" s="620"/>
      <c r="L27" s="345" t="s">
        <v>158</v>
      </c>
      <c r="M27" s="382">
        <f>'Extra deduc'!J7</f>
        <v>0</v>
      </c>
      <c r="N27" s="656"/>
      <c r="O27" s="657"/>
      <c r="P27" s="333"/>
      <c r="Q27" s="333"/>
    </row>
    <row r="28" spans="1:22" ht="12.95" customHeight="1">
      <c r="A28" s="606"/>
      <c r="B28" s="385" t="s">
        <v>181</v>
      </c>
      <c r="C28" s="626" t="s">
        <v>434</v>
      </c>
      <c r="D28" s="626"/>
      <c r="E28" s="626"/>
      <c r="F28" s="345" t="s">
        <v>158</v>
      </c>
      <c r="G28" s="383">
        <f>'Extra deduc'!G10</f>
        <v>0</v>
      </c>
      <c r="H28" s="386" t="s">
        <v>427</v>
      </c>
      <c r="I28" s="620" t="s">
        <v>182</v>
      </c>
      <c r="J28" s="620"/>
      <c r="K28" s="620"/>
      <c r="L28" s="345" t="s">
        <v>158</v>
      </c>
      <c r="M28" s="382">
        <f>'Extra deduc'!G20</f>
        <v>0</v>
      </c>
      <c r="N28" s="656"/>
      <c r="O28" s="657"/>
      <c r="P28" s="333"/>
      <c r="Q28" s="333"/>
    </row>
    <row r="29" spans="1:22" ht="15.75">
      <c r="A29" s="606"/>
      <c r="B29" s="385" t="s">
        <v>167</v>
      </c>
      <c r="C29" s="619" t="s">
        <v>535</v>
      </c>
      <c r="D29" s="619"/>
      <c r="E29" s="619"/>
      <c r="F29" s="345" t="s">
        <v>158</v>
      </c>
      <c r="G29" s="382">
        <f>'Extra deduc'!G12</f>
        <v>0</v>
      </c>
      <c r="H29" s="386" t="s">
        <v>428</v>
      </c>
      <c r="I29" s="620" t="s">
        <v>435</v>
      </c>
      <c r="J29" s="620"/>
      <c r="K29" s="620"/>
      <c r="L29" s="345" t="s">
        <v>158</v>
      </c>
      <c r="M29" s="382">
        <f>'Extra deduc'!G21</f>
        <v>0</v>
      </c>
      <c r="N29" s="656"/>
      <c r="O29" s="657"/>
      <c r="P29" s="333"/>
      <c r="Q29" s="333"/>
    </row>
    <row r="30" spans="1:22" ht="15.75">
      <c r="A30" s="606"/>
      <c r="B30" s="621" t="s">
        <v>432</v>
      </c>
      <c r="C30" s="621"/>
      <c r="D30" s="621"/>
      <c r="E30" s="621"/>
      <c r="F30" s="621"/>
      <c r="G30" s="621"/>
      <c r="H30" s="621"/>
      <c r="I30" s="621"/>
      <c r="J30" s="621"/>
      <c r="K30" s="621"/>
      <c r="L30" s="345" t="s">
        <v>158</v>
      </c>
      <c r="M30" s="384">
        <f>SUM(G20:G29)+SUM(M20:M29)</f>
        <v>119890</v>
      </c>
      <c r="N30" s="656"/>
      <c r="O30" s="657"/>
      <c r="P30" s="333"/>
      <c r="Q30" s="333"/>
    </row>
    <row r="31" spans="1:22" ht="15.75" customHeight="1">
      <c r="A31" s="606"/>
      <c r="B31" s="622" t="s">
        <v>183</v>
      </c>
      <c r="C31" s="622"/>
      <c r="D31" s="622"/>
      <c r="E31" s="622"/>
      <c r="F31" s="622"/>
      <c r="G31" s="622"/>
      <c r="H31" s="622"/>
      <c r="I31" s="622"/>
      <c r="J31" s="622"/>
      <c r="K31" s="622"/>
      <c r="L31" s="622"/>
      <c r="M31" s="622"/>
      <c r="N31" s="359" t="s">
        <v>158</v>
      </c>
      <c r="O31" s="377">
        <f>IF(M30&lt;150001,ROUND(M30,0),150000)</f>
        <v>119890</v>
      </c>
      <c r="P31" s="336"/>
      <c r="Q31" s="348"/>
      <c r="R31" s="613" t="s">
        <v>362</v>
      </c>
      <c r="S31" s="613"/>
      <c r="T31" s="613"/>
      <c r="U31" s="613"/>
      <c r="V31" s="613"/>
    </row>
    <row r="32" spans="1:22" ht="15.75" customHeight="1">
      <c r="A32" s="606"/>
      <c r="B32" s="623" t="s">
        <v>438</v>
      </c>
      <c r="C32" s="623"/>
      <c r="D32" s="623"/>
      <c r="E32" s="623"/>
      <c r="F32" s="623"/>
      <c r="G32" s="623"/>
      <c r="H32" s="623"/>
      <c r="I32" s="623"/>
      <c r="J32" s="623"/>
      <c r="K32" s="623"/>
      <c r="L32" s="623"/>
      <c r="M32" s="623"/>
      <c r="N32" s="359"/>
      <c r="O32" s="377">
        <f>M20</f>
        <v>0</v>
      </c>
      <c r="P32" s="334"/>
      <c r="Q32" s="348" t="s">
        <v>450</v>
      </c>
      <c r="R32" s="613"/>
      <c r="S32" s="613"/>
      <c r="T32" s="613"/>
      <c r="U32" s="613"/>
      <c r="V32" s="613"/>
    </row>
    <row r="33" spans="1:22" ht="15.75" customHeight="1">
      <c r="A33" s="606"/>
      <c r="B33" s="624" t="s">
        <v>439</v>
      </c>
      <c r="C33" s="624"/>
      <c r="D33" s="624"/>
      <c r="E33" s="624"/>
      <c r="F33" s="624"/>
      <c r="G33" s="624"/>
      <c r="H33" s="624"/>
      <c r="I33" s="624"/>
      <c r="J33" s="624"/>
      <c r="K33" s="624"/>
      <c r="L33" s="624"/>
      <c r="M33" s="624"/>
      <c r="N33" s="359" t="s">
        <v>158</v>
      </c>
      <c r="O33" s="378">
        <f>'Extra deduc'!J8</f>
        <v>0</v>
      </c>
      <c r="P33" s="334"/>
      <c r="Q33" s="334"/>
      <c r="R33" s="613"/>
      <c r="S33" s="613"/>
      <c r="T33" s="613"/>
      <c r="U33" s="613"/>
      <c r="V33" s="613"/>
    </row>
    <row r="34" spans="1:22" ht="18.75" customHeight="1">
      <c r="A34" s="601"/>
      <c r="B34" s="625" t="s">
        <v>440</v>
      </c>
      <c r="C34" s="625"/>
      <c r="D34" s="625"/>
      <c r="E34" s="625"/>
      <c r="F34" s="625"/>
      <c r="G34" s="625"/>
      <c r="H34" s="625"/>
      <c r="I34" s="625"/>
      <c r="J34" s="625"/>
      <c r="K34" s="625"/>
      <c r="L34" s="625"/>
      <c r="M34" s="625"/>
      <c r="N34" s="359" t="s">
        <v>158</v>
      </c>
      <c r="O34" s="377">
        <f>SUM(O31:O33)</f>
        <v>119890</v>
      </c>
      <c r="P34" s="336"/>
      <c r="Q34" s="336"/>
      <c r="R34" s="613"/>
      <c r="S34" s="613"/>
      <c r="T34" s="613"/>
      <c r="U34" s="613"/>
      <c r="V34" s="613"/>
    </row>
    <row r="35" spans="1:22" ht="13.5" customHeight="1">
      <c r="A35" s="600">
        <v>12</v>
      </c>
      <c r="B35" s="591" t="s">
        <v>184</v>
      </c>
      <c r="C35" s="591"/>
      <c r="D35" s="591"/>
      <c r="E35" s="591"/>
      <c r="F35" s="591"/>
      <c r="G35" s="591"/>
      <c r="H35" s="591"/>
      <c r="I35" s="591"/>
      <c r="J35" s="591"/>
      <c r="K35" s="591"/>
      <c r="L35" s="591"/>
      <c r="M35" s="591"/>
      <c r="N35" s="591"/>
      <c r="O35" s="659"/>
      <c r="P35" s="337"/>
      <c r="Q35" s="337"/>
      <c r="R35" s="613"/>
      <c r="S35" s="613"/>
      <c r="T35" s="613"/>
      <c r="U35" s="613"/>
      <c r="V35" s="613"/>
    </row>
    <row r="36" spans="1:22" s="85" customFormat="1" ht="14.1" customHeight="1">
      <c r="A36" s="606"/>
      <c r="B36" s="626" t="s">
        <v>459</v>
      </c>
      <c r="C36" s="626"/>
      <c r="D36" s="626"/>
      <c r="E36" s="626"/>
      <c r="F36" s="626"/>
      <c r="G36" s="626"/>
      <c r="H36" s="626"/>
      <c r="I36" s="626"/>
      <c r="J36" s="626"/>
      <c r="K36" s="626"/>
      <c r="L36" s="626"/>
      <c r="M36" s="626"/>
      <c r="N36" s="359" t="s">
        <v>158</v>
      </c>
      <c r="O36" s="378">
        <f>'Extra deduc'!J9</f>
        <v>0</v>
      </c>
      <c r="P36" s="334"/>
      <c r="Q36" s="334"/>
      <c r="R36" s="613"/>
      <c r="S36" s="613"/>
      <c r="T36" s="613"/>
      <c r="U36" s="613"/>
      <c r="V36" s="613"/>
    </row>
    <row r="37" spans="1:22" s="85" customFormat="1" ht="14.1" customHeight="1">
      <c r="A37" s="606"/>
      <c r="B37" s="626" t="s">
        <v>441</v>
      </c>
      <c r="C37" s="626"/>
      <c r="D37" s="626"/>
      <c r="E37" s="626"/>
      <c r="F37" s="626"/>
      <c r="G37" s="626"/>
      <c r="H37" s="626"/>
      <c r="I37" s="626"/>
      <c r="J37" s="626"/>
      <c r="K37" s="626"/>
      <c r="L37" s="626"/>
      <c r="M37" s="626"/>
      <c r="N37" s="359" t="s">
        <v>158</v>
      </c>
      <c r="O37" s="378">
        <f>'Extra deduc'!J10</f>
        <v>0</v>
      </c>
      <c r="P37" s="334"/>
      <c r="Q37" s="334"/>
    </row>
    <row r="38" spans="1:22" s="85" customFormat="1" ht="14.1" customHeight="1">
      <c r="A38" s="606"/>
      <c r="B38" s="626" t="s">
        <v>460</v>
      </c>
      <c r="C38" s="626"/>
      <c r="D38" s="626"/>
      <c r="E38" s="626"/>
      <c r="F38" s="626"/>
      <c r="G38" s="626"/>
      <c r="H38" s="626"/>
      <c r="I38" s="626"/>
      <c r="J38" s="626"/>
      <c r="K38" s="626"/>
      <c r="L38" s="626"/>
      <c r="M38" s="626"/>
      <c r="N38" s="359" t="s">
        <v>158</v>
      </c>
      <c r="O38" s="378">
        <f>'Extra deduc'!J11</f>
        <v>0</v>
      </c>
      <c r="P38" s="334"/>
      <c r="Q38" s="334"/>
    </row>
    <row r="39" spans="1:22" s="85" customFormat="1" ht="14.1" customHeight="1">
      <c r="A39" s="606"/>
      <c r="B39" s="626" t="s">
        <v>442</v>
      </c>
      <c r="C39" s="626"/>
      <c r="D39" s="626"/>
      <c r="E39" s="626"/>
      <c r="F39" s="626"/>
      <c r="G39" s="626"/>
      <c r="H39" s="626"/>
      <c r="I39" s="626"/>
      <c r="J39" s="626"/>
      <c r="K39" s="626"/>
      <c r="L39" s="626"/>
      <c r="M39" s="626"/>
      <c r="N39" s="359" t="s">
        <v>158</v>
      </c>
      <c r="O39" s="378">
        <f>'Extra deduc'!J12</f>
        <v>0</v>
      </c>
      <c r="P39" s="334"/>
      <c r="Q39" s="334"/>
    </row>
    <row r="40" spans="1:22" s="85" customFormat="1" ht="14.1" customHeight="1">
      <c r="A40" s="606"/>
      <c r="B40" s="626" t="s">
        <v>443</v>
      </c>
      <c r="C40" s="626"/>
      <c r="D40" s="626"/>
      <c r="E40" s="626"/>
      <c r="F40" s="626"/>
      <c r="G40" s="626"/>
      <c r="H40" s="626"/>
      <c r="I40" s="626"/>
      <c r="J40" s="626"/>
      <c r="K40" s="626"/>
      <c r="L40" s="626"/>
      <c r="M40" s="626"/>
      <c r="N40" s="359" t="s">
        <v>158</v>
      </c>
      <c r="O40" s="378">
        <f>'Extra deduc'!J13</f>
        <v>0</v>
      </c>
      <c r="P40" s="334"/>
      <c r="Q40" s="334"/>
    </row>
    <row r="41" spans="1:22" s="85" customFormat="1" ht="14.1" customHeight="1">
      <c r="A41" s="606"/>
      <c r="B41" s="626" t="s">
        <v>461</v>
      </c>
      <c r="C41" s="626"/>
      <c r="D41" s="626"/>
      <c r="E41" s="626"/>
      <c r="F41" s="626"/>
      <c r="G41" s="626"/>
      <c r="H41" s="626"/>
      <c r="I41" s="626"/>
      <c r="J41" s="626"/>
      <c r="K41" s="626"/>
      <c r="L41" s="626"/>
      <c r="M41" s="626"/>
      <c r="N41" s="359" t="s">
        <v>158</v>
      </c>
      <c r="O41" s="378">
        <f>'Extra deduc'!J14</f>
        <v>0</v>
      </c>
      <c r="P41" s="334"/>
      <c r="Q41" s="334"/>
    </row>
    <row r="42" spans="1:22" s="85" customFormat="1" ht="14.1" customHeight="1">
      <c r="A42" s="606"/>
      <c r="B42" s="626" t="s">
        <v>462</v>
      </c>
      <c r="C42" s="626"/>
      <c r="D42" s="626"/>
      <c r="E42" s="626"/>
      <c r="F42" s="626"/>
      <c r="G42" s="626"/>
      <c r="H42" s="626"/>
      <c r="I42" s="626"/>
      <c r="J42" s="626"/>
      <c r="K42" s="626"/>
      <c r="L42" s="626"/>
      <c r="M42" s="626"/>
      <c r="N42" s="359" t="s">
        <v>158</v>
      </c>
      <c r="O42" s="378">
        <f>IF('Extra deduc'!J15&lt;10001, 'Extra deduc'!J15, 10000)</f>
        <v>0</v>
      </c>
      <c r="P42" s="334"/>
      <c r="Q42" s="334"/>
    </row>
    <row r="43" spans="1:22" ht="15.75">
      <c r="A43" s="606"/>
      <c r="B43" s="626" t="s">
        <v>444</v>
      </c>
      <c r="C43" s="626"/>
      <c r="D43" s="626"/>
      <c r="E43" s="626"/>
      <c r="F43" s="626"/>
      <c r="G43" s="626"/>
      <c r="H43" s="626"/>
      <c r="I43" s="626"/>
      <c r="J43" s="626"/>
      <c r="K43" s="626"/>
      <c r="L43" s="626"/>
      <c r="M43" s="626"/>
      <c r="N43" s="359" t="s">
        <v>158</v>
      </c>
      <c r="O43" s="378">
        <f>'Extra deduc'!J16</f>
        <v>0</v>
      </c>
      <c r="P43" s="334"/>
      <c r="Q43" s="334"/>
    </row>
    <row r="44" spans="1:22" ht="14.25" customHeight="1">
      <c r="A44" s="601"/>
      <c r="B44" s="622" t="s">
        <v>445</v>
      </c>
      <c r="C44" s="622"/>
      <c r="D44" s="622"/>
      <c r="E44" s="622"/>
      <c r="F44" s="622"/>
      <c r="G44" s="622"/>
      <c r="H44" s="622"/>
      <c r="I44" s="622"/>
      <c r="J44" s="622"/>
      <c r="K44" s="622"/>
      <c r="L44" s="622"/>
      <c r="M44" s="622"/>
      <c r="N44" s="359" t="s">
        <v>158</v>
      </c>
      <c r="O44" s="379">
        <f>SUM(O36:O43)</f>
        <v>0</v>
      </c>
      <c r="P44" s="339"/>
      <c r="Q44" s="339"/>
    </row>
    <row r="45" spans="1:22" ht="15.75">
      <c r="A45" s="412">
        <v>13</v>
      </c>
      <c r="B45" s="665" t="s">
        <v>446</v>
      </c>
      <c r="C45" s="665"/>
      <c r="D45" s="665"/>
      <c r="E45" s="665"/>
      <c r="F45" s="665"/>
      <c r="G45" s="665"/>
      <c r="H45" s="665"/>
      <c r="I45" s="665"/>
      <c r="J45" s="665"/>
      <c r="K45" s="665"/>
      <c r="L45" s="665"/>
      <c r="M45" s="665"/>
      <c r="N45" s="359" t="s">
        <v>158</v>
      </c>
      <c r="O45" s="377">
        <f>O34+O44</f>
        <v>119890</v>
      </c>
      <c r="P45" s="334"/>
      <c r="Q45" s="334"/>
    </row>
    <row r="46" spans="1:22" ht="15.75">
      <c r="A46" s="412">
        <v>14</v>
      </c>
      <c r="B46" s="626" t="s">
        <v>447</v>
      </c>
      <c r="C46" s="626"/>
      <c r="D46" s="626"/>
      <c r="E46" s="626"/>
      <c r="F46" s="626"/>
      <c r="G46" s="626"/>
      <c r="H46" s="626"/>
      <c r="I46" s="626"/>
      <c r="J46" s="626"/>
      <c r="K46" s="626"/>
      <c r="L46" s="626"/>
      <c r="M46" s="626"/>
      <c r="N46" s="359" t="s">
        <v>158</v>
      </c>
      <c r="O46" s="377">
        <f>(O17-O45)</f>
        <v>577766</v>
      </c>
      <c r="P46" s="334"/>
      <c r="Q46" s="334"/>
    </row>
    <row r="47" spans="1:22" s="85" customFormat="1" ht="14.1" customHeight="1">
      <c r="A47" s="412">
        <v>15</v>
      </c>
      <c r="B47" s="665" t="s">
        <v>426</v>
      </c>
      <c r="C47" s="665"/>
      <c r="D47" s="665"/>
      <c r="E47" s="665"/>
      <c r="F47" s="665"/>
      <c r="G47" s="665"/>
      <c r="H47" s="665"/>
      <c r="I47" s="665"/>
      <c r="J47" s="665"/>
      <c r="K47" s="665"/>
      <c r="L47" s="665"/>
      <c r="M47" s="665"/>
      <c r="N47" s="359" t="s">
        <v>158</v>
      </c>
      <c r="O47" s="377">
        <f>ROUND(O46,-1)</f>
        <v>577770</v>
      </c>
      <c r="P47" s="336"/>
      <c r="Q47" s="336"/>
    </row>
    <row r="48" spans="1:22" s="85" customFormat="1" ht="14.1" customHeight="1">
      <c r="A48" s="600">
        <v>16</v>
      </c>
      <c r="B48" s="607" t="s">
        <v>185</v>
      </c>
      <c r="C48" s="608"/>
      <c r="D48" s="608"/>
      <c r="E48" s="608"/>
      <c r="F48" s="608"/>
      <c r="G48" s="608"/>
      <c r="H48" s="608"/>
      <c r="I48" s="608"/>
      <c r="J48" s="608"/>
      <c r="K48" s="608"/>
      <c r="L48" s="608"/>
      <c r="M48" s="608"/>
      <c r="N48" s="608"/>
      <c r="O48" s="609"/>
      <c r="P48" s="340"/>
      <c r="Q48" s="340"/>
    </row>
    <row r="49" spans="1:25" s="85" customFormat="1" ht="14.1" customHeight="1">
      <c r="A49" s="606"/>
      <c r="B49" s="610" t="s">
        <v>186</v>
      </c>
      <c r="C49" s="610"/>
      <c r="D49" s="610"/>
      <c r="E49" s="610"/>
      <c r="F49" s="610" t="s">
        <v>187</v>
      </c>
      <c r="G49" s="610"/>
      <c r="H49" s="610"/>
      <c r="I49" s="610"/>
      <c r="J49" s="610" t="s">
        <v>188</v>
      </c>
      <c r="K49" s="610"/>
      <c r="L49" s="610"/>
      <c r="M49" s="610"/>
      <c r="N49" s="346"/>
      <c r="O49" s="352"/>
      <c r="P49" s="341"/>
      <c r="Q49" s="341"/>
    </row>
    <row r="50" spans="1:25" s="85" customFormat="1" ht="14.1" customHeight="1">
      <c r="A50" s="606"/>
      <c r="B50" s="593" t="s">
        <v>484</v>
      </c>
      <c r="C50" s="593"/>
      <c r="D50" s="593"/>
      <c r="E50" s="330" t="s">
        <v>189</v>
      </c>
      <c r="F50" s="593" t="s">
        <v>485</v>
      </c>
      <c r="G50" s="593"/>
      <c r="H50" s="593"/>
      <c r="I50" s="330" t="s">
        <v>189</v>
      </c>
      <c r="J50" s="593"/>
      <c r="K50" s="593"/>
      <c r="L50" s="593"/>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c r="A51" s="606"/>
      <c r="B51" s="593" t="s">
        <v>190</v>
      </c>
      <c r="C51" s="593"/>
      <c r="D51" s="593"/>
      <c r="E51" s="331">
        <v>0.05</v>
      </c>
      <c r="F51" s="593" t="s">
        <v>191</v>
      </c>
      <c r="G51" s="593"/>
      <c r="H51" s="593"/>
      <c r="I51" s="331">
        <v>0.05</v>
      </c>
      <c r="J51" s="593" t="s">
        <v>486</v>
      </c>
      <c r="K51" s="593"/>
      <c r="L51" s="593"/>
      <c r="M51" s="330" t="s">
        <v>189</v>
      </c>
      <c r="N51" s="408" t="s">
        <v>158</v>
      </c>
      <c r="O51" s="380">
        <f>IF(AND(Master!E3=Master!AB22),W50,IF(AND(Master!E3=Master!AB23),X50,IF(AND(Master!E3=Master!AB24),Y50,"")))</f>
        <v>12500</v>
      </c>
      <c r="P51" s="342"/>
      <c r="Q51" s="342"/>
      <c r="W51" s="85">
        <f>ROUND(IF(O47&lt;=500000,0,IF(O47&gt;=1000000,100000,IF(O47&lt;=1000000,(O47-500000)*0.2,"0"))),0)</f>
        <v>15554</v>
      </c>
      <c r="X51" s="85">
        <f>ROUND(IF(O47&lt;=500000,0,IF(O47&gt;=1000000,100000,IF(O47&lt;=1000000,(O47-500000)*0.2,"0"))),0)</f>
        <v>15554</v>
      </c>
      <c r="Y51" s="85">
        <f>ROUND(IF(O47&lt;=500000,0,IF(O47&gt;=1000000,100000,IF(O47&lt;=1000000,(O47-500000)*0.2,"0"))),0)</f>
        <v>15554</v>
      </c>
    </row>
    <row r="52" spans="1:25" s="85" customFormat="1" ht="14.1" customHeight="1">
      <c r="A52" s="606"/>
      <c r="B52" s="593" t="s">
        <v>192</v>
      </c>
      <c r="C52" s="593"/>
      <c r="D52" s="593"/>
      <c r="E52" s="331">
        <v>0.2</v>
      </c>
      <c r="F52" s="593" t="s">
        <v>192</v>
      </c>
      <c r="G52" s="593"/>
      <c r="H52" s="593"/>
      <c r="I52" s="331">
        <v>0.2</v>
      </c>
      <c r="J52" s="593" t="s">
        <v>192</v>
      </c>
      <c r="K52" s="593"/>
      <c r="L52" s="593"/>
      <c r="M52" s="331">
        <v>0.2</v>
      </c>
      <c r="N52" s="408" t="s">
        <v>158</v>
      </c>
      <c r="O52" s="380">
        <f>IF(AND(Master!E3=Master!AB22),W51,IF(AND(Master!E3=Master!AB23),X51,IF(AND(Master!E3=Master!AB24),Y51,"")))</f>
        <v>15554</v>
      </c>
      <c r="P52" s="342"/>
      <c r="Q52" s="342"/>
      <c r="W52" s="85">
        <f>ROUND(IF(O47&gt;1000000,(O47-1000000)*0.3,"0"),0)</f>
        <v>0</v>
      </c>
      <c r="X52" s="85">
        <f>ROUND(IF(O47&gt;1000000,(O47-1000000)*0.3,"0"),0)</f>
        <v>0</v>
      </c>
      <c r="Y52" s="85">
        <f>ROUND(IF(O47&gt;1000000,(O47-1000000)*0.3,"0"),0)</f>
        <v>0</v>
      </c>
    </row>
    <row r="53" spans="1:25" s="85" customFormat="1" ht="14.1" customHeight="1">
      <c r="A53" s="606"/>
      <c r="B53" s="611" t="s">
        <v>542</v>
      </c>
      <c r="C53" s="612"/>
      <c r="D53" s="612"/>
      <c r="E53" s="331">
        <v>0.3</v>
      </c>
      <c r="F53" s="593" t="s">
        <v>487</v>
      </c>
      <c r="G53" s="593"/>
      <c r="H53" s="593"/>
      <c r="I53" s="331">
        <v>0.3</v>
      </c>
      <c r="J53" s="593" t="s">
        <v>487</v>
      </c>
      <c r="K53" s="593"/>
      <c r="L53" s="593"/>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28054</v>
      </c>
      <c r="X53" s="85">
        <f>ROUND(IF(O47&lt;=300000,0,IF(O47&lt;=500000,(O47-300000)*0.05,IF(O47&lt;=1000000,10000+(O47-500000)*0.2,IF(O47&gt;1000000,110000+(O47-1000000)*0.3,"0")))),0)</f>
        <v>25554</v>
      </c>
      <c r="Y53" s="85">
        <f>ROUND(IF(O47&lt;=250000,0,IF(O47&lt;=500000,(O47-250000)*0.05,IF(O47&lt;=1000000,0+(O47-500000)*0.2,IF(O47&gt;1000000,100000+(O47-1000000)*0.3,"0")))),0)</f>
        <v>15554</v>
      </c>
    </row>
    <row r="54" spans="1:25" s="85" customFormat="1" ht="14.1" customHeight="1">
      <c r="A54" s="606"/>
      <c r="B54" s="660" t="s">
        <v>193</v>
      </c>
      <c r="C54" s="660"/>
      <c r="D54" s="660"/>
      <c r="E54" s="660"/>
      <c r="F54" s="660"/>
      <c r="G54" s="660"/>
      <c r="H54" s="660"/>
      <c r="I54" s="660"/>
      <c r="J54" s="660"/>
      <c r="K54" s="660"/>
      <c r="L54" s="660"/>
      <c r="M54" s="660"/>
      <c r="N54" s="408" t="s">
        <v>158</v>
      </c>
      <c r="O54" s="377">
        <f>SUM(O50:O53)</f>
        <v>28054</v>
      </c>
      <c r="P54" s="336"/>
      <c r="Q54" s="336"/>
    </row>
    <row r="55" spans="1:25" s="85" customFormat="1" ht="14.1" customHeight="1">
      <c r="A55" s="606"/>
      <c r="B55" s="666" t="s">
        <v>536</v>
      </c>
      <c r="C55" s="666"/>
      <c r="D55" s="666"/>
      <c r="E55" s="666"/>
      <c r="F55" s="666"/>
      <c r="G55" s="666"/>
      <c r="H55" s="666"/>
      <c r="I55" s="666"/>
      <c r="J55" s="666"/>
      <c r="K55" s="666"/>
      <c r="L55" s="666"/>
      <c r="M55" s="666"/>
      <c r="N55" s="408" t="s">
        <v>158</v>
      </c>
      <c r="O55" s="377">
        <f>IF(O47&gt;500000,0,IF(O54&lt;12500,O54,12500))</f>
        <v>0</v>
      </c>
      <c r="P55" s="334"/>
      <c r="Q55" s="334"/>
    </row>
    <row r="56" spans="1:25" s="85" customFormat="1" ht="14.1" customHeight="1">
      <c r="A56" s="606"/>
      <c r="B56" s="660" t="s">
        <v>194</v>
      </c>
      <c r="C56" s="667"/>
      <c r="D56" s="667"/>
      <c r="E56" s="667"/>
      <c r="F56" s="660"/>
      <c r="G56" s="660"/>
      <c r="H56" s="660"/>
      <c r="I56" s="660"/>
      <c r="J56" s="660"/>
      <c r="K56" s="660"/>
      <c r="L56" s="660"/>
      <c r="M56" s="660"/>
      <c r="N56" s="408" t="s">
        <v>158</v>
      </c>
      <c r="O56" s="377">
        <f>O54-O55</f>
        <v>28054</v>
      </c>
      <c r="P56" s="336"/>
      <c r="Q56" s="336"/>
      <c r="X56" s="85">
        <f>IF(T59&gt;350000,0,IF(T59&lt;2501,T59,2500))</f>
        <v>0</v>
      </c>
    </row>
    <row r="57" spans="1:25" ht="15" customHeight="1">
      <c r="A57" s="606"/>
      <c r="B57" s="347" t="s">
        <v>448</v>
      </c>
      <c r="C57" s="663" t="s">
        <v>537</v>
      </c>
      <c r="D57" s="663"/>
      <c r="E57" s="663"/>
      <c r="F57" s="663"/>
      <c r="G57" s="663"/>
      <c r="H57" s="663"/>
      <c r="I57" s="663"/>
      <c r="J57" s="663"/>
      <c r="K57" s="663"/>
      <c r="L57" s="663"/>
      <c r="M57" s="664"/>
      <c r="N57" s="408" t="s">
        <v>158</v>
      </c>
      <c r="O57" s="378">
        <f>ROUND((O56*0.04),0)</f>
        <v>1122</v>
      </c>
      <c r="P57" s="334"/>
      <c r="Q57" s="334"/>
    </row>
    <row r="58" spans="1:25" ht="15" customHeight="1">
      <c r="A58" s="601"/>
      <c r="B58" s="661" t="s">
        <v>494</v>
      </c>
      <c r="C58" s="662"/>
      <c r="D58" s="662"/>
      <c r="E58" s="662"/>
      <c r="F58" s="661"/>
      <c r="G58" s="661"/>
      <c r="H58" s="661"/>
      <c r="I58" s="661"/>
      <c r="J58" s="661"/>
      <c r="K58" s="661"/>
      <c r="L58" s="661"/>
      <c r="M58" s="661"/>
      <c r="N58" s="408" t="s">
        <v>158</v>
      </c>
      <c r="O58" s="377">
        <f>SUM(O56:O57)</f>
        <v>29176</v>
      </c>
      <c r="P58" s="336"/>
      <c r="Q58" s="336"/>
    </row>
    <row r="59" spans="1:25" ht="15" customHeight="1">
      <c r="A59" s="412">
        <v>17</v>
      </c>
      <c r="B59" s="590" t="s">
        <v>488</v>
      </c>
      <c r="C59" s="590"/>
      <c r="D59" s="590"/>
      <c r="E59" s="590"/>
      <c r="F59" s="590"/>
      <c r="G59" s="590"/>
      <c r="H59" s="590"/>
      <c r="I59" s="590"/>
      <c r="J59" s="590"/>
      <c r="K59" s="590"/>
      <c r="L59" s="590"/>
      <c r="M59" s="590"/>
      <c r="N59" s="408" t="s">
        <v>158</v>
      </c>
      <c r="O59" s="351" t="str">
        <f>'Extra deduc'!J17</f>
        <v>0</v>
      </c>
      <c r="P59" s="334"/>
      <c r="Q59" s="334"/>
    </row>
    <row r="60" spans="1:25" ht="16.5" customHeight="1">
      <c r="A60" s="412">
        <v>18</v>
      </c>
      <c r="B60" s="591" t="s">
        <v>195</v>
      </c>
      <c r="C60" s="591"/>
      <c r="D60" s="591"/>
      <c r="E60" s="591"/>
      <c r="F60" s="591"/>
      <c r="G60" s="591"/>
      <c r="H60" s="591"/>
      <c r="I60" s="591"/>
      <c r="J60" s="591"/>
      <c r="K60" s="591"/>
      <c r="L60" s="591"/>
      <c r="M60" s="591"/>
      <c r="N60" s="408" t="s">
        <v>158</v>
      </c>
      <c r="O60" s="377">
        <f>O58-O59</f>
        <v>29176</v>
      </c>
      <c r="P60" s="336"/>
      <c r="Q60" s="336"/>
      <c r="Y60" s="4">
        <f>ROUND(IF(Master!E3=Master!AB22,IF(O47&lt;250001,0,IF(O47&gt;500000,12500,((O47-250000)*0.05))),IF(O47&lt;300001,0,IF(O47&gt;500000,10000,((O47-300000)*0.05)))),0)</f>
        <v>12500</v>
      </c>
    </row>
    <row r="61" spans="1:25" ht="31.5" customHeight="1">
      <c r="A61" s="600">
        <v>19</v>
      </c>
      <c r="B61" s="602" t="s">
        <v>196</v>
      </c>
      <c r="C61" s="602"/>
      <c r="D61" s="602"/>
      <c r="E61" s="603" t="s">
        <v>538</v>
      </c>
      <c r="F61" s="603"/>
      <c r="G61" s="603"/>
      <c r="H61" s="604" t="s">
        <v>539</v>
      </c>
      <c r="I61" s="604"/>
      <c r="J61" s="431" t="s">
        <v>540</v>
      </c>
      <c r="K61" s="603" t="s">
        <v>541</v>
      </c>
      <c r="L61" s="603"/>
      <c r="M61" s="594" t="s">
        <v>449</v>
      </c>
      <c r="N61" s="595"/>
      <c r="O61" s="414" t="s">
        <v>495</v>
      </c>
      <c r="P61" s="343"/>
      <c r="Q61" s="343"/>
    </row>
    <row r="62" spans="1:25" ht="15.75">
      <c r="A62" s="601"/>
      <c r="B62" s="602"/>
      <c r="C62" s="602"/>
      <c r="D62" s="602"/>
      <c r="E62" s="596">
        <f>SUM('GA55 Summry'!U6:U12)</f>
        <v>3500</v>
      </c>
      <c r="F62" s="605"/>
      <c r="G62" s="597"/>
      <c r="H62" s="596">
        <f>SUM('GA55 Summry'!U13:U15)</f>
        <v>1500</v>
      </c>
      <c r="I62" s="597"/>
      <c r="J62" s="381">
        <f>SUM('GA55 Summry'!U16)</f>
        <v>500</v>
      </c>
      <c r="K62" s="596">
        <f>SUM('GA55 Summry'!U17)</f>
        <v>500</v>
      </c>
      <c r="L62" s="597"/>
      <c r="M62" s="596">
        <f>SUM('GA55 Summry'!U18:U26)+'Extra deduc'!J20</f>
        <v>0</v>
      </c>
      <c r="N62" s="597"/>
      <c r="O62" s="387">
        <f>'Extra deduc'!J20+'GA55 Summry'!U27</f>
        <v>6000</v>
      </c>
      <c r="P62" s="344"/>
      <c r="Q62" s="344"/>
    </row>
    <row r="63" spans="1:25" ht="15.75" customHeight="1" thickBot="1">
      <c r="A63" s="598" t="str">
        <f>IF(O60&gt;O62,"Income Tax Payable",IF(O60&lt;O62,"Income Tax Refundable","Income Tax Payble/Refundable"))</f>
        <v>Income Tax Payable</v>
      </c>
      <c r="B63" s="599"/>
      <c r="C63" s="599"/>
      <c r="D63" s="599"/>
      <c r="E63" s="599"/>
      <c r="F63" s="599"/>
      <c r="G63" s="599"/>
      <c r="H63" s="599"/>
      <c r="I63" s="599"/>
      <c r="J63" s="599"/>
      <c r="K63" s="599"/>
      <c r="L63" s="599"/>
      <c r="M63" s="599"/>
      <c r="N63" s="353" t="s">
        <v>158</v>
      </c>
      <c r="O63" s="388">
        <f>IF(O60&gt;O62,O60-O62,O62-O60)</f>
        <v>23176</v>
      </c>
      <c r="P63" s="334"/>
      <c r="Q63" s="334"/>
    </row>
    <row r="64" spans="1:25" ht="16.5" thickTop="1">
      <c r="A64" s="354"/>
      <c r="B64" s="354"/>
      <c r="C64" s="354"/>
      <c r="D64" s="354"/>
      <c r="E64" s="354"/>
      <c r="F64" s="354"/>
      <c r="G64" s="354"/>
      <c r="H64" s="354"/>
      <c r="I64" s="354"/>
      <c r="J64" s="354"/>
      <c r="K64" s="354"/>
      <c r="L64" s="354"/>
      <c r="M64" s="354"/>
      <c r="N64" s="355"/>
      <c r="O64" s="334"/>
      <c r="P64" s="334"/>
      <c r="Q64" s="334"/>
    </row>
    <row r="65" spans="1:25" ht="16.5">
      <c r="A65" s="278"/>
      <c r="B65" s="279"/>
      <c r="C65" s="279"/>
      <c r="D65" s="280"/>
      <c r="E65" s="279"/>
      <c r="F65" s="279"/>
      <c r="G65" s="279"/>
      <c r="H65" s="279"/>
      <c r="I65" s="279"/>
      <c r="J65" s="279"/>
      <c r="K65" s="279"/>
      <c r="L65" s="592" t="s">
        <v>197</v>
      </c>
      <c r="M65" s="592"/>
      <c r="N65" s="592"/>
      <c r="O65" s="277"/>
      <c r="P65" s="277"/>
      <c r="Q65" s="277"/>
    </row>
    <row r="66" spans="1:25" ht="16.5">
      <c r="A66" s="278"/>
      <c r="B66" s="279"/>
      <c r="C66" s="279"/>
      <c r="D66" s="280"/>
      <c r="E66" s="279"/>
      <c r="F66" s="279"/>
      <c r="G66" s="279"/>
      <c r="H66" s="279"/>
      <c r="I66" s="279"/>
      <c r="J66" s="279"/>
      <c r="K66" s="279"/>
      <c r="L66" s="281"/>
      <c r="M66" s="282"/>
      <c r="N66" s="283"/>
      <c r="O66" s="277"/>
      <c r="P66" s="277"/>
      <c r="Q66" s="277"/>
    </row>
    <row r="67" spans="1:25" ht="15.7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8"/>
  <sheetViews>
    <sheetView workbookViewId="0">
      <selection activeCell="C4" sqref="C4:N4"/>
    </sheetView>
  </sheetViews>
  <sheetFormatPr defaultColWidth="0" defaultRowHeight="15" zeroHeight="1"/>
  <cols>
    <col min="1" max="11" width="8.7109375" style="4" customWidth="1"/>
    <col min="12" max="13" width="6.7109375" style="4" customWidth="1"/>
    <col min="14" max="25" width="8.85546875" style="4" customWidth="1"/>
    <col min="26" max="16384" width="8.85546875" style="4" hidden="1"/>
  </cols>
  <sheetData>
    <row r="1" spans="1:25">
      <c r="A1" s="690" t="s">
        <v>370</v>
      </c>
      <c r="B1" s="690"/>
      <c r="C1" s="690"/>
      <c r="D1" s="690"/>
      <c r="E1" s="690"/>
      <c r="F1" s="690"/>
      <c r="G1" s="690"/>
      <c r="H1" s="690"/>
      <c r="I1" s="690"/>
      <c r="J1" s="690"/>
      <c r="K1" s="690"/>
      <c r="L1" s="690"/>
      <c r="M1" s="690"/>
      <c r="N1" s="690"/>
      <c r="O1" s="305"/>
      <c r="P1" s="305"/>
    </row>
    <row r="2" spans="1:25">
      <c r="A2" s="691"/>
      <c r="B2" s="691"/>
      <c r="C2" s="691"/>
      <c r="D2" s="691"/>
      <c r="E2" s="691"/>
      <c r="F2" s="691"/>
      <c r="G2" s="691"/>
      <c r="H2" s="691"/>
      <c r="I2" s="691"/>
      <c r="J2" s="691"/>
      <c r="K2" s="691"/>
      <c r="L2" s="691"/>
      <c r="M2" s="691"/>
      <c r="N2" s="691"/>
      <c r="O2" s="305"/>
      <c r="P2" s="305"/>
    </row>
    <row r="3" spans="1:25" ht="18.75">
      <c r="A3" s="686" t="s">
        <v>371</v>
      </c>
      <c r="B3" s="686"/>
      <c r="C3" s="687" t="str">
        <f>IF(AND(Master!D9=""),"",UPPER(Master!D9))</f>
        <v>HEERA LAL JAT</v>
      </c>
      <c r="D3" s="687"/>
      <c r="E3" s="687"/>
      <c r="F3" s="687"/>
      <c r="G3" s="687"/>
      <c r="H3" s="687"/>
      <c r="I3" s="687"/>
      <c r="J3" s="687"/>
      <c r="K3" s="687"/>
      <c r="L3" s="687"/>
      <c r="M3" s="687"/>
      <c r="N3" s="687"/>
      <c r="O3" s="305"/>
      <c r="P3" s="305"/>
    </row>
    <row r="4" spans="1:25" ht="18.75">
      <c r="A4" s="686" t="s">
        <v>372</v>
      </c>
      <c r="B4" s="686"/>
      <c r="C4" s="689"/>
      <c r="D4" s="689"/>
      <c r="E4" s="689"/>
      <c r="F4" s="689"/>
      <c r="G4" s="689"/>
      <c r="H4" s="689"/>
      <c r="I4" s="689"/>
      <c r="J4" s="689"/>
      <c r="K4" s="689"/>
      <c r="L4" s="689"/>
      <c r="M4" s="689"/>
      <c r="N4" s="689"/>
      <c r="O4" s="305"/>
      <c r="P4" s="305"/>
    </row>
    <row r="5" spans="1:25" ht="18.75">
      <c r="A5" s="686" t="s">
        <v>157</v>
      </c>
      <c r="B5" s="686"/>
      <c r="C5" s="687" t="str">
        <f>IF(AND(Master!D12=""),"",UPPER(Master!D12))</f>
        <v>ADEPLXXXXX</v>
      </c>
      <c r="D5" s="687"/>
      <c r="E5" s="687"/>
      <c r="F5" s="687"/>
      <c r="G5" s="687"/>
      <c r="H5" s="688" t="s">
        <v>373</v>
      </c>
      <c r="I5" s="688"/>
      <c r="J5" s="689" t="s">
        <v>374</v>
      </c>
      <c r="K5" s="689"/>
      <c r="L5" s="689"/>
      <c r="M5" s="689"/>
      <c r="N5" s="689"/>
      <c r="O5" s="305"/>
      <c r="P5" s="305"/>
    </row>
    <row r="6" spans="1:25" ht="18.75">
      <c r="A6" s="306"/>
      <c r="B6" s="306"/>
      <c r="C6" s="306"/>
      <c r="D6" s="306"/>
      <c r="E6" s="306"/>
      <c r="F6" s="306"/>
      <c r="G6" s="306"/>
      <c r="H6" s="306"/>
      <c r="I6" s="306"/>
      <c r="J6" s="306"/>
      <c r="K6" s="306"/>
      <c r="L6" s="306"/>
      <c r="M6" s="306"/>
      <c r="N6" s="306"/>
      <c r="O6" s="305"/>
      <c r="P6" s="305"/>
    </row>
    <row r="7" spans="1:25" ht="18.75">
      <c r="A7" s="671" t="s">
        <v>376</v>
      </c>
      <c r="B7" s="671"/>
      <c r="C7" s="671"/>
      <c r="D7" s="671"/>
      <c r="E7" s="671"/>
      <c r="F7" s="671"/>
      <c r="G7" s="671"/>
      <c r="H7" s="671"/>
      <c r="I7" s="671"/>
      <c r="J7" s="671"/>
      <c r="K7" s="671"/>
      <c r="L7" s="671" t="s">
        <v>375</v>
      </c>
      <c r="M7" s="671"/>
      <c r="N7" s="671"/>
      <c r="O7" s="305"/>
      <c r="P7" s="305"/>
    </row>
    <row r="8" spans="1:25" ht="18.75">
      <c r="A8" s="672" t="s">
        <v>379</v>
      </c>
      <c r="B8" s="673"/>
      <c r="C8" s="673"/>
      <c r="D8" s="673"/>
      <c r="E8" s="673"/>
      <c r="F8" s="673"/>
      <c r="G8" s="673"/>
      <c r="H8" s="673"/>
      <c r="I8" s="673"/>
      <c r="J8" s="673"/>
      <c r="K8" s="674"/>
      <c r="L8" s="675">
        <v>135900</v>
      </c>
      <c r="M8" s="676"/>
      <c r="N8" s="676"/>
      <c r="O8" s="305"/>
      <c r="P8" s="305"/>
    </row>
    <row r="9" spans="1:25" ht="18.75">
      <c r="A9" s="683" t="s">
        <v>549</v>
      </c>
      <c r="B9" s="684"/>
      <c r="C9" s="684"/>
      <c r="D9" s="684"/>
      <c r="E9" s="684"/>
      <c r="F9" s="684"/>
      <c r="G9" s="684"/>
      <c r="H9" s="684"/>
      <c r="I9" s="684"/>
      <c r="J9" s="684"/>
      <c r="K9" s="685"/>
      <c r="L9" s="675">
        <v>86844</v>
      </c>
      <c r="M9" s="676"/>
      <c r="N9" s="676"/>
      <c r="O9" s="305"/>
      <c r="P9" s="305"/>
    </row>
    <row r="10" spans="1:25" ht="19.5" thickBot="1">
      <c r="A10" s="671" t="s">
        <v>377</v>
      </c>
      <c r="B10" s="671"/>
      <c r="C10" s="671"/>
      <c r="D10" s="671"/>
      <c r="E10" s="671"/>
      <c r="F10" s="671"/>
      <c r="G10" s="671"/>
      <c r="H10" s="671"/>
      <c r="I10" s="671"/>
      <c r="J10" s="671"/>
      <c r="K10" s="671"/>
      <c r="L10" s="671" t="s">
        <v>375</v>
      </c>
      <c r="M10" s="671"/>
      <c r="N10" s="671"/>
      <c r="O10" s="305"/>
      <c r="P10" s="305"/>
    </row>
    <row r="11" spans="1:25" ht="21" thickBot="1">
      <c r="A11" s="672" t="s">
        <v>380</v>
      </c>
      <c r="B11" s="673"/>
      <c r="C11" s="673"/>
      <c r="D11" s="673"/>
      <c r="E11" s="673"/>
      <c r="F11" s="673"/>
      <c r="G11" s="673"/>
      <c r="H11" s="673"/>
      <c r="I11" s="673"/>
      <c r="J11" s="673"/>
      <c r="K11" s="674"/>
      <c r="L11" s="675">
        <v>135900</v>
      </c>
      <c r="M11" s="676"/>
      <c r="N11" s="676"/>
      <c r="O11" s="305"/>
      <c r="P11" s="305"/>
      <c r="S11" s="668" t="s">
        <v>490</v>
      </c>
      <c r="T11" s="669"/>
      <c r="U11" s="669"/>
      <c r="V11" s="669"/>
      <c r="W11" s="669"/>
      <c r="X11" s="669"/>
      <c r="Y11" s="670"/>
    </row>
    <row r="12" spans="1:25" ht="18.75">
      <c r="A12" s="683" t="s">
        <v>548</v>
      </c>
      <c r="B12" s="684"/>
      <c r="C12" s="684"/>
      <c r="D12" s="684"/>
      <c r="E12" s="684"/>
      <c r="F12" s="684"/>
      <c r="G12" s="684"/>
      <c r="H12" s="684"/>
      <c r="I12" s="684"/>
      <c r="J12" s="684"/>
      <c r="K12" s="685"/>
      <c r="L12" s="675">
        <v>86844</v>
      </c>
      <c r="M12" s="676"/>
      <c r="N12" s="676"/>
      <c r="O12" s="305"/>
      <c r="P12" s="305"/>
    </row>
    <row r="13" spans="1:25" ht="18.75">
      <c r="A13" s="671" t="s">
        <v>378</v>
      </c>
      <c r="B13" s="671"/>
      <c r="C13" s="671"/>
      <c r="D13" s="671"/>
      <c r="E13" s="671"/>
      <c r="F13" s="671"/>
      <c r="G13" s="671"/>
      <c r="H13" s="671"/>
      <c r="I13" s="671"/>
      <c r="J13" s="671"/>
      <c r="K13" s="671"/>
      <c r="L13" s="671" t="s">
        <v>375</v>
      </c>
      <c r="M13" s="671"/>
      <c r="N13" s="671"/>
      <c r="O13" s="305"/>
      <c r="P13" s="305"/>
    </row>
    <row r="14" spans="1:25" ht="18.75">
      <c r="A14" s="672" t="s">
        <v>466</v>
      </c>
      <c r="B14" s="673"/>
      <c r="C14" s="673"/>
      <c r="D14" s="673"/>
      <c r="E14" s="673"/>
      <c r="F14" s="673"/>
      <c r="G14" s="673"/>
      <c r="H14" s="673"/>
      <c r="I14" s="673"/>
      <c r="J14" s="673"/>
      <c r="K14" s="674"/>
      <c r="L14" s="675">
        <v>154024</v>
      </c>
      <c r="M14" s="676"/>
      <c r="N14" s="676"/>
      <c r="O14" s="305"/>
      <c r="P14" s="305"/>
    </row>
    <row r="15" spans="1:25" ht="18.75">
      <c r="A15" s="683" t="s">
        <v>547</v>
      </c>
      <c r="B15" s="684"/>
      <c r="C15" s="684"/>
      <c r="D15" s="684"/>
      <c r="E15" s="684"/>
      <c r="F15" s="684"/>
      <c r="G15" s="684"/>
      <c r="H15" s="684"/>
      <c r="I15" s="684"/>
      <c r="J15" s="684"/>
      <c r="K15" s="685"/>
      <c r="L15" s="675">
        <v>208812</v>
      </c>
      <c r="M15" s="676"/>
      <c r="N15" s="676"/>
      <c r="O15" s="305"/>
      <c r="P15" s="305"/>
    </row>
    <row r="16" spans="1:25" ht="18.75">
      <c r="A16" s="671" t="s">
        <v>465</v>
      </c>
      <c r="B16" s="671"/>
      <c r="C16" s="671"/>
      <c r="D16" s="671"/>
      <c r="E16" s="671"/>
      <c r="F16" s="671"/>
      <c r="G16" s="671"/>
      <c r="H16" s="671"/>
      <c r="I16" s="671"/>
      <c r="J16" s="671"/>
      <c r="K16" s="671"/>
      <c r="L16" s="671" t="s">
        <v>375</v>
      </c>
      <c r="M16" s="671"/>
      <c r="N16" s="671"/>
      <c r="O16" s="305"/>
      <c r="P16" s="305"/>
    </row>
    <row r="17" spans="1:25" ht="18.75">
      <c r="A17" s="672" t="s">
        <v>550</v>
      </c>
      <c r="B17" s="673"/>
      <c r="C17" s="673"/>
      <c r="D17" s="673"/>
      <c r="E17" s="673"/>
      <c r="F17" s="673"/>
      <c r="G17" s="673"/>
      <c r="H17" s="673"/>
      <c r="I17" s="673"/>
      <c r="J17" s="673"/>
      <c r="K17" s="674"/>
      <c r="L17" s="675">
        <v>378710</v>
      </c>
      <c r="M17" s="676"/>
      <c r="N17" s="676"/>
      <c r="O17" s="305"/>
      <c r="P17" s="305"/>
    </row>
    <row r="18" spans="1:25" ht="18.75">
      <c r="A18" s="683" t="s">
        <v>546</v>
      </c>
      <c r="B18" s="684"/>
      <c r="C18" s="684"/>
      <c r="D18" s="684"/>
      <c r="E18" s="684"/>
      <c r="F18" s="684"/>
      <c r="G18" s="684"/>
      <c r="H18" s="684"/>
      <c r="I18" s="684"/>
      <c r="J18" s="684"/>
      <c r="K18" s="685"/>
      <c r="L18" s="675">
        <v>18032</v>
      </c>
      <c r="M18" s="676"/>
      <c r="N18" s="676"/>
      <c r="O18" s="305"/>
      <c r="P18" s="305"/>
    </row>
    <row r="19" spans="1:25" ht="18.75">
      <c r="A19" s="671" t="s">
        <v>544</v>
      </c>
      <c r="B19" s="671"/>
      <c r="C19" s="671"/>
      <c r="D19" s="671"/>
      <c r="E19" s="671"/>
      <c r="F19" s="671"/>
      <c r="G19" s="671"/>
      <c r="H19" s="671"/>
      <c r="I19" s="671"/>
      <c r="J19" s="671"/>
      <c r="K19" s="671"/>
      <c r="L19" s="671" t="s">
        <v>375</v>
      </c>
      <c r="M19" s="671"/>
      <c r="N19" s="671"/>
      <c r="O19" s="305"/>
      <c r="P19" s="305"/>
    </row>
    <row r="20" spans="1:25" ht="33" customHeight="1">
      <c r="A20" s="677" t="s">
        <v>545</v>
      </c>
      <c r="B20" s="678"/>
      <c r="C20" s="678"/>
      <c r="D20" s="678"/>
      <c r="E20" s="678"/>
      <c r="F20" s="678"/>
      <c r="G20" s="678"/>
      <c r="H20" s="678"/>
      <c r="I20" s="678"/>
      <c r="J20" s="678"/>
      <c r="K20" s="679"/>
      <c r="L20" s="680">
        <f>COMPUTATION!O47</f>
        <v>577770</v>
      </c>
      <c r="M20" s="681"/>
      <c r="N20" s="682"/>
      <c r="O20" s="305"/>
      <c r="P20" s="305"/>
      <c r="Q20" s="307"/>
      <c r="R20" s="307"/>
      <c r="S20" s="307"/>
      <c r="T20" s="307"/>
      <c r="U20" s="307"/>
      <c r="V20" s="307"/>
      <c r="W20" s="307"/>
      <c r="X20" s="307"/>
      <c r="Y20" s="307"/>
    </row>
    <row r="21" spans="1:25">
      <c r="A21" s="305"/>
      <c r="B21" s="305"/>
      <c r="C21" s="305"/>
      <c r="D21" s="305"/>
      <c r="E21" s="305"/>
      <c r="F21" s="305"/>
      <c r="G21" s="305"/>
      <c r="H21" s="305"/>
      <c r="I21" s="305"/>
      <c r="J21" s="305"/>
      <c r="K21" s="305"/>
      <c r="L21" s="305"/>
      <c r="M21" s="305"/>
      <c r="N21" s="305"/>
      <c r="O21" s="305"/>
      <c r="P21" s="305"/>
    </row>
    <row r="22" spans="1:25">
      <c r="A22" s="305"/>
      <c r="B22" s="305"/>
      <c r="C22" s="305"/>
      <c r="D22" s="305"/>
      <c r="E22" s="305"/>
      <c r="F22" s="305"/>
      <c r="G22" s="305"/>
      <c r="H22" s="305"/>
      <c r="I22" s="305"/>
      <c r="J22" s="305"/>
      <c r="K22" s="305"/>
      <c r="L22" s="305"/>
      <c r="M22" s="305"/>
      <c r="N22" s="305"/>
      <c r="O22" s="305"/>
      <c r="P22" s="305"/>
    </row>
    <row r="23" spans="1:25">
      <c r="A23" s="305"/>
      <c r="B23" s="305"/>
      <c r="C23" s="305"/>
      <c r="D23" s="305"/>
      <c r="E23" s="305"/>
      <c r="F23" s="305"/>
      <c r="G23" s="305"/>
      <c r="H23" s="305"/>
      <c r="I23" s="305"/>
      <c r="J23" s="305"/>
      <c r="K23" s="305"/>
      <c r="L23" s="305"/>
      <c r="M23" s="305"/>
      <c r="N23" s="305"/>
      <c r="O23" s="305"/>
      <c r="P23" s="305"/>
    </row>
    <row r="24" spans="1:25">
      <c r="A24" s="305"/>
      <c r="B24" s="305"/>
      <c r="C24" s="305"/>
      <c r="D24" s="305"/>
      <c r="E24" s="305"/>
      <c r="F24" s="305"/>
      <c r="G24" s="305"/>
      <c r="H24" s="305"/>
      <c r="I24" s="305"/>
      <c r="J24" s="305"/>
      <c r="K24" s="305"/>
      <c r="L24" s="305"/>
      <c r="M24" s="305"/>
      <c r="N24" s="305"/>
      <c r="O24" s="305"/>
      <c r="P24" s="305"/>
    </row>
    <row r="25" spans="1:25">
      <c r="A25" s="305"/>
      <c r="B25" s="305"/>
      <c r="C25" s="305"/>
      <c r="D25" s="305"/>
      <c r="E25" s="305"/>
      <c r="F25" s="305"/>
      <c r="G25" s="305"/>
      <c r="H25" s="305"/>
      <c r="I25" s="305"/>
      <c r="J25" s="305"/>
      <c r="K25" s="305"/>
      <c r="L25" s="305"/>
      <c r="M25" s="305"/>
      <c r="N25" s="305"/>
      <c r="O25" s="305"/>
      <c r="P25" s="305"/>
    </row>
    <row r="26" spans="1:25">
      <c r="A26" s="305"/>
      <c r="B26" s="305"/>
      <c r="C26" s="305"/>
      <c r="D26" s="305"/>
      <c r="E26" s="305"/>
      <c r="F26" s="305"/>
      <c r="G26" s="305"/>
      <c r="H26" s="305"/>
      <c r="I26" s="305"/>
      <c r="J26" s="305"/>
      <c r="K26" s="305"/>
      <c r="L26" s="305"/>
      <c r="M26" s="305"/>
      <c r="N26" s="305"/>
      <c r="O26" s="305"/>
      <c r="P26" s="305"/>
    </row>
    <row r="27" spans="1:25"/>
    <row r="28"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A5:B5"/>
    <mergeCell ref="C5:G5"/>
    <mergeCell ref="H5:I5"/>
    <mergeCell ref="J5:N5"/>
    <mergeCell ref="A1:N2"/>
    <mergeCell ref="A3:B3"/>
    <mergeCell ref="C3:N3"/>
    <mergeCell ref="A4:B4"/>
    <mergeCell ref="C4:N4"/>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19:K19"/>
    <mergeCell ref="L19:N19"/>
    <mergeCell ref="A20:K20"/>
    <mergeCell ref="L20:N20"/>
    <mergeCell ref="A16:K16"/>
    <mergeCell ref="L16:N16"/>
    <mergeCell ref="A17:K17"/>
    <mergeCell ref="L17:N17"/>
    <mergeCell ref="A18:K18"/>
    <mergeCell ref="L18:N18"/>
    <mergeCell ref="S11:Y11"/>
    <mergeCell ref="A10:K10"/>
    <mergeCell ref="L10:N10"/>
    <mergeCell ref="A11:K11"/>
    <mergeCell ref="L11:N11"/>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8"/>
  <sheetViews>
    <sheetView workbookViewId="0">
      <selection activeCell="L8" sqref="L8:N8"/>
    </sheetView>
  </sheetViews>
  <sheetFormatPr defaultColWidth="0" defaultRowHeight="15" zeroHeight="1"/>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c r="A1" s="730" t="s">
        <v>381</v>
      </c>
      <c r="B1" s="730"/>
      <c r="C1" s="730"/>
      <c r="D1" s="730"/>
      <c r="E1" s="730"/>
      <c r="F1" s="730"/>
      <c r="G1" s="730"/>
      <c r="H1" s="730"/>
      <c r="I1" s="730"/>
      <c r="J1" s="730"/>
      <c r="K1" s="730"/>
      <c r="L1" s="730"/>
      <c r="M1" s="730"/>
      <c r="N1" s="730"/>
    </row>
    <row r="2" spans="1:14" ht="42" customHeight="1">
      <c r="A2" s="731" t="s">
        <v>382</v>
      </c>
      <c r="B2" s="731"/>
      <c r="C2" s="731"/>
      <c r="D2" s="731"/>
      <c r="E2" s="731"/>
      <c r="F2" s="731"/>
      <c r="G2" s="731"/>
      <c r="H2" s="731"/>
      <c r="I2" s="731"/>
      <c r="J2" s="731"/>
      <c r="K2" s="731"/>
      <c r="L2" s="731"/>
      <c r="M2" s="731"/>
      <c r="N2" s="731"/>
    </row>
    <row r="3" spans="1:14" ht="15.75">
      <c r="A3" s="732" t="s">
        <v>371</v>
      </c>
      <c r="B3" s="732"/>
      <c r="C3" s="733" t="str">
        <f>UPPER(IF('89 (1) Form'!C3="","",'89 (1) Form'!C3))</f>
        <v>HEERA LAL JAT</v>
      </c>
      <c r="D3" s="733"/>
      <c r="E3" s="733"/>
      <c r="F3" s="733"/>
      <c r="G3" s="733"/>
      <c r="H3" s="733"/>
      <c r="I3" s="733"/>
      <c r="J3" s="733"/>
      <c r="K3" s="733"/>
      <c r="L3" s="733"/>
      <c r="M3" s="733"/>
      <c r="N3" s="733"/>
    </row>
    <row r="4" spans="1:14" ht="15.75">
      <c r="A4" s="732" t="s">
        <v>372</v>
      </c>
      <c r="B4" s="732"/>
      <c r="C4" s="733" t="str">
        <f>UPPER(IF('89 (1) Form'!C4="","",'89 (1) Form'!C4))</f>
        <v/>
      </c>
      <c r="D4" s="733"/>
      <c r="E4" s="733"/>
      <c r="F4" s="733"/>
      <c r="G4" s="733"/>
      <c r="H4" s="733"/>
      <c r="I4" s="733"/>
      <c r="J4" s="733"/>
      <c r="K4" s="733"/>
      <c r="L4" s="733"/>
      <c r="M4" s="733"/>
      <c r="N4" s="733"/>
    </row>
    <row r="5" spans="1:14" ht="17.25" customHeight="1">
      <c r="A5" s="732" t="s">
        <v>157</v>
      </c>
      <c r="B5" s="732"/>
      <c r="C5" s="733" t="str">
        <f>UPPER(IF('89 (1) Form'!C5="","",'89 (1) Form'!C5))</f>
        <v>ADEPLXXXXX</v>
      </c>
      <c r="D5" s="733"/>
      <c r="E5" s="733"/>
      <c r="F5" s="733"/>
      <c r="G5" s="733"/>
      <c r="H5" s="702" t="s">
        <v>373</v>
      </c>
      <c r="I5" s="702"/>
      <c r="J5" s="733" t="str">
        <f>UPPER(IF('89 (1) Form'!J5="","",'89 (1) Form'!J5))</f>
        <v xml:space="preserve">INDIAN RESIDENT </v>
      </c>
      <c r="K5" s="733"/>
      <c r="L5" s="733"/>
      <c r="M5" s="733"/>
      <c r="N5" s="733"/>
    </row>
    <row r="6" spans="1:14" ht="28.5" customHeight="1">
      <c r="A6" s="734" t="s">
        <v>383</v>
      </c>
      <c r="B6" s="734"/>
      <c r="C6" s="734"/>
      <c r="D6" s="734"/>
      <c r="E6" s="734"/>
      <c r="F6" s="734"/>
      <c r="G6" s="734"/>
      <c r="H6" s="734"/>
      <c r="I6" s="734"/>
      <c r="J6" s="734"/>
      <c r="K6" s="734"/>
      <c r="L6" s="734"/>
      <c r="M6" s="734"/>
      <c r="N6" s="734"/>
    </row>
    <row r="7" spans="1:14" ht="29.25" customHeight="1">
      <c r="A7" s="721" t="s">
        <v>489</v>
      </c>
      <c r="B7" s="721"/>
      <c r="C7" s="721"/>
      <c r="D7" s="721"/>
      <c r="E7" s="721"/>
      <c r="F7" s="721"/>
      <c r="G7" s="721"/>
      <c r="H7" s="721"/>
      <c r="I7" s="721"/>
      <c r="J7" s="721"/>
      <c r="K7" s="721"/>
      <c r="L7" s="727">
        <f>'89 (1) Form'!L9+'89 (1) Form'!L12+'89 (1) Form'!L15+'89 (1) Form'!L18</f>
        <v>400532</v>
      </c>
      <c r="M7" s="728"/>
      <c r="N7" s="729"/>
    </row>
    <row r="8" spans="1:14" ht="29.25" customHeight="1">
      <c r="A8" s="721" t="s">
        <v>384</v>
      </c>
      <c r="B8" s="721"/>
      <c r="C8" s="721"/>
      <c r="D8" s="721"/>
      <c r="E8" s="721"/>
      <c r="F8" s="721"/>
      <c r="G8" s="721"/>
      <c r="H8" s="721"/>
      <c r="I8" s="721"/>
      <c r="J8" s="721"/>
      <c r="K8" s="721"/>
      <c r="L8" s="722" t="s">
        <v>385</v>
      </c>
      <c r="M8" s="723"/>
      <c r="N8" s="724"/>
    </row>
    <row r="9" spans="1:14" ht="40.5" customHeight="1">
      <c r="A9" s="721" t="s">
        <v>386</v>
      </c>
      <c r="B9" s="721"/>
      <c r="C9" s="721"/>
      <c r="D9" s="721"/>
      <c r="E9" s="721"/>
      <c r="F9" s="721"/>
      <c r="G9" s="721"/>
      <c r="H9" s="721"/>
      <c r="I9" s="721"/>
      <c r="J9" s="721"/>
      <c r="K9" s="721"/>
      <c r="L9" s="722" t="s">
        <v>385</v>
      </c>
      <c r="M9" s="723"/>
      <c r="N9" s="724"/>
    </row>
    <row r="10" spans="1:14" ht="27.75" customHeight="1">
      <c r="A10" s="721" t="s">
        <v>387</v>
      </c>
      <c r="B10" s="721"/>
      <c r="C10" s="721"/>
      <c r="D10" s="721"/>
      <c r="E10" s="721"/>
      <c r="F10" s="721"/>
      <c r="G10" s="721"/>
      <c r="H10" s="721"/>
      <c r="I10" s="721"/>
      <c r="J10" s="721"/>
      <c r="K10" s="721"/>
      <c r="L10" s="722" t="s">
        <v>385</v>
      </c>
      <c r="M10" s="723"/>
      <c r="N10" s="724"/>
    </row>
    <row r="11" spans="1:14" ht="27.75" customHeight="1">
      <c r="A11" s="721" t="s">
        <v>388</v>
      </c>
      <c r="B11" s="721"/>
      <c r="C11" s="721"/>
      <c r="D11" s="721"/>
      <c r="E11" s="721"/>
      <c r="F11" s="721"/>
      <c r="G11" s="721"/>
      <c r="H11" s="721"/>
      <c r="I11" s="721"/>
      <c r="J11" s="721"/>
      <c r="K11" s="721"/>
      <c r="L11" s="722" t="s">
        <v>389</v>
      </c>
      <c r="M11" s="723"/>
      <c r="N11" s="724"/>
    </row>
    <row r="12" spans="1:14" ht="18" customHeight="1">
      <c r="A12" s="725" t="s">
        <v>390</v>
      </c>
      <c r="B12" s="725"/>
      <c r="C12" s="725"/>
      <c r="D12" s="725"/>
      <c r="E12" s="725"/>
      <c r="F12" s="725"/>
      <c r="G12" s="725"/>
      <c r="H12" s="725"/>
      <c r="I12" s="725"/>
      <c r="J12" s="725"/>
      <c r="K12" s="725"/>
      <c r="L12" s="725"/>
      <c r="M12" s="725"/>
      <c r="N12" s="725"/>
    </row>
    <row r="13" spans="1:14">
      <c r="A13" s="308" t="s">
        <v>391</v>
      </c>
      <c r="B13" s="726" t="str">
        <f>UPPER(IF('89 (1) Form'!C3="","",'89 (1) Form'!C3))</f>
        <v>HEERA LAL JAT</v>
      </c>
      <c r="C13" s="726"/>
      <c r="D13" s="726"/>
      <c r="E13" s="726"/>
      <c r="F13" s="720" t="s">
        <v>392</v>
      </c>
      <c r="G13" s="720"/>
      <c r="H13" s="720"/>
      <c r="I13" s="720"/>
      <c r="J13" s="720"/>
      <c r="K13" s="720"/>
      <c r="L13" s="720"/>
      <c r="M13" s="720"/>
      <c r="N13" s="720"/>
    </row>
    <row r="14" spans="1:14">
      <c r="A14" s="720" t="s">
        <v>393</v>
      </c>
      <c r="B14" s="720"/>
      <c r="C14" s="720"/>
      <c r="D14" s="720"/>
    </row>
    <row r="15" spans="1:14">
      <c r="A15" s="709" t="s">
        <v>394</v>
      </c>
      <c r="B15" s="709"/>
      <c r="C15" s="709"/>
      <c r="D15" s="710">
        <f ca="1">TODAY()</f>
        <v>43777</v>
      </c>
      <c r="E15" s="711"/>
    </row>
    <row r="16" spans="1:14">
      <c r="A16" s="124" t="s">
        <v>395</v>
      </c>
      <c r="B16" s="712"/>
      <c r="C16" s="712"/>
    </row>
    <row r="17" spans="1:29">
      <c r="A17" s="124" t="s">
        <v>396</v>
      </c>
      <c r="B17" s="713"/>
      <c r="C17" s="714"/>
      <c r="K17" s="715" t="s">
        <v>397</v>
      </c>
      <c r="L17" s="715"/>
      <c r="M17" s="715"/>
      <c r="N17" s="715"/>
    </row>
    <row r="18" spans="1:29" ht="8.25" customHeight="1"/>
    <row r="19" spans="1:29" ht="15.75">
      <c r="A19" s="716" t="s">
        <v>398</v>
      </c>
      <c r="B19" s="716"/>
      <c r="C19" s="716"/>
      <c r="D19" s="716"/>
      <c r="E19" s="716"/>
      <c r="F19" s="716"/>
      <c r="G19" s="716"/>
      <c r="H19" s="716"/>
      <c r="I19" s="716"/>
      <c r="J19" s="716"/>
      <c r="K19" s="716"/>
      <c r="L19" s="716"/>
      <c r="M19" s="716"/>
      <c r="N19" s="716"/>
      <c r="Z19" s="124">
        <f>ROUND(IF(L23&lt;=250000,0,IF(L23&gt;=500000,12500,IF(L23&lt;=500000,0+(L23-250000)*0.05))),0)</f>
        <v>12500</v>
      </c>
      <c r="AC19" s="124">
        <f>ROUND(Z19*3%,0)</f>
        <v>375</v>
      </c>
    </row>
    <row r="20" spans="1:29">
      <c r="A20" s="309"/>
      <c r="B20" s="309"/>
      <c r="C20" s="309"/>
      <c r="D20" s="309"/>
      <c r="E20" s="717" t="s">
        <v>399</v>
      </c>
      <c r="F20" s="717"/>
      <c r="G20" s="717"/>
      <c r="H20" s="717"/>
      <c r="I20" s="717"/>
      <c r="J20" s="717"/>
      <c r="K20" s="309"/>
      <c r="L20" s="309"/>
      <c r="M20" s="309"/>
      <c r="N20" s="309"/>
    </row>
    <row r="21" spans="1:29" ht="18.95" customHeight="1">
      <c r="A21" s="703" t="s">
        <v>400</v>
      </c>
      <c r="B21" s="703"/>
      <c r="C21" s="703"/>
      <c r="D21" s="703"/>
      <c r="E21" s="703"/>
      <c r="F21" s="703"/>
      <c r="G21" s="703"/>
      <c r="H21" s="703"/>
      <c r="I21" s="703"/>
      <c r="J21" s="703"/>
      <c r="K21" s="703"/>
      <c r="L21" s="718">
        <f>L23-L22</f>
        <v>177238</v>
      </c>
      <c r="M21" s="718"/>
      <c r="N21" s="718"/>
      <c r="Z21" s="124">
        <f>ROUND(IF(L23&lt;=500000,0,IF(L23&gt;=1000000,100000,IF(L23&lt;=1000000,(L23-500000)*0.2,"0"))),0)</f>
        <v>15554</v>
      </c>
      <c r="AC21" s="124">
        <f>ROUND(Z21*3%,0)</f>
        <v>467</v>
      </c>
    </row>
    <row r="22" spans="1:29" ht="18.95" customHeight="1">
      <c r="A22" s="703" t="s">
        <v>401</v>
      </c>
      <c r="B22" s="703"/>
      <c r="C22" s="703"/>
      <c r="D22" s="703"/>
      <c r="E22" s="703"/>
      <c r="F22" s="703"/>
      <c r="G22" s="703"/>
      <c r="H22" s="703"/>
      <c r="I22" s="703"/>
      <c r="J22" s="703"/>
      <c r="K22" s="703"/>
      <c r="L22" s="719">
        <f>L7</f>
        <v>400532</v>
      </c>
      <c r="M22" s="719"/>
      <c r="N22" s="719"/>
      <c r="Z22" s="124">
        <f>ROUND(IF(L23&gt;1000000,(L23-1000000)*0.3,"0"),0)</f>
        <v>0</v>
      </c>
      <c r="AC22" s="124">
        <f>ROUND(Z22*3%,0)</f>
        <v>0</v>
      </c>
    </row>
    <row r="23" spans="1:29" ht="18.95" customHeight="1">
      <c r="A23" s="705" t="s">
        <v>402</v>
      </c>
      <c r="B23" s="705"/>
      <c r="C23" s="705"/>
      <c r="D23" s="705"/>
      <c r="E23" s="705"/>
      <c r="F23" s="705"/>
      <c r="G23" s="705"/>
      <c r="H23" s="705"/>
      <c r="I23" s="705"/>
      <c r="J23" s="705"/>
      <c r="K23" s="705"/>
      <c r="L23" s="708">
        <f>'89 (1) Form'!L20</f>
        <v>577770</v>
      </c>
      <c r="M23" s="708"/>
      <c r="N23" s="708"/>
      <c r="Z23" s="124">
        <f>ROUND(IF(L23&lt;=250000,0,IF(L23&lt;=500000,(L23-250000)*0.05,IF(L23&lt;=1000000,12500+(L23-500000)*0.2,IF(L23&gt;1000000,112500+(L23-1000000)*0.3,"0")))),0)</f>
        <v>28054</v>
      </c>
      <c r="AA23" s="124">
        <f>IF(AND(L23=0),0,ROUND(IF(AND(L23&lt;=500000),Z23-12500,Z23),0))</f>
        <v>28054</v>
      </c>
      <c r="AB23" s="124">
        <f>ROUND(IF(AND(AA23&lt;=0),0,AA23),0)</f>
        <v>28054</v>
      </c>
      <c r="AC23" s="124">
        <f>ROUND(AB23*4%,0)</f>
        <v>1122</v>
      </c>
    </row>
    <row r="24" spans="1:29" ht="18.95" customHeight="1">
      <c r="A24" s="703" t="s">
        <v>403</v>
      </c>
      <c r="B24" s="703"/>
      <c r="C24" s="703"/>
      <c r="D24" s="703"/>
      <c r="E24" s="703"/>
      <c r="F24" s="703"/>
      <c r="G24" s="703"/>
      <c r="H24" s="703"/>
      <c r="I24" s="703"/>
      <c r="J24" s="703"/>
      <c r="K24" s="703"/>
      <c r="L24" s="707">
        <f>AB23+AC23</f>
        <v>29176</v>
      </c>
      <c r="M24" s="707"/>
      <c r="N24" s="707"/>
      <c r="Z24" s="124">
        <f>ROUND(IF(L21&lt;=250000,0,IF(L21&lt;=500000,(L21-250000)*0.05,IF(L21&lt;=1000000,12500+(L21-500000)*0.2,IF(L21&gt;1000000,112500+(L21-1000000)*0.3,"0")))),0)</f>
        <v>0</v>
      </c>
      <c r="AA24" s="124">
        <f>ROUND(IF(AND(L21&lt;=350000),Z24-2500,Z24),0)</f>
        <v>-2500</v>
      </c>
      <c r="AB24" s="124">
        <f>ROUND(IF(AND(AA24&lt;=0),0,AA24),0)</f>
        <v>0</v>
      </c>
      <c r="AC24" s="124">
        <f>ROUND(AB24*3%,0)</f>
        <v>0</v>
      </c>
    </row>
    <row r="25" spans="1:29" ht="18.95" customHeight="1">
      <c r="A25" s="703" t="s">
        <v>404</v>
      </c>
      <c r="B25" s="703"/>
      <c r="C25" s="703"/>
      <c r="D25" s="703"/>
      <c r="E25" s="703"/>
      <c r="F25" s="703"/>
      <c r="G25" s="703"/>
      <c r="H25" s="703"/>
      <c r="I25" s="703"/>
      <c r="J25" s="703"/>
      <c r="K25" s="703"/>
      <c r="L25" s="708">
        <f>AB24+AC24</f>
        <v>0</v>
      </c>
      <c r="M25" s="708"/>
      <c r="N25" s="708"/>
    </row>
    <row r="26" spans="1:29" ht="18.95" customHeight="1">
      <c r="A26" s="703" t="s">
        <v>405</v>
      </c>
      <c r="B26" s="703"/>
      <c r="C26" s="703"/>
      <c r="D26" s="703"/>
      <c r="E26" s="703"/>
      <c r="F26" s="703"/>
      <c r="G26" s="703"/>
      <c r="H26" s="703"/>
      <c r="I26" s="703"/>
      <c r="J26" s="703"/>
      <c r="K26" s="703"/>
      <c r="L26" s="708">
        <f>L24-L25</f>
        <v>29176</v>
      </c>
      <c r="M26" s="708"/>
      <c r="N26" s="708"/>
    </row>
    <row r="27" spans="1:29" ht="18.95" customHeight="1">
      <c r="A27" s="703" t="s">
        <v>406</v>
      </c>
      <c r="B27" s="703"/>
      <c r="C27" s="703"/>
      <c r="D27" s="703"/>
      <c r="E27" s="703"/>
      <c r="F27" s="703"/>
      <c r="G27" s="703"/>
      <c r="H27" s="703"/>
      <c r="I27" s="703"/>
      <c r="J27" s="703"/>
      <c r="K27" s="703"/>
      <c r="L27" s="704">
        <f>M37</f>
        <v>6748</v>
      </c>
      <c r="M27" s="704"/>
      <c r="N27" s="704"/>
    </row>
    <row r="28" spans="1:29" ht="25.5" customHeight="1">
      <c r="A28" s="705" t="s">
        <v>407</v>
      </c>
      <c r="B28" s="705"/>
      <c r="C28" s="705"/>
      <c r="D28" s="705"/>
      <c r="E28" s="705"/>
      <c r="F28" s="705"/>
      <c r="G28" s="705"/>
      <c r="H28" s="705"/>
      <c r="I28" s="705"/>
      <c r="J28" s="705"/>
      <c r="K28" s="705"/>
      <c r="L28" s="706">
        <f>L26-L27</f>
        <v>22428</v>
      </c>
      <c r="M28" s="706"/>
      <c r="N28" s="706"/>
    </row>
    <row r="29" spans="1:29" ht="6.75" customHeight="1"/>
    <row r="30" spans="1:29">
      <c r="A30" s="693" t="s">
        <v>408</v>
      </c>
      <c r="B30" s="693"/>
      <c r="C30" s="693"/>
      <c r="D30" s="693"/>
      <c r="E30" s="693"/>
      <c r="F30" s="693"/>
      <c r="G30" s="693"/>
      <c r="H30" s="693"/>
      <c r="I30" s="693"/>
      <c r="J30" s="693"/>
      <c r="K30" s="693"/>
      <c r="L30" s="693"/>
      <c r="M30" s="693"/>
      <c r="N30" s="693"/>
    </row>
    <row r="31" spans="1:29" s="310" customFormat="1" ht="108.75" customHeight="1">
      <c r="A31" s="701" t="s">
        <v>409</v>
      </c>
      <c r="B31" s="701"/>
      <c r="C31" s="701" t="s">
        <v>410</v>
      </c>
      <c r="D31" s="701"/>
      <c r="E31" s="701" t="s">
        <v>411</v>
      </c>
      <c r="F31" s="701"/>
      <c r="G31" s="701" t="s">
        <v>412</v>
      </c>
      <c r="H31" s="701"/>
      <c r="I31" s="701" t="s">
        <v>413</v>
      </c>
      <c r="J31" s="701"/>
      <c r="K31" s="701" t="s">
        <v>414</v>
      </c>
      <c r="L31" s="701"/>
      <c r="M31" s="701" t="s">
        <v>415</v>
      </c>
      <c r="N31" s="701"/>
    </row>
    <row r="32" spans="1:29">
      <c r="A32" s="702">
        <v>1</v>
      </c>
      <c r="B32" s="702"/>
      <c r="C32" s="702">
        <v>2</v>
      </c>
      <c r="D32" s="702"/>
      <c r="E32" s="702">
        <v>3</v>
      </c>
      <c r="F32" s="702"/>
      <c r="G32" s="702">
        <v>4</v>
      </c>
      <c r="H32" s="702"/>
      <c r="I32" s="702">
        <v>5</v>
      </c>
      <c r="J32" s="702"/>
      <c r="K32" s="702">
        <v>6</v>
      </c>
      <c r="L32" s="702"/>
      <c r="M32" s="702">
        <v>7</v>
      </c>
      <c r="N32" s="702"/>
    </row>
    <row r="33" spans="1:31" s="119" customFormat="1" ht="18.95" customHeight="1">
      <c r="A33" s="700" t="s">
        <v>416</v>
      </c>
      <c r="B33" s="700"/>
      <c r="C33" s="692">
        <f>ROUND('89 (1) Form'!L8,-1)</f>
        <v>135900</v>
      </c>
      <c r="D33" s="693"/>
      <c r="E33" s="692">
        <f>ROUND('89 (1) Form'!L9,-1)</f>
        <v>86840</v>
      </c>
      <c r="F33" s="693"/>
      <c r="G33" s="692">
        <f>C33+E33</f>
        <v>222740</v>
      </c>
      <c r="H33" s="693"/>
      <c r="I33" s="693">
        <f>Z33+AD33</f>
        <v>0</v>
      </c>
      <c r="J33" s="693"/>
      <c r="K33" s="693">
        <f>AC33+AE33</f>
        <v>0</v>
      </c>
      <c r="L33" s="693"/>
      <c r="M33" s="693">
        <f>K33-I33</f>
        <v>0</v>
      </c>
      <c r="N33" s="693"/>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c r="A34" s="700" t="s">
        <v>417</v>
      </c>
      <c r="B34" s="700"/>
      <c r="C34" s="692">
        <f>ROUND('89 (1) Form'!L11,-1)</f>
        <v>135900</v>
      </c>
      <c r="D34" s="693"/>
      <c r="E34" s="692">
        <f>ROUND('89 (1) Form'!L12,-1)</f>
        <v>86840</v>
      </c>
      <c r="F34" s="693"/>
      <c r="G34" s="692">
        <f t="shared" ref="G34:G35" si="1">C34+E34</f>
        <v>222740</v>
      </c>
      <c r="H34" s="693"/>
      <c r="I34" s="693">
        <f t="shared" ref="I34" si="2">Z34+AD34</f>
        <v>0</v>
      </c>
      <c r="J34" s="693"/>
      <c r="K34" s="693">
        <f t="shared" ref="K34" si="3">AC34+AE34</f>
        <v>0</v>
      </c>
      <c r="L34" s="693"/>
      <c r="M34" s="693">
        <f t="shared" ref="M34" si="4">K34-I34</f>
        <v>0</v>
      </c>
      <c r="N34" s="693"/>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c r="A35" s="700" t="s">
        <v>491</v>
      </c>
      <c r="B35" s="700"/>
      <c r="C35" s="692">
        <f>ROUND('89 (1) Form'!L14,-1)</f>
        <v>154020</v>
      </c>
      <c r="D35" s="693"/>
      <c r="E35" s="692">
        <f>ROUND('89 (1) Form'!L15,-1)</f>
        <v>208810</v>
      </c>
      <c r="F35" s="692"/>
      <c r="G35" s="692">
        <f t="shared" si="1"/>
        <v>362830</v>
      </c>
      <c r="H35" s="693"/>
      <c r="I35" s="693">
        <f>Z35+AD35</f>
        <v>0</v>
      </c>
      <c r="J35" s="693"/>
      <c r="K35" s="693">
        <f>AC35+AE35</f>
        <v>5811</v>
      </c>
      <c r="L35" s="693"/>
      <c r="M35" s="693">
        <f>K35-I35</f>
        <v>5811</v>
      </c>
      <c r="N35" s="693"/>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c r="A36" s="700" t="s">
        <v>551</v>
      </c>
      <c r="B36" s="700"/>
      <c r="C36" s="692">
        <f>ROUND('89 (1) Form'!L17,-1)</f>
        <v>378710</v>
      </c>
      <c r="D36" s="693"/>
      <c r="E36" s="692">
        <f>ROUND('89 (1) Form'!L18,-1)</f>
        <v>18030</v>
      </c>
      <c r="F36" s="692"/>
      <c r="G36" s="692">
        <f t="shared" ref="G36" si="5">C36+E36</f>
        <v>396740</v>
      </c>
      <c r="H36" s="693"/>
      <c r="I36" s="693">
        <f>AA36+AD36</f>
        <v>6693</v>
      </c>
      <c r="J36" s="693"/>
      <c r="K36" s="693">
        <f>AC36+AE36</f>
        <v>7630</v>
      </c>
      <c r="L36" s="693"/>
      <c r="M36" s="693">
        <f>K36-I36</f>
        <v>937</v>
      </c>
      <c r="N36" s="693"/>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c r="A37" s="694" t="s">
        <v>4</v>
      </c>
      <c r="B37" s="695"/>
      <c r="C37" s="696"/>
      <c r="D37" s="697"/>
      <c r="E37" s="696"/>
      <c r="F37" s="697"/>
      <c r="G37" s="696"/>
      <c r="H37" s="697"/>
      <c r="I37" s="696"/>
      <c r="J37" s="697"/>
      <c r="K37" s="696"/>
      <c r="L37" s="697"/>
      <c r="M37" s="698">
        <f>SUM(M33:N36)</f>
        <v>6748</v>
      </c>
      <c r="N37" s="699"/>
    </row>
    <row r="38"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E36:F36"/>
    <mergeCell ref="G36:H36"/>
    <mergeCell ref="I36:J36"/>
    <mergeCell ref="K36:L36"/>
    <mergeCell ref="M36:N3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2019-11-07T18:59:16Z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