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bookViews>
    <workbookView xWindow="0" yWindow="465" windowWidth="20730" windowHeight="11760"/>
  </bookViews>
  <sheets>
    <sheet name="Master Data" sheetId="4" r:id="rId1"/>
    <sheet name="89 (1) Form" sheetId="1" r:id="rId2"/>
    <sheet name="form10E" sheetId="2" r:id="rId3"/>
    <sheet name="arrear" sheetId="3" r:id="rId4"/>
  </sheets>
  <definedNames>
    <definedName name="_xlnm.Print_Area" localSheetId="3">arrear!$A$1:$U$42</definedName>
    <definedName name="_xlnm.Print_Area" localSheetId="2">form10E!$A$1:$N$36</definedName>
  </definedNames>
  <calcPr calcId="124519"/>
</workbook>
</file>

<file path=xl/calcChain.xml><?xml version="1.0" encoding="utf-8"?>
<calcChain xmlns="http://schemas.openxmlformats.org/spreadsheetml/2006/main">
  <c r="O3" i="3"/>
  <c r="I3"/>
  <c r="D3"/>
  <c r="L29"/>
  <c r="A28"/>
  <c r="A27"/>
  <c r="A26"/>
  <c r="A25"/>
  <c r="U24"/>
  <c r="T24"/>
  <c r="L24"/>
  <c r="A24" l="1"/>
  <c r="A23" l="1"/>
  <c r="U22"/>
  <c r="T22"/>
  <c r="A22"/>
  <c r="U21"/>
  <c r="T21"/>
  <c r="A21"/>
  <c r="U20"/>
  <c r="T20"/>
  <c r="A20"/>
  <c r="U19"/>
  <c r="T19"/>
  <c r="A19"/>
  <c r="U18"/>
  <c r="T18"/>
  <c r="A18"/>
  <c r="U17"/>
  <c r="T17"/>
  <c r="A17"/>
  <c r="U16"/>
  <c r="T16"/>
  <c r="J16"/>
  <c r="A16"/>
  <c r="U15"/>
  <c r="T15"/>
  <c r="A15"/>
  <c r="U14"/>
  <c r="T14"/>
  <c r="A14"/>
  <c r="U13"/>
  <c r="T13"/>
  <c r="A13"/>
  <c r="U12"/>
  <c r="T12"/>
  <c r="A12"/>
  <c r="U11"/>
  <c r="T11"/>
  <c r="A11"/>
  <c r="U10"/>
  <c r="T10"/>
  <c r="L10"/>
  <c r="A10"/>
  <c r="U9"/>
  <c r="T9"/>
  <c r="A9"/>
  <c r="U8"/>
  <c r="T8"/>
  <c r="L8"/>
  <c r="A8"/>
  <c r="U7"/>
  <c r="T7"/>
  <c r="L7"/>
  <c r="A7"/>
  <c r="U6"/>
  <c r="T6"/>
  <c r="A6"/>
  <c r="H5"/>
  <c r="G5"/>
  <c r="F5"/>
  <c r="E5"/>
  <c r="D5"/>
  <c r="C5"/>
  <c r="B5"/>
  <c r="F40"/>
  <c r="B1"/>
  <c r="L23" i="2" l="1"/>
  <c r="Z22"/>
  <c r="AA22" l="1"/>
  <c r="Z21"/>
  <c r="Z19"/>
  <c r="D15"/>
  <c r="J5"/>
  <c r="C4"/>
  <c r="C5" i="1" l="1"/>
  <c r="C5" i="2" s="1"/>
  <c r="C3" i="1"/>
  <c r="B13" i="2" s="1"/>
  <c r="C3" l="1"/>
  <c r="AA21" l="1"/>
  <c r="O46" i="4"/>
  <c r="D46"/>
  <c r="K46" s="1"/>
  <c r="C45" l="1"/>
  <c r="C44" l="1"/>
  <c r="C43" l="1"/>
  <c r="C42" l="1"/>
  <c r="C41" l="1"/>
  <c r="C40" l="1"/>
  <c r="C39" l="1"/>
  <c r="C38" l="1"/>
  <c r="C37" l="1"/>
  <c r="C36" l="1"/>
  <c r="N35"/>
  <c r="M35"/>
  <c r="C35"/>
  <c r="C34" l="1"/>
  <c r="C32"/>
  <c r="C31" l="1"/>
  <c r="C30"/>
  <c r="C29"/>
  <c r="C28" l="1"/>
  <c r="C27" l="1"/>
  <c r="C26"/>
  <c r="C25" l="1"/>
  <c r="C24" l="1"/>
  <c r="D24" s="1"/>
  <c r="C23"/>
  <c r="D23" s="1"/>
  <c r="C22"/>
  <c r="D22" s="1"/>
  <c r="B13" i="3" l="1"/>
  <c r="E22" i="4"/>
  <c r="C13" i="3" s="1"/>
  <c r="F22" i="4"/>
  <c r="F23"/>
  <c r="D14" i="3" s="1"/>
  <c r="E24" i="4"/>
  <c r="V24" s="1"/>
  <c r="O15" i="3" s="1"/>
  <c r="E23" i="4"/>
  <c r="C14" i="3" s="1"/>
  <c r="F24" i="4"/>
  <c r="B15" i="3"/>
  <c r="D25" i="4"/>
  <c r="B14" i="3"/>
  <c r="C15"/>
  <c r="D21" i="4"/>
  <c r="C21"/>
  <c r="D37" l="1"/>
  <c r="D35"/>
  <c r="D36"/>
  <c r="D32"/>
  <c r="D34"/>
  <c r="D30"/>
  <c r="D29"/>
  <c r="D31"/>
  <c r="D28"/>
  <c r="P25"/>
  <c r="D27"/>
  <c r="F25"/>
  <c r="D16" i="3" s="1"/>
  <c r="D26" i="4"/>
  <c r="E25"/>
  <c r="D33"/>
  <c r="F21"/>
  <c r="E21"/>
  <c r="V23"/>
  <c r="O14" i="3" s="1"/>
  <c r="B12"/>
  <c r="B16"/>
  <c r="C12"/>
  <c r="C16" l="1"/>
  <c r="B17"/>
  <c r="F26" i="4"/>
  <c r="E26"/>
  <c r="L26"/>
  <c r="V26"/>
  <c r="O17" i="3" s="1"/>
  <c r="F27" i="4"/>
  <c r="E27"/>
  <c r="L27"/>
  <c r="P27" s="1"/>
  <c r="B18" i="3"/>
  <c r="E31" i="4"/>
  <c r="F31"/>
  <c r="B22" i="3"/>
  <c r="B21"/>
  <c r="E30" i="4"/>
  <c r="F30"/>
  <c r="B23" i="3"/>
  <c r="E32" i="4"/>
  <c r="F32"/>
  <c r="D23" i="3" s="1"/>
  <c r="C23" s="1"/>
  <c r="F35" i="4"/>
  <c r="P35"/>
  <c r="E35"/>
  <c r="V25"/>
  <c r="O16" i="3" s="1"/>
  <c r="D12"/>
  <c r="V28" i="4"/>
  <c r="O19" i="3" s="1"/>
  <c r="E28" i="4"/>
  <c r="F28"/>
  <c r="D19" i="3" s="1"/>
  <c r="B19"/>
  <c r="L28" i="4"/>
  <c r="F29"/>
  <c r="E29"/>
  <c r="L29"/>
  <c r="B20" i="3"/>
  <c r="F34" i="4"/>
  <c r="E34"/>
  <c r="B24" i="3"/>
  <c r="E36" i="4"/>
  <c r="F36"/>
  <c r="L36"/>
  <c r="W36"/>
  <c r="E37"/>
  <c r="F37"/>
  <c r="D38"/>
  <c r="L37"/>
  <c r="P37" s="1"/>
  <c r="W37"/>
  <c r="V21"/>
  <c r="D45" l="1"/>
  <c r="D44"/>
  <c r="D43"/>
  <c r="D42"/>
  <c r="D41"/>
  <c r="D40"/>
  <c r="D39"/>
  <c r="F38"/>
  <c r="E38"/>
  <c r="W38"/>
  <c r="J20" i="3"/>
  <c r="C20"/>
  <c r="C19"/>
  <c r="Q35" i="4"/>
  <c r="R35"/>
  <c r="V37"/>
  <c r="V29"/>
  <c r="O20" i="3" s="1"/>
  <c r="P29" i="4"/>
  <c r="F33"/>
  <c r="V32"/>
  <c r="O23" i="3" s="1"/>
  <c r="L38" i="4"/>
  <c r="P38" s="1"/>
  <c r="N37"/>
  <c r="M37"/>
  <c r="N36"/>
  <c r="R36" s="1"/>
  <c r="Q36" s="1"/>
  <c r="M36"/>
  <c r="C24" i="3"/>
  <c r="D24"/>
  <c r="J19"/>
  <c r="C21"/>
  <c r="C22"/>
  <c r="J18"/>
  <c r="C18"/>
  <c r="J17"/>
  <c r="C17"/>
  <c r="P36" i="4"/>
  <c r="V36"/>
  <c r="V34"/>
  <c r="O24" i="3" s="1"/>
  <c r="E33" i="4"/>
  <c r="L30"/>
  <c r="O12" i="3"/>
  <c r="C19" i="4"/>
  <c r="D19" s="1"/>
  <c r="J21" i="3" l="1"/>
  <c r="L31" i="4"/>
  <c r="P30"/>
  <c r="W39"/>
  <c r="F39"/>
  <c r="E39"/>
  <c r="L39"/>
  <c r="F40"/>
  <c r="P40"/>
  <c r="E40"/>
  <c r="W40"/>
  <c r="V40" s="1"/>
  <c r="L40"/>
  <c r="F42"/>
  <c r="E42"/>
  <c r="F44"/>
  <c r="V44"/>
  <c r="E44"/>
  <c r="E19"/>
  <c r="C11" i="3" s="1"/>
  <c r="V19" i="4"/>
  <c r="M38"/>
  <c r="N38"/>
  <c r="E41"/>
  <c r="F41"/>
  <c r="W41"/>
  <c r="W42" s="1"/>
  <c r="W43" s="1"/>
  <c r="W44" s="1"/>
  <c r="W45" s="1"/>
  <c r="L41"/>
  <c r="F43"/>
  <c r="E43"/>
  <c r="E45"/>
  <c r="F45"/>
  <c r="F19"/>
  <c r="D11" i="3" s="1"/>
  <c r="V38" i="4"/>
  <c r="B11" i="3"/>
  <c r="O11"/>
  <c r="C18" i="4"/>
  <c r="D18" s="1"/>
  <c r="F18" l="1"/>
  <c r="E18"/>
  <c r="C10" i="3" s="1"/>
  <c r="M41" i="4"/>
  <c r="N41"/>
  <c r="N40"/>
  <c r="M40"/>
  <c r="V43"/>
  <c r="L42"/>
  <c r="N39"/>
  <c r="M39"/>
  <c r="Q39" s="1"/>
  <c r="J22" i="3"/>
  <c r="L32" i="4"/>
  <c r="V45"/>
  <c r="P41"/>
  <c r="V41"/>
  <c r="V42"/>
  <c r="P39"/>
  <c r="R39"/>
  <c r="V39"/>
  <c r="B10" i="3"/>
  <c r="E17" i="4"/>
  <c r="C9" i="3" s="1"/>
  <c r="C17" i="4"/>
  <c r="D17" s="1"/>
  <c r="J23" i="3" l="1"/>
  <c r="P32" i="4"/>
  <c r="L34"/>
  <c r="M42"/>
  <c r="N42"/>
  <c r="P42"/>
  <c r="L43"/>
  <c r="F17"/>
  <c r="D9" i="3" s="1"/>
  <c r="B9"/>
  <c r="V18" i="4"/>
  <c r="C16"/>
  <c r="D16" s="1"/>
  <c r="V16" l="1"/>
  <c r="O8" i="3" s="1"/>
  <c r="F16" i="4"/>
  <c r="E16"/>
  <c r="J24" i="3"/>
  <c r="P34" i="4"/>
  <c r="M43"/>
  <c r="N43"/>
  <c r="L44"/>
  <c r="P43"/>
  <c r="B8" i="3"/>
  <c r="O10"/>
  <c r="D15" i="4"/>
  <c r="C15"/>
  <c r="N44" l="1"/>
  <c r="M44"/>
  <c r="P44"/>
  <c r="L45"/>
  <c r="F15"/>
  <c r="D7" i="3" s="1"/>
  <c r="E15" i="4"/>
  <c r="C7" i="3" s="1"/>
  <c r="L47" i="4"/>
  <c r="B7" i="3"/>
  <c r="M15" i="4"/>
  <c r="M16" s="1"/>
  <c r="L15"/>
  <c r="M17" l="1"/>
  <c r="Q16"/>
  <c r="N45"/>
  <c r="R45" s="1"/>
  <c r="M45"/>
  <c r="Q45" s="1"/>
  <c r="P45"/>
  <c r="Q15"/>
  <c r="P15" s="1"/>
  <c r="J7" i="3"/>
  <c r="L16" i="4"/>
  <c r="V15"/>
  <c r="C14"/>
  <c r="C13"/>
  <c r="C12"/>
  <c r="J8" i="3" l="1"/>
  <c r="L17" i="4"/>
  <c r="M18"/>
  <c r="Q18" s="1"/>
  <c r="Q17"/>
  <c r="P47"/>
  <c r="D12"/>
  <c r="L12"/>
  <c r="P16"/>
  <c r="O7" i="3"/>
  <c r="D13" i="4"/>
  <c r="L13"/>
  <c r="C11"/>
  <c r="D10"/>
  <c r="S10" s="1"/>
  <c r="C10"/>
  <c r="C9"/>
  <c r="D9" s="1"/>
  <c r="S9" s="1"/>
  <c r="R13" l="1"/>
  <c r="P13"/>
  <c r="Q13"/>
  <c r="S13"/>
  <c r="K13"/>
  <c r="J9" i="3"/>
  <c r="L18" i="4"/>
  <c r="P17"/>
  <c r="R9"/>
  <c r="K10"/>
  <c r="R10"/>
  <c r="S12"/>
  <c r="Q12"/>
  <c r="R12"/>
  <c r="K12"/>
  <c r="T12"/>
  <c r="P12"/>
  <c r="K9"/>
  <c r="Q9"/>
  <c r="L10"/>
  <c r="P10" s="1"/>
  <c r="T10" s="1"/>
  <c r="Q10"/>
  <c r="L9"/>
  <c r="P9" s="1"/>
  <c r="D11"/>
  <c r="L11"/>
  <c r="C8"/>
  <c r="L8" s="1"/>
  <c r="V10" l="1"/>
  <c r="U10" s="1"/>
  <c r="Y10"/>
  <c r="Z10"/>
  <c r="V12"/>
  <c r="U12" s="1"/>
  <c r="Y12"/>
  <c r="Z12" s="1"/>
  <c r="J10" i="3"/>
  <c r="L19" i="4"/>
  <c r="P18"/>
  <c r="R11"/>
  <c r="P11"/>
  <c r="T11" s="1"/>
  <c r="S11"/>
  <c r="Q11"/>
  <c r="K11"/>
  <c r="D8"/>
  <c r="AB1"/>
  <c r="V11" l="1"/>
  <c r="Y11"/>
  <c r="Z11" s="1"/>
  <c r="U11"/>
  <c r="D14"/>
  <c r="AA2"/>
  <c r="D20"/>
  <c r="R8"/>
  <c r="P8"/>
  <c r="T8" s="1"/>
  <c r="S8"/>
  <c r="K8"/>
  <c r="Q8"/>
  <c r="J11" i="3"/>
  <c r="L21" i="4"/>
  <c r="P19"/>
  <c r="AA1"/>
  <c r="Z1" s="1"/>
  <c r="L9" i="3"/>
  <c r="L20"/>
  <c r="L17"/>
  <c r="Z23" i="2"/>
  <c r="AA23"/>
  <c r="L24"/>
  <c r="L13" i="3"/>
  <c r="L16"/>
  <c r="L11"/>
  <c r="L12"/>
  <c r="V8" i="4" l="1"/>
  <c r="U8" s="1"/>
  <c r="Y8"/>
  <c r="L22"/>
  <c r="P21"/>
  <c r="J12" i="3"/>
  <c r="F14" i="4"/>
  <c r="D6" i="3" s="1"/>
  <c r="E14" i="4"/>
  <c r="C6" i="3" s="1"/>
  <c r="B6"/>
  <c r="B29" s="1"/>
  <c r="B31" s="1"/>
  <c r="X14" i="4"/>
  <c r="L14"/>
  <c r="M14"/>
  <c r="G14"/>
  <c r="H14"/>
  <c r="W14"/>
  <c r="N14"/>
  <c r="N15" s="1"/>
  <c r="O14"/>
  <c r="O15" s="1"/>
  <c r="O16" s="1"/>
  <c r="O17" s="1"/>
  <c r="O18" s="1"/>
  <c r="O19" s="1"/>
  <c r="O21" s="1"/>
  <c r="O22" s="1"/>
  <c r="O23" s="1"/>
  <c r="O24" s="1"/>
  <c r="O25" s="1"/>
  <c r="O26" s="1"/>
  <c r="O27" s="1"/>
  <c r="O28" s="1"/>
  <c r="O29" s="1"/>
  <c r="O30" s="1"/>
  <c r="O31" s="1"/>
  <c r="O32" s="1"/>
  <c r="O34" s="1"/>
  <c r="I14"/>
  <c r="J14"/>
  <c r="V14"/>
  <c r="O6" i="3" s="1"/>
  <c r="AA19" i="2"/>
  <c r="O35" i="4" l="1"/>
  <c r="O36" s="1"/>
  <c r="O37" s="1"/>
  <c r="O38" s="1"/>
  <c r="O39" s="1"/>
  <c r="O40" s="1"/>
  <c r="O41" s="1"/>
  <c r="O42" s="1"/>
  <c r="O43" s="1"/>
  <c r="O44" s="1"/>
  <c r="O45" s="1"/>
  <c r="W15"/>
  <c r="N6" i="3"/>
  <c r="E6"/>
  <c r="G15" i="4"/>
  <c r="J6" i="3"/>
  <c r="L20" i="4"/>
  <c r="K14"/>
  <c r="S14"/>
  <c r="R14" s="1"/>
  <c r="Z8"/>
  <c r="H6" i="3"/>
  <c r="J15" i="4"/>
  <c r="G6" i="3"/>
  <c r="I15" i="4"/>
  <c r="N16"/>
  <c r="R15"/>
  <c r="F6" i="3"/>
  <c r="H15" i="4"/>
  <c r="Q6" i="3"/>
  <c r="X15" i="4"/>
  <c r="P22"/>
  <c r="L23"/>
  <c r="J13" i="3"/>
  <c r="Q14" i="4"/>
  <c r="P14" s="1"/>
  <c r="T14" s="1"/>
  <c r="N17" l="1"/>
  <c r="N18" s="1"/>
  <c r="R16"/>
  <c r="L8" i="1"/>
  <c r="C33" i="2" s="1"/>
  <c r="P20" i="4"/>
  <c r="I6" i="3"/>
  <c r="J14"/>
  <c r="L24" i="4"/>
  <c r="L33" s="1"/>
  <c r="Q7" i="3"/>
  <c r="X16" i="4"/>
  <c r="F7" i="3"/>
  <c r="H16" i="4"/>
  <c r="G7" i="3"/>
  <c r="I16" i="4"/>
  <c r="H7" i="3"/>
  <c r="J16" i="4"/>
  <c r="E7" i="3"/>
  <c r="S15" i="4"/>
  <c r="K15"/>
  <c r="I7" i="3" s="1"/>
  <c r="K7" s="1"/>
  <c r="M7" s="1"/>
  <c r="W16" i="4"/>
  <c r="N7" i="3"/>
  <c r="T15" i="4"/>
  <c r="U14"/>
  <c r="P6" i="3" s="1"/>
  <c r="O47" i="4"/>
  <c r="O48" s="1"/>
  <c r="L11" i="1" l="1"/>
  <c r="C34" i="2" s="1"/>
  <c r="L48" i="4"/>
  <c r="U15"/>
  <c r="P7" i="3" s="1"/>
  <c r="W17" i="4"/>
  <c r="N8" i="3"/>
  <c r="H8"/>
  <c r="J17" i="4"/>
  <c r="G8" i="3"/>
  <c r="I17" i="4"/>
  <c r="G16"/>
  <c r="H17"/>
  <c r="F8" i="3"/>
  <c r="Q8"/>
  <c r="X17" i="4"/>
  <c r="N19"/>
  <c r="R18"/>
  <c r="J15" i="3"/>
  <c r="J29" s="1"/>
  <c r="K33" s="1"/>
  <c r="K6"/>
  <c r="Z33" i="2"/>
  <c r="AB33" s="1"/>
  <c r="I33" s="1"/>
  <c r="Y14" i="4"/>
  <c r="R6" i="3" l="1"/>
  <c r="Z14" i="4"/>
  <c r="S6" i="3" s="1"/>
  <c r="M19" i="4"/>
  <c r="N21"/>
  <c r="R19"/>
  <c r="H18"/>
  <c r="H19" s="1"/>
  <c r="F9" i="3"/>
  <c r="G9"/>
  <c r="I18" i="4"/>
  <c r="H9" i="3"/>
  <c r="J18" i="4"/>
  <c r="V17"/>
  <c r="O9" i="3" s="1"/>
  <c r="W18" i="4"/>
  <c r="Z34" i="2"/>
  <c r="Y15" i="4"/>
  <c r="M6" i="3"/>
  <c r="Q9"/>
  <c r="X18" i="4"/>
  <c r="E8" i="3"/>
  <c r="D8" s="1"/>
  <c r="G17" i="4"/>
  <c r="S16"/>
  <c r="T16" s="1"/>
  <c r="K16"/>
  <c r="I8" i="3" s="1"/>
  <c r="U16" i="4" l="1"/>
  <c r="P8" i="3" s="1"/>
  <c r="C8"/>
  <c r="C29" s="1"/>
  <c r="B32" s="1"/>
  <c r="AB34" i="2"/>
  <c r="I34" s="1"/>
  <c r="W19" i="4"/>
  <c r="N10" i="3"/>
  <c r="W20" i="4"/>
  <c r="H10" i="3"/>
  <c r="J19" i="4"/>
  <c r="G10" i="3"/>
  <c r="F10" s="1"/>
  <c r="I19" i="4"/>
  <c r="M21"/>
  <c r="Q19"/>
  <c r="K8" i="3"/>
  <c r="E9"/>
  <c r="G18" i="4"/>
  <c r="S17"/>
  <c r="R17" s="1"/>
  <c r="T17" s="1"/>
  <c r="K17"/>
  <c r="I9" i="3" s="1"/>
  <c r="K9" s="1"/>
  <c r="M9" s="1"/>
  <c r="Q10"/>
  <c r="X19" i="4"/>
  <c r="R7" i="3"/>
  <c r="Z15" i="4"/>
  <c r="S7" i="3" s="1"/>
  <c r="N9"/>
  <c r="F11"/>
  <c r="H21" i="4"/>
  <c r="N22"/>
  <c r="R21"/>
  <c r="N23" l="1"/>
  <c r="R22"/>
  <c r="F12" i="3"/>
  <c r="H22" i="4"/>
  <c r="H23" s="1"/>
  <c r="Q11" i="3"/>
  <c r="X21" i="4"/>
  <c r="E10" i="3"/>
  <c r="D10" s="1"/>
  <c r="G19" i="4"/>
  <c r="S18"/>
  <c r="T18" s="1"/>
  <c r="K18"/>
  <c r="I10" i="3" s="1"/>
  <c r="K10" s="1"/>
  <c r="M10" s="1"/>
  <c r="G20" i="4"/>
  <c r="M22"/>
  <c r="Q21"/>
  <c r="Y16"/>
  <c r="Y17"/>
  <c r="R9" i="3" s="1"/>
  <c r="U17" i="4"/>
  <c r="P9" i="3" s="1"/>
  <c r="M8"/>
  <c r="G11"/>
  <c r="I21" i="4"/>
  <c r="H11" i="3"/>
  <c r="J21" i="4"/>
  <c r="N11" i="3"/>
  <c r="W21" i="4"/>
  <c r="W22" l="1"/>
  <c r="N12" i="3"/>
  <c r="H12"/>
  <c r="J22" i="4"/>
  <c r="G12" i="3"/>
  <c r="I22" i="4"/>
  <c r="M23"/>
  <c r="Q22"/>
  <c r="E11" i="3"/>
  <c r="G21" i="4"/>
  <c r="S19"/>
  <c r="T19" s="1"/>
  <c r="K19"/>
  <c r="Q12" i="3"/>
  <c r="X22" i="4"/>
  <c r="F14" i="3"/>
  <c r="H24" i="4"/>
  <c r="N24"/>
  <c r="R23"/>
  <c r="Z17"/>
  <c r="S9" i="3" s="1"/>
  <c r="R8"/>
  <c r="Z16" i="4"/>
  <c r="S8" i="3" s="1"/>
  <c r="F20" i="4"/>
  <c r="S20"/>
  <c r="U18"/>
  <c r="P10" i="3" s="1"/>
  <c r="E20" i="4" l="1"/>
  <c r="Q20" s="1"/>
  <c r="T20" s="1"/>
  <c r="R20"/>
  <c r="F15" i="3"/>
  <c r="H25" i="4"/>
  <c r="Q13" i="3"/>
  <c r="X23" i="4"/>
  <c r="U19"/>
  <c r="P11" i="3" s="1"/>
  <c r="M24" i="4"/>
  <c r="Q23"/>
  <c r="P23" s="1"/>
  <c r="H13" i="3"/>
  <c r="J23" i="4"/>
  <c r="V22"/>
  <c r="O13" i="3" s="1"/>
  <c r="W23" i="4"/>
  <c r="R24"/>
  <c r="N25"/>
  <c r="I11" i="3"/>
  <c r="K20" i="4"/>
  <c r="E12" i="3"/>
  <c r="G22" i="4"/>
  <c r="S21"/>
  <c r="T21" s="1"/>
  <c r="K21"/>
  <c r="G13" i="3"/>
  <c r="F13" s="1"/>
  <c r="I23" i="4"/>
  <c r="Y18"/>
  <c r="U21" l="1"/>
  <c r="P12" i="3" s="1"/>
  <c r="N26" i="4"/>
  <c r="R25"/>
  <c r="N14" i="3"/>
  <c r="W24" i="4"/>
  <c r="H14" i="3"/>
  <c r="J24" i="4"/>
  <c r="Y19"/>
  <c r="R10" i="3"/>
  <c r="Z18" i="4"/>
  <c r="S10" i="3" s="1"/>
  <c r="J20" i="4"/>
  <c r="I20" s="1"/>
  <c r="H20" s="1"/>
  <c r="G14" i="3"/>
  <c r="I24" i="4"/>
  <c r="I12" i="3"/>
  <c r="K12" s="1"/>
  <c r="M12" s="1"/>
  <c r="E13"/>
  <c r="D13" s="1"/>
  <c r="S22" i="4"/>
  <c r="T22" s="1"/>
  <c r="G23"/>
  <c r="K22"/>
  <c r="I13" i="3" s="1"/>
  <c r="K13" s="1"/>
  <c r="M13" s="1"/>
  <c r="K11"/>
  <c r="N13"/>
  <c r="Q24" i="4"/>
  <c r="P24" s="1"/>
  <c r="M25"/>
  <c r="M26" s="1"/>
  <c r="Q14" i="3"/>
  <c r="X24" i="4"/>
  <c r="F16" i="3"/>
  <c r="H26" i="4"/>
  <c r="F17" i="3" l="1"/>
  <c r="H27" i="4"/>
  <c r="M27"/>
  <c r="Q26"/>
  <c r="P26" s="1"/>
  <c r="M11" i="3"/>
  <c r="E14"/>
  <c r="G24" i="4"/>
  <c r="S23"/>
  <c r="T23" s="1"/>
  <c r="K23"/>
  <c r="I14" i="3" s="1"/>
  <c r="G15"/>
  <c r="I25" i="4"/>
  <c r="R11" i="3"/>
  <c r="Z19" i="4"/>
  <c r="S11" i="3" s="1"/>
  <c r="R26" i="4"/>
  <c r="N27"/>
  <c r="Q15" i="3"/>
  <c r="X25" i="4"/>
  <c r="U22"/>
  <c r="P13" i="3" s="1"/>
  <c r="H15"/>
  <c r="J25" i="4"/>
  <c r="N15" i="3"/>
  <c r="W25" i="4"/>
  <c r="Q25"/>
  <c r="Y21"/>
  <c r="Q16" i="3" l="1"/>
  <c r="X26" i="4"/>
  <c r="K14" i="3"/>
  <c r="E15"/>
  <c r="D15" s="1"/>
  <c r="S24" i="4"/>
  <c r="T24" s="1"/>
  <c r="G25"/>
  <c r="K24"/>
  <c r="F18" i="3"/>
  <c r="H28" i="4"/>
  <c r="R12" i="3"/>
  <c r="Z21" i="4"/>
  <c r="H16" i="3"/>
  <c r="J26" i="4"/>
  <c r="N16" i="3"/>
  <c r="W26" i="4"/>
  <c r="N28"/>
  <c r="N29" s="1"/>
  <c r="R27"/>
  <c r="G16" i="3"/>
  <c r="I26" i="4"/>
  <c r="U23"/>
  <c r="P14" i="3" s="1"/>
  <c r="M28" i="4"/>
  <c r="Q27"/>
  <c r="Y22"/>
  <c r="G17" i="3" l="1"/>
  <c r="I27" i="4"/>
  <c r="N17" i="3"/>
  <c r="W27" i="4"/>
  <c r="H17" i="3"/>
  <c r="J27" i="4"/>
  <c r="S12" i="3"/>
  <c r="F19"/>
  <c r="H29" i="4"/>
  <c r="H30" s="1"/>
  <c r="H31" s="1"/>
  <c r="H32" s="1"/>
  <c r="I15" i="3"/>
  <c r="K15" s="1"/>
  <c r="M15" s="1"/>
  <c r="L15" s="1"/>
  <c r="U24" i="4"/>
  <c r="P15" i="3" s="1"/>
  <c r="Q17"/>
  <c r="X27" i="4"/>
  <c r="R13" i="3"/>
  <c r="Z22" i="4"/>
  <c r="S13" i="3" s="1"/>
  <c r="M29" i="4"/>
  <c r="Q28"/>
  <c r="P28" s="1"/>
  <c r="N30"/>
  <c r="R29"/>
  <c r="E16" i="3"/>
  <c r="S25" i="4"/>
  <c r="T25" s="1"/>
  <c r="G26"/>
  <c r="K25"/>
  <c r="I16" i="3" s="1"/>
  <c r="K16" s="1"/>
  <c r="M16" s="1"/>
  <c r="M14"/>
  <c r="Y23" i="4"/>
  <c r="R14" i="3" l="1"/>
  <c r="Z23" i="4"/>
  <c r="S14" i="3" s="1"/>
  <c r="U25" i="4"/>
  <c r="P16" i="3" s="1"/>
  <c r="Q18"/>
  <c r="X28" i="4"/>
  <c r="F23" i="3"/>
  <c r="H34" i="4"/>
  <c r="H18" i="3"/>
  <c r="J28" i="4"/>
  <c r="L14" i="3"/>
  <c r="E17"/>
  <c r="D17" s="1"/>
  <c r="S26" i="4"/>
  <c r="T26" s="1"/>
  <c r="G27"/>
  <c r="K26"/>
  <c r="I17" i="3" s="1"/>
  <c r="K17" s="1"/>
  <c r="N31" i="4"/>
  <c r="R30"/>
  <c r="M30"/>
  <c r="Q29"/>
  <c r="V27"/>
  <c r="O18" i="3" s="1"/>
  <c r="W28" i="4"/>
  <c r="G18" i="3"/>
  <c r="I28" i="4"/>
  <c r="Y24"/>
  <c r="H33"/>
  <c r="N18" i="3" l="1"/>
  <c r="M31" i="4"/>
  <c r="Q30"/>
  <c r="R31"/>
  <c r="N32"/>
  <c r="M17" i="3"/>
  <c r="U26" i="4"/>
  <c r="P17" i="3" s="1"/>
  <c r="Q19"/>
  <c r="X29" i="4"/>
  <c r="R15" i="3"/>
  <c r="Z24" i="4"/>
  <c r="G19" i="3"/>
  <c r="I29" i="4"/>
  <c r="N19" i="3"/>
  <c r="W29" i="4"/>
  <c r="E18" i="3"/>
  <c r="D18" s="1"/>
  <c r="G28" i="4"/>
  <c r="S27"/>
  <c r="T27" s="1"/>
  <c r="K27"/>
  <c r="H19" i="3"/>
  <c r="J29" i="4"/>
  <c r="F24" i="3"/>
  <c r="H35" i="4"/>
  <c r="Y25"/>
  <c r="U27" l="1"/>
  <c r="P18" i="3" s="1"/>
  <c r="W30" i="4"/>
  <c r="N20" i="3"/>
  <c r="S15"/>
  <c r="Q20"/>
  <c r="X30" i="4"/>
  <c r="M32"/>
  <c r="Q31"/>
  <c r="P31" s="1"/>
  <c r="R16" i="3"/>
  <c r="Z25" i="4"/>
  <c r="S16" i="3" s="1"/>
  <c r="H20"/>
  <c r="J30" i="4"/>
  <c r="I18" i="3"/>
  <c r="K18" s="1"/>
  <c r="M18" s="1"/>
  <c r="L18" s="1"/>
  <c r="E19"/>
  <c r="G29" i="4"/>
  <c r="S28"/>
  <c r="R28" s="1"/>
  <c r="T28" s="1"/>
  <c r="K28"/>
  <c r="I19" i="3" s="1"/>
  <c r="K19" s="1"/>
  <c r="M19" s="1"/>
  <c r="L19" s="1"/>
  <c r="G20"/>
  <c r="F20" s="1"/>
  <c r="I30" i="4"/>
  <c r="N34"/>
  <c r="R32"/>
  <c r="R33" s="1"/>
  <c r="Y26"/>
  <c r="N47" l="1"/>
  <c r="N48" s="1"/>
  <c r="R34"/>
  <c r="E20" i="3"/>
  <c r="D20" s="1"/>
  <c r="G30" i="4"/>
  <c r="S29"/>
  <c r="T29" s="1"/>
  <c r="K29"/>
  <c r="I20" i="3" s="1"/>
  <c r="K20" s="1"/>
  <c r="M20" s="1"/>
  <c r="H21"/>
  <c r="J31" i="4"/>
  <c r="P33"/>
  <c r="Q21" i="3"/>
  <c r="X31" i="4"/>
  <c r="R17" i="3"/>
  <c r="Z26" i="4"/>
  <c r="S17" i="3" s="1"/>
  <c r="G21"/>
  <c r="F21" s="1"/>
  <c r="I31" i="4"/>
  <c r="U28"/>
  <c r="P19" i="3" s="1"/>
  <c r="M34" i="4"/>
  <c r="Q32"/>
  <c r="V30"/>
  <c r="O21" i="3" s="1"/>
  <c r="W31" i="4"/>
  <c r="Q33"/>
  <c r="Y27"/>
  <c r="V31" l="1"/>
  <c r="O22" i="3" s="1"/>
  <c r="N22" s="1"/>
  <c r="W32" i="4"/>
  <c r="U29"/>
  <c r="P20" i="3" s="1"/>
  <c r="R18"/>
  <c r="Z27" i="4"/>
  <c r="N21" i="3"/>
  <c r="M47" i="4"/>
  <c r="L14" i="1" s="1"/>
  <c r="C35" i="2" s="1"/>
  <c r="Q34" i="4"/>
  <c r="G22" i="3"/>
  <c r="F22" s="1"/>
  <c r="I32" i="4"/>
  <c r="Q22" i="3"/>
  <c r="X32" i="4"/>
  <c r="H22" i="3"/>
  <c r="J32" i="4"/>
  <c r="E21" i="3"/>
  <c r="D21" s="1"/>
  <c r="G31" i="4"/>
  <c r="S30"/>
  <c r="T30" s="1"/>
  <c r="K30"/>
  <c r="I21" i="3" s="1"/>
  <c r="K21" s="1"/>
  <c r="M21" s="1"/>
  <c r="L21" s="1"/>
  <c r="Y28" i="4"/>
  <c r="F29" i="3"/>
  <c r="U30" i="4" l="1"/>
  <c r="P21" i="3" s="1"/>
  <c r="Z35" i="2"/>
  <c r="AB35" s="1"/>
  <c r="I35" s="1"/>
  <c r="R19" i="3"/>
  <c r="Z28" i="4"/>
  <c r="S19" i="3" s="1"/>
  <c r="E22"/>
  <c r="D22" s="1"/>
  <c r="D29" s="1"/>
  <c r="B33" s="1"/>
  <c r="G32" i="4"/>
  <c r="S31"/>
  <c r="T31" s="1"/>
  <c r="K31"/>
  <c r="I22" i="3" s="1"/>
  <c r="K22" s="1"/>
  <c r="M22" s="1"/>
  <c r="L22" s="1"/>
  <c r="H23"/>
  <c r="J33" i="4"/>
  <c r="Q23" i="3"/>
  <c r="X34" i="4"/>
  <c r="X33"/>
  <c r="G23" i="3"/>
  <c r="I34" i="4"/>
  <c r="I33"/>
  <c r="S18" i="3"/>
  <c r="N23"/>
  <c r="W34" i="4"/>
  <c r="W33"/>
  <c r="V33" s="1"/>
  <c r="Y29"/>
  <c r="M48"/>
  <c r="O29" i="3"/>
  <c r="F32" s="1"/>
  <c r="N24" l="1"/>
  <c r="N29" s="1"/>
  <c r="F31" s="1"/>
  <c r="W47" i="4"/>
  <c r="Q24" i="3"/>
  <c r="Q29" s="1"/>
  <c r="F34" s="1"/>
  <c r="X35" i="4"/>
  <c r="E23" i="3"/>
  <c r="S32" i="4"/>
  <c r="T32" s="1"/>
  <c r="K32"/>
  <c r="G34"/>
  <c r="G33"/>
  <c r="R20" i="3"/>
  <c r="Z29" i="4"/>
  <c r="S20" i="3" s="1"/>
  <c r="G24"/>
  <c r="I35" i="4"/>
  <c r="I36" s="1"/>
  <c r="H36" s="1"/>
  <c r="H37" s="1"/>
  <c r="U31"/>
  <c r="P22" i="3" s="1"/>
  <c r="Y30" i="4"/>
  <c r="R21" i="3" l="1"/>
  <c r="Z30" i="4"/>
  <c r="S21" i="3" s="1"/>
  <c r="I23"/>
  <c r="K23" s="1"/>
  <c r="M23" s="1"/>
  <c r="L23" s="1"/>
  <c r="K33" i="4"/>
  <c r="S34"/>
  <c r="J34"/>
  <c r="H24" i="3" s="1"/>
  <c r="H29" s="1"/>
  <c r="G29" s="1"/>
  <c r="E24"/>
  <c r="G35" i="4"/>
  <c r="U32"/>
  <c r="T33"/>
  <c r="S33" s="1"/>
  <c r="V35"/>
  <c r="V47" s="1"/>
  <c r="X36"/>
  <c r="X37" s="1"/>
  <c r="X38" s="1"/>
  <c r="X39" s="1"/>
  <c r="X40" s="1"/>
  <c r="X41" s="1"/>
  <c r="X42" s="1"/>
  <c r="X43" s="1"/>
  <c r="X44" s="1"/>
  <c r="X45" s="1"/>
  <c r="E29" i="3"/>
  <c r="B34" s="1"/>
  <c r="B35" s="1"/>
  <c r="Y31" i="4"/>
  <c r="R22" i="3" l="1"/>
  <c r="Z31" i="4"/>
  <c r="S22" i="3" s="1"/>
  <c r="P23"/>
  <c r="U33" i="4"/>
  <c r="J35"/>
  <c r="S35"/>
  <c r="K35"/>
  <c r="G36"/>
  <c r="T34"/>
  <c r="Y32"/>
  <c r="K34"/>
  <c r="R23" i="3" l="1"/>
  <c r="Y33" i="4"/>
  <c r="Z32"/>
  <c r="Y34"/>
  <c r="U34"/>
  <c r="J36"/>
  <c r="K36" s="1"/>
  <c r="S36"/>
  <c r="T36" s="1"/>
  <c r="G37"/>
  <c r="I24" i="3"/>
  <c r="K24" l="1"/>
  <c r="I29"/>
  <c r="J37" i="4"/>
  <c r="I37" s="1"/>
  <c r="S37"/>
  <c r="G38"/>
  <c r="K37"/>
  <c r="R24" i="3"/>
  <c r="R29" s="1"/>
  <c r="Y36" i="4"/>
  <c r="Z36" s="1"/>
  <c r="U36"/>
  <c r="P24" i="3"/>
  <c r="P29" s="1"/>
  <c r="F33" s="1"/>
  <c r="F35" s="1"/>
  <c r="K32" s="1"/>
  <c r="K34" s="1"/>
  <c r="S23"/>
  <c r="Z33" i="4"/>
  <c r="L12" i="1" s="1"/>
  <c r="E34" i="2" s="1"/>
  <c r="G34" s="1"/>
  <c r="AA34" s="1"/>
  <c r="AC34" s="1"/>
  <c r="K34" s="1"/>
  <c r="M34" s="1"/>
  <c r="Z34" i="4"/>
  <c r="S24" i="3" l="1"/>
  <c r="R37" i="4"/>
  <c r="Q37" s="1"/>
  <c r="J38"/>
  <c r="I38" s="1"/>
  <c r="H38" s="1"/>
  <c r="H39" s="1"/>
  <c r="S38"/>
  <c r="R38" s="1"/>
  <c r="Q38" s="1"/>
  <c r="T38" s="1"/>
  <c r="K38"/>
  <c r="G39"/>
  <c r="M24" i="3"/>
  <c r="M29" s="1"/>
  <c r="K29"/>
  <c r="J39" i="4" l="1"/>
  <c r="I39" s="1"/>
  <c r="I40" s="1"/>
  <c r="S39"/>
  <c r="T39" s="1"/>
  <c r="G40"/>
  <c r="U38"/>
  <c r="J40" l="1"/>
  <c r="S40"/>
  <c r="R40" s="1"/>
  <c r="Q40" s="1"/>
  <c r="T40" s="1"/>
  <c r="G41"/>
  <c r="H40"/>
  <c r="H41" s="1"/>
  <c r="H42" s="1"/>
  <c r="H43" s="1"/>
  <c r="H44" s="1"/>
  <c r="H45" s="1"/>
  <c r="I41"/>
  <c r="U39"/>
  <c r="K39"/>
  <c r="J41" l="1"/>
  <c r="K41" s="1"/>
  <c r="S41"/>
  <c r="R41" s="1"/>
  <c r="Q41" s="1"/>
  <c r="T41" s="1"/>
  <c r="G42"/>
  <c r="U40"/>
  <c r="K40"/>
  <c r="J42" l="1"/>
  <c r="I42" s="1"/>
  <c r="I43" s="1"/>
  <c r="S42"/>
  <c r="R42" s="1"/>
  <c r="Q42" s="1"/>
  <c r="T42" s="1"/>
  <c r="G43"/>
  <c r="U41"/>
  <c r="J43" l="1"/>
  <c r="K43" s="1"/>
  <c r="S43"/>
  <c r="R43" s="1"/>
  <c r="Q43" s="1"/>
  <c r="T43" s="1"/>
  <c r="G44"/>
  <c r="U42"/>
  <c r="K42"/>
  <c r="J44" l="1"/>
  <c r="I44" s="1"/>
  <c r="I45" s="1"/>
  <c r="S44"/>
  <c r="R44" s="1"/>
  <c r="Q44" s="1"/>
  <c r="T44" s="1"/>
  <c r="G45"/>
  <c r="U43"/>
  <c r="J45" l="1"/>
  <c r="K45" s="1"/>
  <c r="K47" s="1"/>
  <c r="G47"/>
  <c r="F47" s="1"/>
  <c r="E47" s="1"/>
  <c r="D47" s="1"/>
  <c r="U44"/>
  <c r="K44"/>
  <c r="J47" l="1"/>
  <c r="I47" s="1"/>
  <c r="H47" s="1"/>
  <c r="K48"/>
  <c r="J48" l="1"/>
  <c r="I48" s="1"/>
  <c r="H48" s="1"/>
  <c r="G48" s="1"/>
  <c r="F48" s="1"/>
  <c r="E48" s="1"/>
  <c r="D48" s="1"/>
  <c r="Y44"/>
  <c r="Z44"/>
  <c r="Y43"/>
  <c r="Z43"/>
  <c r="Y42"/>
  <c r="Z42"/>
  <c r="Y41"/>
  <c r="Z41"/>
  <c r="Y40"/>
  <c r="Z40"/>
  <c r="Y39"/>
  <c r="Z39"/>
  <c r="Y38"/>
  <c r="Z38"/>
  <c r="T35"/>
  <c r="U35"/>
  <c r="Y35"/>
  <c r="Z35"/>
  <c r="T37"/>
  <c r="U37"/>
  <c r="Y37"/>
  <c r="Z37"/>
  <c r="S45"/>
  <c r="T45"/>
  <c r="U45"/>
  <c r="Y45"/>
  <c r="Z45"/>
  <c r="Z47"/>
  <c r="L15" i="1"/>
  <c r="Y47" i="4"/>
  <c r="X47"/>
  <c r="U47"/>
  <c r="E35" i="2"/>
  <c r="G35"/>
  <c r="T9" i="4"/>
  <c r="V9"/>
  <c r="T13"/>
  <c r="V13"/>
  <c r="V20"/>
  <c r="U9"/>
  <c r="Y9"/>
  <c r="Z9"/>
  <c r="Y13"/>
  <c r="Z13"/>
  <c r="Z20"/>
  <c r="L9" i="1"/>
  <c r="E33" i="2"/>
  <c r="G33"/>
  <c r="U13" i="4"/>
  <c r="U20"/>
  <c r="Y20"/>
  <c r="T47"/>
  <c r="T48"/>
  <c r="T49"/>
  <c r="U48"/>
  <c r="U49"/>
  <c r="V49"/>
  <c r="Z48"/>
  <c r="L7" i="2"/>
  <c r="L22"/>
  <c r="L21"/>
  <c r="Z24"/>
  <c r="AA24"/>
  <c r="L25"/>
  <c r="L26"/>
  <c r="AA33"/>
  <c r="AC33"/>
  <c r="K33"/>
  <c r="M33"/>
  <c r="AA35"/>
  <c r="AC35"/>
  <c r="K35"/>
  <c r="M35"/>
  <c r="M36"/>
  <c r="L27"/>
  <c r="L28"/>
  <c r="R50" i="4"/>
  <c r="S29" i="3"/>
  <c r="K30"/>
  <c r="S47" i="4"/>
  <c r="R47"/>
  <c r="Q47"/>
  <c r="X20"/>
  <c r="X48"/>
  <c r="W48"/>
  <c r="V48"/>
  <c r="Y48"/>
  <c r="S48"/>
  <c r="R48"/>
  <c r="Q48"/>
  <c r="P48"/>
</calcChain>
</file>

<file path=xl/sharedStrings.xml><?xml version="1.0" encoding="utf-8"?>
<sst xmlns="http://schemas.openxmlformats.org/spreadsheetml/2006/main" count="170" uniqueCount="142">
  <si>
    <t>Form for furnishing particulars of income undr scetion 192(2A) for year ending 31st March 2018 for claiming relief under section 89(1) by a Government servant or an employee in a company, co-operative society, local authority, university, institution, association or body.</t>
  </si>
  <si>
    <t>Status</t>
  </si>
  <si>
    <t xml:space="preserve">Indian Resident </t>
  </si>
  <si>
    <t>Particulars of Income referred to in rule 21A of the Income tax Rules, 1962, during the previous year relevant to assessment year 2018-19</t>
  </si>
  <si>
    <t>1. (a) Salary received in arrears or in advance during 2017-18 in accordance with the provision of sub-rule (2) of rule 21A</t>
  </si>
  <si>
    <t>(b) Payment in the nature of gratuity in respect of past services, extending over a period of not less than 5 years in accordance with the provisions of sub-rule (3) of rule 21A</t>
  </si>
  <si>
    <t>(c) Payment in the nature of compensation from the employer or former employer at or in connection with termination of employment after continuous service of not less than 3 years in accordance with the provisions of sub-rule (4) of rule 21A</t>
  </si>
  <si>
    <t>(d) Payment in commutation of pension in accordance with the provisions of sub-rule (5) of rule 21A</t>
  </si>
  <si>
    <t xml:space="preserve">2. Detailed particulars of payments referred to above may be given in Annexure I, II, IIA, III or IV as the case may be </t>
  </si>
  <si>
    <t xml:space="preserve">Verification </t>
  </si>
  <si>
    <t>Date:</t>
  </si>
  <si>
    <t>Signature of the employee</t>
  </si>
  <si>
    <t>ANNEXURE - I</t>
  </si>
  <si>
    <t xml:space="preserve">1. Total net taxable Income excluding Salary received in Arrears or advance </t>
  </si>
  <si>
    <t>2. salary received in arrears or advance</t>
  </si>
  <si>
    <t>4. Tax on total income (as per item 3)</t>
  </si>
  <si>
    <t>3. Total Income (as increased by salary received in arrears or advance) (Add item 1 and item 2)</t>
  </si>
  <si>
    <t>5. Tax on total income (as per item 1)</t>
  </si>
  <si>
    <t>6. Tax on salary received in arrears or advance (Difference of item 4 and item 5)</t>
  </si>
  <si>
    <t>7. Tax computed in accordance with Table "A" (Brought from column 7 of Table "A")</t>
  </si>
  <si>
    <t>8. Relief under section 89 (1) (Indicate the difference between the amounts mentioned against items 6 and 7)</t>
  </si>
  <si>
    <t>TABLE "A"  (See item 7 of Annexure I)</t>
  </si>
  <si>
    <t>Previous Year(s)</t>
  </si>
  <si>
    <t xml:space="preserve">Total Net Taxable income of the relevant previous year </t>
  </si>
  <si>
    <t>salary received in arrears or advance relating to the relevant previous year as mentioned in col. (1)</t>
  </si>
  <si>
    <t>Total income (as increased by salry received in arrears or advance) or the relevant previous year mentioned in col. (1) (Add col. 2 and 3)</t>
  </si>
  <si>
    <t>Tax on total income (as per col. 2)</t>
  </si>
  <si>
    <t>Tax on total income (as per col. 4)</t>
  </si>
  <si>
    <t>Difference in tax (Amount under col. 6 minus amount under col. 5)</t>
  </si>
  <si>
    <t>2014-15</t>
  </si>
  <si>
    <t>2015-16</t>
  </si>
  <si>
    <t>2016-17</t>
  </si>
  <si>
    <t>TOTAL</t>
  </si>
  <si>
    <t>Name :</t>
  </si>
  <si>
    <t>Address :</t>
  </si>
  <si>
    <t>PAN :</t>
  </si>
  <si>
    <t>CALCULATION OF RELIEF UNDER SECTION 89 (1)</t>
  </si>
  <si>
    <t>INCOME ( Rs )</t>
  </si>
  <si>
    <t>FINANCIAL YEAR- 2014-15</t>
  </si>
  <si>
    <t>FINANCIAL YEAR- 2015-16</t>
  </si>
  <si>
    <t>FINANCIAL YEAR- 2016-17</t>
  </si>
  <si>
    <t xml:space="preserve">Enter net taxable income for 2017-18 including entire arrears received (as per ITR/Form-16) </t>
  </si>
  <si>
    <t>FINANCIAL YEAR- 2017-18</t>
  </si>
  <si>
    <t xml:space="preserve">Not applicable </t>
  </si>
  <si>
    <t>Annexure- I</t>
  </si>
  <si>
    <r>
      <t xml:space="preserve">FORM NO. 10 E </t>
    </r>
    <r>
      <rPr>
        <b/>
        <i/>
        <sz val="12"/>
        <color theme="1"/>
        <rFont val="Calibri"/>
        <family val="2"/>
        <scheme val="minor"/>
      </rPr>
      <t>(See rule 21AA)</t>
    </r>
  </si>
  <si>
    <t xml:space="preserve">I  </t>
  </si>
  <si>
    <t xml:space="preserve">do hereby declare that what is stated above is true to the best of my </t>
  </si>
  <si>
    <t>knowledge and belief.</t>
  </si>
  <si>
    <t>Verified today, the</t>
  </si>
  <si>
    <t xml:space="preserve">Place: </t>
  </si>
  <si>
    <t>ARREARS OR ADVANCE SALARY</t>
  </si>
  <si>
    <t>SI No. :-</t>
  </si>
  <si>
    <t>Ø-l-</t>
  </si>
  <si>
    <t>D.A.</t>
  </si>
  <si>
    <t>C.C.A.</t>
  </si>
  <si>
    <t>Handi. All.</t>
  </si>
  <si>
    <t>Total Gross Pay</t>
  </si>
  <si>
    <t>tks osru feyuk gSa</t>
  </si>
  <si>
    <t>fnuksa dh la[;k ¼ekg esa osru cukus ;ksX; fnuksa dh la[;k½</t>
  </si>
  <si>
    <t>H.R.A.          %</t>
  </si>
  <si>
    <t>Total 2016-17</t>
  </si>
  <si>
    <t>other</t>
  </si>
  <si>
    <t>Total Ded.</t>
  </si>
  <si>
    <t xml:space="preserve">Grand Total </t>
  </si>
  <si>
    <t xml:space="preserve">Enter net taxable income for 2015-16 (as per ITR/Form-16) </t>
  </si>
  <si>
    <t>Enter arrears relates to 2015-16</t>
  </si>
  <si>
    <t xml:space="preserve">Enter net taxable income for 2016-17 (as per ITR/Form-16) </t>
  </si>
  <si>
    <t>Office Name :-</t>
  </si>
  <si>
    <t>Employee Name :-</t>
  </si>
  <si>
    <t>PAN Card No. :-</t>
  </si>
  <si>
    <t>PRAN No. :-</t>
  </si>
  <si>
    <t>Posting Place :-</t>
  </si>
  <si>
    <t>Designation :-</t>
  </si>
  <si>
    <t>Deducation</t>
  </si>
  <si>
    <t>Basic With Grade Pay</t>
  </si>
  <si>
    <t>Month Name</t>
  </si>
  <si>
    <t>Other All.</t>
  </si>
  <si>
    <t>motiram</t>
  </si>
  <si>
    <t>ABxxxxx5</t>
  </si>
  <si>
    <t>67xxxxxxxx54xx1</t>
  </si>
  <si>
    <t>Teacher</t>
  </si>
  <si>
    <t>G.U.P.S. Potaliya</t>
  </si>
  <si>
    <t>15xxx12</t>
  </si>
  <si>
    <t>State Fund - 1</t>
  </si>
  <si>
    <t>Total</t>
  </si>
  <si>
    <t>Month / Year</t>
  </si>
  <si>
    <t>Salary Difference</t>
  </si>
  <si>
    <t>NPS Ded.</t>
  </si>
  <si>
    <t>INCOME TAX     (TDS)</t>
  </si>
  <si>
    <t>TOTAL DED.</t>
  </si>
  <si>
    <t>Bill No &amp; Date</t>
  </si>
  <si>
    <t>Enc.Date</t>
  </si>
  <si>
    <t>SI      Ded.</t>
  </si>
  <si>
    <t>Other Ded.</t>
  </si>
  <si>
    <t xml:space="preserve"> Pay , salary has been Received      (Fix Pay)</t>
  </si>
  <si>
    <t xml:space="preserve"> Pay is to be receive</t>
  </si>
  <si>
    <t>Diff. Salary</t>
  </si>
  <si>
    <t>Amount in Words :</t>
  </si>
  <si>
    <t>S.R.</t>
  </si>
  <si>
    <t>Date :</t>
  </si>
  <si>
    <t>For Copying And Necessary Action</t>
  </si>
  <si>
    <t>( NAHAR SINGH RATHORE )</t>
  </si>
  <si>
    <t>Treasury Officer / Deputy treasury  Officer</t>
  </si>
  <si>
    <t>Seal and Signature</t>
  </si>
  <si>
    <t>Related Employee Sh./Smt./Mis.</t>
  </si>
  <si>
    <t>Block Elementry Education , Panchayat Samiti- Sojat City (pali)</t>
  </si>
  <si>
    <t>File Register</t>
  </si>
  <si>
    <t>Office Order</t>
  </si>
  <si>
    <t>Employee Name :</t>
  </si>
  <si>
    <t>Post :</t>
  </si>
  <si>
    <t>Posting Place :</t>
  </si>
  <si>
    <t>PAY</t>
  </si>
  <si>
    <t>DA</t>
  </si>
  <si>
    <t>HRA</t>
  </si>
  <si>
    <t>SI</t>
  </si>
  <si>
    <t>NPS</t>
  </si>
  <si>
    <t>I-TAX</t>
  </si>
  <si>
    <t>T.DEC</t>
  </si>
  <si>
    <t>OTHER</t>
  </si>
  <si>
    <t>INCOME</t>
  </si>
  <si>
    <t>DED.</t>
  </si>
  <si>
    <t>salary to be receive</t>
  </si>
  <si>
    <t>salary has been receive</t>
  </si>
  <si>
    <t>Arrear Amount</t>
  </si>
  <si>
    <t>ije~ iwT; xq:nso oklqnso th egkjkt dks ueu</t>
  </si>
  <si>
    <t>Enter arrears relates to 2016-17</t>
  </si>
  <si>
    <t>Basic</t>
  </si>
  <si>
    <t>TDS Ded.</t>
  </si>
  <si>
    <t>Pay Difference</t>
  </si>
  <si>
    <t xml:space="preserve">  Arrear Amount</t>
  </si>
  <si>
    <t>Arrear Amount in Words :-</t>
  </si>
  <si>
    <t xml:space="preserve">NET ARREAR PAY </t>
  </si>
  <si>
    <t>Total  2014-15</t>
  </si>
  <si>
    <t>Total 2015-16</t>
  </si>
  <si>
    <t xml:space="preserve">Enter net taxable income for 2014-15 (as per ITR/Form-16) </t>
  </si>
  <si>
    <t>Enter arrears relates to 2014-15</t>
  </si>
  <si>
    <t>Sallary has been Receive                                            (FIX PAY)</t>
  </si>
  <si>
    <t>probation period comlete Date :-</t>
  </si>
  <si>
    <t>Fix Pay:-</t>
  </si>
  <si>
    <t>Fund :-</t>
  </si>
  <si>
    <t>Bonus</t>
  </si>
</sst>
</file>

<file path=xl/styles.xml><?xml version="1.0" encoding="utf-8"?>
<styleSheet xmlns="http://schemas.openxmlformats.org/spreadsheetml/2006/main">
  <numFmts count="2">
    <numFmt numFmtId="43" formatCode="_(* #,##0.00_);_(* \(#,##0.00\);_(* &quot;-&quot;??_);_(@_)"/>
    <numFmt numFmtId="164" formatCode="_(* #,##0_);_(* \(#,##0\);_(* &quot;-&quot;??_);_(@_)"/>
  </numFmts>
  <fonts count="72">
    <font>
      <sz val="11"/>
      <color theme="1"/>
      <name val="Calibri"/>
      <family val="2"/>
      <scheme val="minor"/>
    </font>
    <font>
      <sz val="10"/>
      <color theme="1"/>
      <name val="Calibri"/>
      <family val="2"/>
      <scheme val="minor"/>
    </font>
    <font>
      <i/>
      <sz val="11"/>
      <color theme="1"/>
      <name val="Calibri"/>
      <family val="2"/>
      <scheme val="minor"/>
    </font>
    <font>
      <b/>
      <sz val="11"/>
      <color theme="1"/>
      <name val="Calibri"/>
      <family val="2"/>
      <scheme val="minor"/>
    </font>
    <font>
      <sz val="9"/>
      <color theme="1"/>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14"/>
      <color rgb="FFFF0000"/>
      <name val="Calibri"/>
      <family val="2"/>
      <scheme val="minor"/>
    </font>
    <font>
      <b/>
      <i/>
      <sz val="12"/>
      <color theme="1"/>
      <name val="Calibri"/>
      <family val="2"/>
      <scheme val="minor"/>
    </font>
    <font>
      <sz val="11"/>
      <color theme="1"/>
      <name val="Calibri"/>
      <family val="2"/>
      <scheme val="minor"/>
    </font>
    <font>
      <sz val="8"/>
      <name val="Kruti Dev 010"/>
    </font>
    <font>
      <sz val="11"/>
      <name val="Kruti Dev 010"/>
    </font>
    <font>
      <sz val="7"/>
      <name val="Arial"/>
      <family val="2"/>
    </font>
    <font>
      <sz val="10"/>
      <name val="Arial"/>
      <family val="2"/>
    </font>
    <font>
      <sz val="17"/>
      <name val="Kruti Dev 010"/>
    </font>
    <font>
      <sz val="17"/>
      <color indexed="18"/>
      <name val="Kruti Dev 010"/>
    </font>
    <font>
      <b/>
      <sz val="12"/>
      <name val="Calibri"/>
      <family val="2"/>
      <scheme val="minor"/>
    </font>
    <font>
      <sz val="10"/>
      <name val="Calibri"/>
      <family val="2"/>
      <scheme val="minor"/>
    </font>
    <font>
      <b/>
      <sz val="12"/>
      <color theme="3" tint="0.59999389629810485"/>
      <name val="Kruti Dev 010"/>
    </font>
    <font>
      <b/>
      <sz val="12"/>
      <color rgb="FFFF0000"/>
      <name val="Calibri"/>
      <family val="2"/>
      <scheme val="minor"/>
    </font>
    <font>
      <b/>
      <sz val="12"/>
      <color rgb="FFFFFF00"/>
      <name val="Calibri"/>
      <family val="2"/>
      <scheme val="minor"/>
    </font>
    <font>
      <b/>
      <sz val="12"/>
      <color theme="3" tint="0.59999389629810485"/>
      <name val="Calibri"/>
      <family val="2"/>
      <scheme val="minor"/>
    </font>
    <font>
      <b/>
      <sz val="14"/>
      <color rgb="FFFFFF00"/>
      <name val="Calibri"/>
      <family val="2"/>
      <scheme val="minor"/>
    </font>
    <font>
      <b/>
      <sz val="12"/>
      <color indexed="12"/>
      <name val="Calibri"/>
      <family val="2"/>
      <scheme val="minor"/>
    </font>
    <font>
      <b/>
      <sz val="12"/>
      <color indexed="18"/>
      <name val="Calibri"/>
      <family val="2"/>
      <scheme val="minor"/>
    </font>
    <font>
      <b/>
      <sz val="12"/>
      <color indexed="10"/>
      <name val="Calibri"/>
      <family val="2"/>
      <scheme val="minor"/>
    </font>
    <font>
      <b/>
      <sz val="14"/>
      <color theme="3" tint="0.59999389629810485"/>
      <name val="Calibri"/>
      <family val="2"/>
      <scheme val="minor"/>
    </font>
    <font>
      <b/>
      <sz val="14"/>
      <color theme="9" tint="0.39997558519241921"/>
      <name val="Calibri"/>
      <family val="2"/>
      <scheme val="minor"/>
    </font>
    <font>
      <b/>
      <sz val="12"/>
      <color theme="7" tint="0.59999389629810485"/>
      <name val="Calibri"/>
      <family val="2"/>
      <scheme val="minor"/>
    </font>
    <font>
      <b/>
      <sz val="12"/>
      <color theme="3" tint="-0.499984740745262"/>
      <name val="Calibri"/>
      <family val="2"/>
      <scheme val="minor"/>
    </font>
    <font>
      <b/>
      <sz val="14"/>
      <color rgb="FFC00000"/>
      <name val="Calibri"/>
      <family val="2"/>
      <scheme val="minor"/>
    </font>
    <font>
      <b/>
      <sz val="12"/>
      <color theme="5" tint="0.79998168889431442"/>
      <name val="Calibri"/>
      <family val="2"/>
      <scheme val="minor"/>
    </font>
    <font>
      <b/>
      <sz val="12"/>
      <color rgb="FFCC00FF"/>
      <name val="Calibri"/>
      <family val="2"/>
      <scheme val="minor"/>
    </font>
    <font>
      <b/>
      <sz val="14"/>
      <color rgb="FFCC00FF"/>
      <name val="Calibri"/>
      <family val="2"/>
      <scheme val="minor"/>
    </font>
    <font>
      <b/>
      <i/>
      <sz val="14"/>
      <color theme="3" tint="0.59999389629810485"/>
      <name val="Calibri"/>
      <family val="2"/>
      <scheme val="minor"/>
    </font>
    <font>
      <b/>
      <i/>
      <sz val="13"/>
      <color theme="3" tint="0.59999389629810485"/>
      <name val="Calibri"/>
      <family val="2"/>
      <scheme val="minor"/>
    </font>
    <font>
      <b/>
      <sz val="14"/>
      <name val="Calibri"/>
      <family val="2"/>
      <scheme val="minor"/>
    </font>
    <font>
      <b/>
      <sz val="14"/>
      <color indexed="18"/>
      <name val="Calibri"/>
      <family val="2"/>
      <scheme val="minor"/>
    </font>
    <font>
      <b/>
      <sz val="10"/>
      <name val="Arial"/>
      <family val="2"/>
    </font>
    <font>
      <b/>
      <sz val="11"/>
      <name val="Calibri"/>
      <family val="2"/>
      <scheme val="minor"/>
    </font>
    <font>
      <sz val="9"/>
      <name val="Calibri"/>
      <family val="2"/>
      <scheme val="minor"/>
    </font>
    <font>
      <b/>
      <sz val="10"/>
      <name val="Calibri"/>
      <family val="2"/>
      <scheme val="minor"/>
    </font>
    <font>
      <b/>
      <sz val="13"/>
      <color theme="1"/>
      <name val="Calibri"/>
      <family val="2"/>
      <scheme val="minor"/>
    </font>
    <font>
      <sz val="14"/>
      <color theme="1"/>
      <name val="DevLys 010"/>
    </font>
    <font>
      <sz val="14"/>
      <color theme="1"/>
      <name val="Kruti Dev 010"/>
    </font>
    <font>
      <sz val="12"/>
      <color theme="1"/>
      <name val="Calibri"/>
      <family val="2"/>
      <scheme val="minor"/>
    </font>
    <font>
      <sz val="13"/>
      <color theme="1"/>
      <name val="Calibri"/>
      <family val="2"/>
      <scheme val="minor"/>
    </font>
    <font>
      <sz val="12"/>
      <color theme="1"/>
      <name val="DevLys 010"/>
    </font>
    <font>
      <b/>
      <sz val="16"/>
      <color theme="1"/>
      <name val="Calibri"/>
      <family val="2"/>
      <scheme val="minor"/>
    </font>
    <font>
      <i/>
      <u/>
      <sz val="14"/>
      <color theme="1"/>
      <name val="Calibri"/>
      <family val="2"/>
      <scheme val="minor"/>
    </font>
    <font>
      <sz val="12"/>
      <name val="Arial"/>
      <family val="2"/>
    </font>
    <font>
      <b/>
      <sz val="12"/>
      <name val="Arial"/>
      <family val="2"/>
    </font>
    <font>
      <sz val="11"/>
      <name val="Calibri"/>
      <family val="2"/>
      <scheme val="minor"/>
    </font>
    <font>
      <sz val="12"/>
      <name val="Calibri"/>
      <family val="2"/>
      <scheme val="minor"/>
    </font>
    <font>
      <b/>
      <sz val="14"/>
      <color theme="1"/>
      <name val="Kruti Dev 010"/>
    </font>
    <font>
      <b/>
      <sz val="14"/>
      <color rgb="FF92D050"/>
      <name val="Calibri"/>
      <family val="2"/>
      <scheme val="minor"/>
    </font>
    <font>
      <b/>
      <sz val="14"/>
      <color rgb="FF7030A0"/>
      <name val="Calibri"/>
      <family val="2"/>
      <scheme val="minor"/>
    </font>
    <font>
      <b/>
      <sz val="12"/>
      <color rgb="FF7030A0"/>
      <name val="Calibri"/>
      <family val="2"/>
      <scheme val="minor"/>
    </font>
    <font>
      <sz val="16"/>
      <color rgb="FFFF0000"/>
      <name val="Kruti Dev 010"/>
    </font>
    <font>
      <b/>
      <sz val="12"/>
      <color theme="9" tint="-0.499984740745262"/>
      <name val="Calibri"/>
      <family val="2"/>
      <scheme val="minor"/>
    </font>
    <font>
      <sz val="11"/>
      <color theme="7" tint="-0.499984740745262"/>
      <name val="Kruti Dev 010"/>
    </font>
    <font>
      <sz val="11"/>
      <color theme="7" tint="-0.499984740745262"/>
      <name val="Calibri"/>
      <family val="2"/>
      <scheme val="minor"/>
    </font>
    <font>
      <b/>
      <sz val="14"/>
      <color theme="7" tint="-0.499984740745262"/>
      <name val="Calibri"/>
      <family val="2"/>
      <scheme val="minor"/>
    </font>
    <font>
      <sz val="11"/>
      <color rgb="FFCC00FF"/>
      <name val="Kruti Dev 010"/>
    </font>
    <font>
      <sz val="11"/>
      <color rgb="FFCC00FF"/>
      <name val="Calibri"/>
      <family val="2"/>
      <scheme val="minor"/>
    </font>
    <font>
      <b/>
      <sz val="14"/>
      <color indexed="10"/>
      <name val="Calibri"/>
      <family val="2"/>
      <scheme val="minor"/>
    </font>
    <font>
      <b/>
      <sz val="14"/>
      <color theme="5" tint="0.59999389629810485"/>
      <name val="Calibri"/>
      <family val="2"/>
      <scheme val="minor"/>
    </font>
    <font>
      <b/>
      <sz val="14"/>
      <color rgb="FF00B050"/>
      <name val="Calibri"/>
      <family val="2"/>
      <scheme val="minor"/>
    </font>
    <font>
      <b/>
      <sz val="12"/>
      <color rgb="FF00B050"/>
      <name val="Calibri"/>
      <family val="2"/>
      <scheme val="minor"/>
    </font>
    <font>
      <b/>
      <sz val="12"/>
      <color rgb="FF00B0F0"/>
      <name val="Calibri"/>
      <family val="2"/>
      <scheme val="minor"/>
    </font>
  </fonts>
  <fills count="14">
    <fill>
      <patternFill patternType="none"/>
    </fill>
    <fill>
      <patternFill patternType="gray125"/>
    </fill>
    <fill>
      <patternFill patternType="solid">
        <fgColor theme="7" tint="0.39997558519241921"/>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theme="7" tint="-0.499984740745262"/>
        <bgColor indexed="64"/>
      </patternFill>
    </fill>
    <fill>
      <patternFill patternType="solid">
        <fgColor theme="6" tint="-0.499984740745262"/>
        <bgColor indexed="64"/>
      </patternFill>
    </fill>
    <fill>
      <patternFill patternType="solid">
        <fgColor rgb="FF00B050"/>
        <bgColor indexed="64"/>
      </patternFill>
    </fill>
    <fill>
      <patternFill patternType="solid">
        <fgColor rgb="FF00B0F0"/>
        <bgColor indexed="64"/>
      </patternFill>
    </fill>
    <fill>
      <patternFill patternType="solid">
        <fgColor theme="3" tint="0.59999389629810485"/>
        <bgColor indexed="64"/>
      </patternFill>
    </fill>
    <fill>
      <patternFill patternType="solid">
        <fgColor rgb="FF92D050"/>
        <bgColor indexed="64"/>
      </patternFill>
    </fill>
    <fill>
      <patternFill patternType="solid">
        <fgColor rgb="FF002060"/>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43" fontId="11" fillId="0" borderId="0" applyFont="0" applyFill="0" applyBorder="0" applyAlignment="0" applyProtection="0"/>
  </cellStyleXfs>
  <cellXfs count="268">
    <xf numFmtId="0" fontId="0" fillId="0" borderId="0" xfId="0"/>
    <xf numFmtId="0" fontId="0" fillId="0" borderId="0" xfId="0" applyAlignment="1">
      <alignment vertical="center" wrapText="1"/>
    </xf>
    <xf numFmtId="0" fontId="0" fillId="0" borderId="0" xfId="0" applyFont="1" applyAlignment="1">
      <alignment horizontal="right" vertical="top"/>
    </xf>
    <xf numFmtId="0" fontId="3" fillId="0" borderId="0" xfId="0" applyFont="1" applyBorder="1" applyAlignment="1">
      <alignment horizontal="center" vertical="center"/>
    </xf>
    <xf numFmtId="0" fontId="42" fillId="6" borderId="1" xfId="0" applyFont="1" applyFill="1" applyBorder="1" applyAlignment="1" applyProtection="1">
      <alignment horizontal="center" vertical="center"/>
      <protection hidden="1"/>
    </xf>
    <xf numFmtId="0" fontId="43" fillId="0" borderId="11" xfId="0" applyFont="1" applyBorder="1" applyAlignment="1" applyProtection="1">
      <alignment horizontal="center" vertical="center" wrapText="1"/>
      <protection hidden="1"/>
    </xf>
    <xf numFmtId="0" fontId="43" fillId="0" borderId="1" xfId="0" applyFont="1" applyBorder="1" applyAlignment="1" applyProtection="1">
      <alignment horizontal="center" vertical="center"/>
      <protection hidden="1"/>
    </xf>
    <xf numFmtId="37" fontId="42" fillId="6" borderId="1" xfId="0" applyNumberFormat="1" applyFont="1" applyFill="1" applyBorder="1" applyAlignment="1" applyProtection="1">
      <alignment horizontal="center" vertical="center"/>
      <protection hidden="1"/>
    </xf>
    <xf numFmtId="0" fontId="45" fillId="0" borderId="0" xfId="0" applyFont="1" applyProtection="1">
      <protection hidden="1"/>
    </xf>
    <xf numFmtId="0" fontId="8" fillId="0" borderId="0" xfId="0" applyFont="1" applyProtection="1">
      <protection hidden="1"/>
    </xf>
    <xf numFmtId="0" fontId="46" fillId="0" borderId="0" xfId="0" applyFont="1" applyProtection="1">
      <protection hidden="1"/>
    </xf>
    <xf numFmtId="0" fontId="0" fillId="0" borderId="0" xfId="0" applyProtection="1">
      <protection hidden="1"/>
    </xf>
    <xf numFmtId="0" fontId="46" fillId="0" borderId="0" xfId="0" applyFont="1" applyAlignment="1" applyProtection="1">
      <alignment vertical="center" wrapText="1"/>
      <protection hidden="1"/>
    </xf>
    <xf numFmtId="0" fontId="45" fillId="0" borderId="0" xfId="0" applyFont="1" applyAlignment="1" applyProtection="1">
      <alignment horizontal="left" vertical="top"/>
      <protection hidden="1"/>
    </xf>
    <xf numFmtId="0" fontId="49" fillId="0" borderId="0" xfId="0" applyFont="1" applyProtection="1">
      <protection hidden="1"/>
    </xf>
    <xf numFmtId="0" fontId="45" fillId="0" borderId="0" xfId="0" applyFont="1" applyAlignment="1" applyProtection="1">
      <protection hidden="1"/>
    </xf>
    <xf numFmtId="0" fontId="6" fillId="0" borderId="0" xfId="0" applyFont="1" applyAlignment="1" applyProtection="1">
      <protection hidden="1"/>
    </xf>
    <xf numFmtId="0" fontId="8" fillId="0" borderId="0" xfId="0" applyFont="1" applyAlignment="1" applyProtection="1">
      <alignment horizontal="right" vertical="center"/>
      <protection hidden="1"/>
    </xf>
    <xf numFmtId="0" fontId="8" fillId="0" borderId="0" xfId="0" applyFont="1" applyAlignment="1" applyProtection="1">
      <alignment horizontal="right"/>
      <protection hidden="1"/>
    </xf>
    <xf numFmtId="0" fontId="47" fillId="0" borderId="0" xfId="0" applyFont="1" applyAlignment="1" applyProtection="1">
      <alignment horizontal="right" vertical="center"/>
      <protection hidden="1"/>
    </xf>
    <xf numFmtId="0" fontId="0" fillId="6" borderId="0" xfId="0" applyFill="1" applyAlignment="1" applyProtection="1">
      <alignment horizontal="center" vertical="center"/>
      <protection hidden="1"/>
    </xf>
    <xf numFmtId="0" fontId="48" fillId="0" borderId="0" xfId="0" applyFont="1" applyAlignment="1" applyProtection="1">
      <alignment horizontal="center" vertical="center"/>
      <protection hidden="1"/>
    </xf>
    <xf numFmtId="0" fontId="7" fillId="0" borderId="0" xfId="0" applyFont="1" applyAlignment="1" applyProtection="1">
      <alignment vertical="center"/>
      <protection hidden="1"/>
    </xf>
    <xf numFmtId="0" fontId="43" fillId="0" borderId="1" xfId="0" applyNumberFormat="1" applyFont="1" applyBorder="1" applyAlignment="1" applyProtection="1">
      <alignment horizontal="center" vertical="center" wrapText="1"/>
      <protection hidden="1"/>
    </xf>
    <xf numFmtId="49" fontId="0" fillId="0" borderId="0" xfId="0" applyNumberFormat="1" applyAlignment="1" applyProtection="1">
      <alignment horizontal="center" vertical="center" wrapText="1"/>
      <protection hidden="1"/>
    </xf>
    <xf numFmtId="17" fontId="19" fillId="0" borderId="11" xfId="0" applyNumberFormat="1" applyFont="1" applyBorder="1" applyAlignment="1" applyProtection="1">
      <alignment horizontal="right"/>
      <protection hidden="1"/>
    </xf>
    <xf numFmtId="0" fontId="19" fillId="0" borderId="1" xfId="0" applyNumberFormat="1" applyFont="1" applyBorder="1" applyAlignment="1" applyProtection="1">
      <alignment horizontal="center" vertical="center"/>
      <protection hidden="1"/>
    </xf>
    <xf numFmtId="0" fontId="41" fillId="0" borderId="1" xfId="0" applyNumberFormat="1" applyFont="1" applyBorder="1" applyAlignment="1" applyProtection="1">
      <alignment horizontal="center" vertical="center"/>
      <protection hidden="1"/>
    </xf>
    <xf numFmtId="1" fontId="42" fillId="0" borderId="1" xfId="0" applyNumberFormat="1" applyFont="1" applyBorder="1" applyAlignment="1" applyProtection="1">
      <alignment horizontal="center" vertical="center"/>
      <protection hidden="1"/>
    </xf>
    <xf numFmtId="17" fontId="43" fillId="0" borderId="1" xfId="0" applyNumberFormat="1"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52" fillId="0" borderId="0" xfId="0" applyFont="1" applyFill="1" applyBorder="1" applyAlignment="1" applyProtection="1">
      <protection hidden="1"/>
    </xf>
    <xf numFmtId="0" fontId="15" fillId="0" borderId="0" xfId="0" applyFont="1" applyBorder="1" applyProtection="1">
      <protection hidden="1"/>
    </xf>
    <xf numFmtId="0" fontId="52" fillId="0" borderId="0" xfId="0" applyFont="1" applyFill="1" applyBorder="1" applyProtection="1">
      <protection hidden="1"/>
    </xf>
    <xf numFmtId="0" fontId="40" fillId="0" borderId="0" xfId="0" applyFont="1" applyFill="1" applyBorder="1" applyProtection="1">
      <protection hidden="1"/>
    </xf>
    <xf numFmtId="0" fontId="40" fillId="0" borderId="0" xfId="0" applyFont="1" applyFill="1" applyBorder="1" applyAlignment="1" applyProtection="1">
      <protection hidden="1"/>
    </xf>
    <xf numFmtId="0" fontId="53" fillId="0" borderId="0" xfId="0" applyFont="1" applyBorder="1" applyProtection="1">
      <protection hidden="1"/>
    </xf>
    <xf numFmtId="0" fontId="48" fillId="0" borderId="0" xfId="0" applyFont="1" applyAlignment="1" applyProtection="1">
      <protection hidden="1"/>
    </xf>
    <xf numFmtId="0" fontId="8" fillId="0" borderId="0" xfId="0" applyFont="1" applyAlignment="1" applyProtection="1">
      <alignment vertical="center" wrapText="1"/>
      <protection hidden="1"/>
    </xf>
    <xf numFmtId="0" fontId="42" fillId="5" borderId="1" xfId="0" applyFont="1" applyFill="1" applyBorder="1" applyAlignment="1" applyProtection="1">
      <alignment horizontal="center" vertical="center"/>
      <protection locked="0"/>
    </xf>
    <xf numFmtId="0" fontId="55" fillId="0" borderId="1" xfId="0" applyFont="1" applyBorder="1" applyProtection="1">
      <protection hidden="1"/>
    </xf>
    <xf numFmtId="0" fontId="55" fillId="0" borderId="1" xfId="0" applyFont="1" applyBorder="1" applyAlignment="1" applyProtection="1">
      <protection hidden="1"/>
    </xf>
    <xf numFmtId="0" fontId="18" fillId="0" borderId="1" xfId="0" applyFont="1" applyFill="1" applyBorder="1" applyAlignment="1" applyProtection="1">
      <protection hidden="1"/>
    </xf>
    <xf numFmtId="0" fontId="18" fillId="0" borderId="1" xfId="0" applyFont="1" applyFill="1" applyBorder="1" applyProtection="1">
      <protection hidden="1"/>
    </xf>
    <xf numFmtId="0" fontId="0" fillId="2" borderId="0" xfId="0" applyFill="1" applyProtection="1">
      <protection hidden="1"/>
    </xf>
    <xf numFmtId="0" fontId="8" fillId="2" borderId="0" xfId="0" applyFont="1" applyFill="1" applyProtection="1">
      <protection hidden="1"/>
    </xf>
    <xf numFmtId="0" fontId="13" fillId="7" borderId="4" xfId="0" applyFont="1" applyFill="1" applyBorder="1" applyAlignment="1" applyProtection="1">
      <alignment vertical="center" wrapText="1"/>
      <protection hidden="1"/>
    </xf>
    <xf numFmtId="0" fontId="0" fillId="7" borderId="0" xfId="0" applyFill="1" applyProtection="1">
      <protection hidden="1"/>
    </xf>
    <xf numFmtId="0" fontId="38" fillId="7" borderId="0" xfId="0" applyFont="1" applyFill="1" applyBorder="1" applyAlignment="1" applyProtection="1">
      <alignment horizontal="left" vertical="center" wrapText="1"/>
      <protection hidden="1"/>
    </xf>
    <xf numFmtId="0" fontId="22" fillId="7" borderId="1" xfId="0" applyFont="1" applyFill="1" applyBorder="1" applyAlignment="1" applyProtection="1">
      <alignment horizontal="center" vertical="center" wrapText="1"/>
      <protection hidden="1"/>
    </xf>
    <xf numFmtId="17" fontId="22" fillId="7" borderId="1" xfId="0" applyNumberFormat="1" applyFont="1" applyFill="1" applyBorder="1" applyAlignment="1" applyProtection="1">
      <alignment horizontal="center" vertical="center" wrapText="1"/>
      <protection hidden="1"/>
    </xf>
    <xf numFmtId="164" fontId="33" fillId="7" borderId="1" xfId="1" applyNumberFormat="1" applyFont="1" applyFill="1" applyBorder="1" applyAlignment="1" applyProtection="1">
      <alignment vertical="center" wrapText="1"/>
      <protection hidden="1"/>
    </xf>
    <xf numFmtId="1" fontId="22" fillId="7" borderId="1" xfId="1" applyNumberFormat="1" applyFont="1" applyFill="1" applyBorder="1" applyAlignment="1" applyProtection="1">
      <alignment horizontal="center" vertical="center" wrapText="1"/>
      <protection hidden="1"/>
    </xf>
    <xf numFmtId="164" fontId="30" fillId="7" borderId="1" xfId="1" applyNumberFormat="1" applyFont="1" applyFill="1" applyBorder="1" applyAlignment="1" applyProtection="1">
      <alignment vertical="center" wrapText="1"/>
      <protection hidden="1"/>
    </xf>
    <xf numFmtId="164" fontId="27" fillId="7" borderId="1" xfId="1" applyNumberFormat="1" applyFont="1" applyFill="1" applyBorder="1" applyAlignment="1" applyProtection="1">
      <alignment vertical="center" wrapText="1"/>
      <protection hidden="1"/>
    </xf>
    <xf numFmtId="1" fontId="9" fillId="7" borderId="1" xfId="1" applyNumberFormat="1" applyFont="1" applyFill="1" applyBorder="1" applyAlignment="1" applyProtection="1">
      <alignment horizontal="center" vertical="center" wrapText="1"/>
      <protection hidden="1"/>
    </xf>
    <xf numFmtId="164" fontId="29" fillId="8" borderId="1" xfId="1" applyNumberFormat="1" applyFont="1" applyFill="1" applyBorder="1" applyAlignment="1" applyProtection="1">
      <alignment vertical="center" wrapText="1"/>
      <protection hidden="1"/>
    </xf>
    <xf numFmtId="1" fontId="32" fillId="7" borderId="1" xfId="0" applyNumberFormat="1" applyFont="1" applyFill="1" applyBorder="1" applyAlignment="1" applyProtection="1">
      <alignment horizontal="center" vertical="center"/>
      <protection hidden="1"/>
    </xf>
    <xf numFmtId="17" fontId="34" fillId="7" borderId="1" xfId="0" applyNumberFormat="1" applyFont="1" applyFill="1" applyBorder="1" applyAlignment="1" applyProtection="1">
      <alignment horizontal="center" vertical="center" wrapText="1"/>
      <protection hidden="1"/>
    </xf>
    <xf numFmtId="164" fontId="35" fillId="7" borderId="1" xfId="1" applyNumberFormat="1" applyFont="1" applyFill="1" applyBorder="1" applyAlignment="1" applyProtection="1">
      <alignment vertical="center" wrapText="1"/>
      <protection hidden="1"/>
    </xf>
    <xf numFmtId="0" fontId="14" fillId="7" borderId="0" xfId="0" applyFont="1" applyFill="1" applyAlignment="1" applyProtection="1">
      <alignment horizontal="center" vertical="center" wrapText="1"/>
      <protection hidden="1"/>
    </xf>
    <xf numFmtId="0" fontId="15" fillId="7" borderId="0" xfId="0" applyFont="1" applyFill="1" applyAlignment="1" applyProtection="1">
      <alignment horizontal="center" vertical="center" wrapText="1"/>
      <protection hidden="1"/>
    </xf>
    <xf numFmtId="0" fontId="16" fillId="7" borderId="0" xfId="0" applyFont="1" applyFill="1" applyAlignment="1" applyProtection="1">
      <alignment horizontal="center" vertical="center" wrapText="1"/>
      <protection hidden="1"/>
    </xf>
    <xf numFmtId="0" fontId="16" fillId="7" borderId="0" xfId="0" applyFont="1" applyFill="1" applyAlignment="1" applyProtection="1">
      <alignment horizontal="left" vertical="center" wrapText="1"/>
      <protection hidden="1"/>
    </xf>
    <xf numFmtId="0" fontId="17" fillId="7" borderId="0" xfId="0" applyFont="1" applyFill="1" applyAlignment="1" applyProtection="1">
      <alignment vertical="center" wrapText="1"/>
      <protection hidden="1"/>
    </xf>
    <xf numFmtId="0" fontId="16" fillId="7" borderId="0" xfId="0" applyFont="1" applyFill="1" applyAlignment="1" applyProtection="1">
      <alignment vertical="center" wrapText="1"/>
      <protection hidden="1"/>
    </xf>
    <xf numFmtId="43" fontId="12" fillId="7" borderId="0" xfId="1" applyNumberFormat="1" applyFont="1" applyFill="1" applyAlignment="1" applyProtection="1">
      <alignment vertical="center" wrapText="1"/>
      <protection hidden="1"/>
    </xf>
    <xf numFmtId="43" fontId="12" fillId="7" borderId="0" xfId="0" applyNumberFormat="1" applyFont="1" applyFill="1" applyAlignment="1" applyProtection="1">
      <alignment vertical="center" wrapText="1"/>
      <protection hidden="1"/>
    </xf>
    <xf numFmtId="0" fontId="0" fillId="7" borderId="0" xfId="0" applyFill="1" applyAlignment="1" applyProtection="1">
      <alignment horizontal="center"/>
      <protection hidden="1"/>
    </xf>
    <xf numFmtId="0" fontId="0" fillId="0" borderId="0" xfId="0" applyAlignment="1" applyProtection="1">
      <alignment horizontal="center"/>
      <protection hidden="1"/>
    </xf>
    <xf numFmtId="0" fontId="21" fillId="5" borderId="1" xfId="0" applyFont="1" applyFill="1" applyBorder="1" applyAlignment="1" applyProtection="1">
      <alignment horizontal="center" vertical="center" wrapText="1"/>
      <protection locked="0"/>
    </xf>
    <xf numFmtId="1" fontId="25" fillId="6" borderId="1" xfId="1" applyNumberFormat="1" applyFont="1" applyFill="1" applyBorder="1" applyAlignment="1" applyProtection="1">
      <alignment horizontal="center" vertical="center" wrapText="1"/>
      <protection locked="0"/>
    </xf>
    <xf numFmtId="164" fontId="18" fillId="6" borderId="1" xfId="1" applyNumberFormat="1" applyFont="1" applyFill="1" applyBorder="1" applyAlignment="1" applyProtection="1">
      <alignment horizontal="left" vertical="center" wrapText="1"/>
      <protection locked="0" hidden="1"/>
    </xf>
    <xf numFmtId="164" fontId="34" fillId="6" borderId="1" xfId="1" applyNumberFormat="1" applyFont="1" applyFill="1" applyBorder="1" applyAlignment="1" applyProtection="1">
      <alignment horizontal="left" vertical="center" wrapText="1"/>
      <protection locked="0" hidden="1"/>
    </xf>
    <xf numFmtId="37" fontId="26" fillId="6" borderId="1" xfId="1" applyNumberFormat="1" applyFont="1" applyFill="1" applyBorder="1" applyAlignment="1" applyProtection="1">
      <alignment horizontal="center" vertical="center"/>
      <protection locked="0" hidden="1"/>
    </xf>
    <xf numFmtId="164" fontId="6" fillId="6" borderId="1" xfId="0" applyNumberFormat="1" applyFont="1" applyFill="1" applyBorder="1" applyAlignment="1" applyProtection="1">
      <alignment horizontal="center" vertical="center" wrapText="1"/>
      <protection locked="0" hidden="1"/>
    </xf>
    <xf numFmtId="1" fontId="31" fillId="6" borderId="1" xfId="0" applyNumberFormat="1" applyFont="1" applyFill="1" applyBorder="1" applyAlignment="1" applyProtection="1">
      <alignment horizontal="center" vertical="center"/>
      <protection locked="0"/>
    </xf>
    <xf numFmtId="0" fontId="38" fillId="0" borderId="9" xfId="0" applyFont="1" applyBorder="1" applyAlignment="1" applyProtection="1">
      <alignment horizontal="left" vertical="center" wrapText="1"/>
      <protection locked="0"/>
    </xf>
    <xf numFmtId="1" fontId="31" fillId="9" borderId="1" xfId="0" applyNumberFormat="1" applyFont="1" applyFill="1" applyBorder="1" applyAlignment="1" applyProtection="1">
      <alignment horizontal="center" vertical="center"/>
      <protection hidden="1"/>
    </xf>
    <xf numFmtId="0" fontId="29" fillId="8" borderId="1" xfId="0" applyFont="1" applyFill="1" applyBorder="1" applyAlignment="1" applyProtection="1">
      <alignment vertical="center" wrapText="1"/>
      <protection hidden="1"/>
    </xf>
    <xf numFmtId="0" fontId="29" fillId="8" borderId="1" xfId="0" applyFont="1" applyFill="1" applyBorder="1" applyAlignment="1" applyProtection="1">
      <alignment horizontal="center" vertical="center" wrapText="1"/>
      <protection hidden="1"/>
    </xf>
    <xf numFmtId="1" fontId="9" fillId="9" borderId="1" xfId="0" applyNumberFormat="1" applyFont="1" applyFill="1" applyBorder="1" applyAlignment="1" applyProtection="1">
      <alignment horizontal="center" vertical="center"/>
      <protection hidden="1"/>
    </xf>
    <xf numFmtId="0" fontId="39" fillId="9" borderId="1" xfId="0" applyFont="1" applyFill="1" applyBorder="1" applyAlignment="1" applyProtection="1">
      <alignment horizontal="center" vertical="center" wrapText="1"/>
      <protection hidden="1"/>
    </xf>
    <xf numFmtId="37" fontId="26" fillId="7" borderId="1" xfId="1" applyNumberFormat="1" applyFont="1" applyFill="1" applyBorder="1" applyAlignment="1" applyProtection="1">
      <alignment horizontal="center" vertical="center"/>
      <protection locked="0" hidden="1"/>
    </xf>
    <xf numFmtId="1" fontId="32" fillId="9" borderId="1" xfId="0" applyNumberFormat="1" applyFont="1" applyFill="1" applyBorder="1" applyAlignment="1" applyProtection="1">
      <alignment horizontal="center" vertical="center"/>
      <protection hidden="1"/>
    </xf>
    <xf numFmtId="0" fontId="39" fillId="9" borderId="1" xfId="0" applyFont="1" applyFill="1" applyBorder="1" applyAlignment="1" applyProtection="1">
      <alignment vertical="center" wrapText="1"/>
      <protection hidden="1"/>
    </xf>
    <xf numFmtId="1" fontId="21" fillId="5" borderId="1" xfId="0" applyNumberFormat="1" applyFont="1" applyFill="1" applyBorder="1" applyAlignment="1" applyProtection="1">
      <alignment horizontal="center" vertical="center" wrapText="1"/>
      <protection locked="0"/>
    </xf>
    <xf numFmtId="0" fontId="23" fillId="7" borderId="1" xfId="0" applyFont="1" applyFill="1" applyBorder="1" applyAlignment="1" applyProtection="1">
      <alignment horizontal="center" vertical="center" wrapText="1"/>
      <protection hidden="1"/>
    </xf>
    <xf numFmtId="164" fontId="21" fillId="5" borderId="1" xfId="0" applyNumberFormat="1" applyFont="1" applyFill="1" applyBorder="1" applyAlignment="1" applyProtection="1">
      <alignment horizontal="center" vertical="center" wrapText="1"/>
      <protection locked="0" hidden="1"/>
    </xf>
    <xf numFmtId="37" fontId="21" fillId="5" borderId="1" xfId="1" applyNumberFormat="1" applyFont="1" applyFill="1" applyBorder="1" applyAlignment="1" applyProtection="1">
      <alignment horizontal="center" vertical="center"/>
      <protection locked="0" hidden="1"/>
    </xf>
    <xf numFmtId="0" fontId="58" fillId="11" borderId="1" xfId="0" applyFont="1" applyFill="1" applyBorder="1" applyAlignment="1" applyProtection="1">
      <alignment horizontal="center" vertical="center" wrapText="1"/>
      <protection hidden="1"/>
    </xf>
    <xf numFmtId="0" fontId="59" fillId="11" borderId="1" xfId="0" applyFont="1" applyFill="1" applyBorder="1" applyAlignment="1" applyProtection="1">
      <alignment horizontal="center" vertical="center" wrapText="1"/>
      <protection hidden="1"/>
    </xf>
    <xf numFmtId="164" fontId="30" fillId="7" borderId="1" xfId="1" applyNumberFormat="1" applyFont="1" applyFill="1" applyBorder="1" applyAlignment="1" applyProtection="1">
      <alignment vertical="center" wrapText="1"/>
      <protection locked="0" hidden="1"/>
    </xf>
    <xf numFmtId="0" fontId="60" fillId="0" borderId="0" xfId="0" applyFont="1" applyAlignment="1" applyProtection="1">
      <alignment vertical="center"/>
      <protection hidden="1"/>
    </xf>
    <xf numFmtId="37" fontId="19" fillId="0" borderId="1" xfId="0" applyNumberFormat="1" applyFont="1" applyBorder="1" applyAlignment="1" applyProtection="1">
      <alignment horizontal="center" vertical="center"/>
      <protection hidden="1"/>
    </xf>
    <xf numFmtId="1" fontId="41" fillId="0" borderId="1" xfId="0" applyNumberFormat="1" applyFont="1" applyBorder="1" applyAlignment="1" applyProtection="1">
      <alignment horizontal="center" vertical="center"/>
      <protection hidden="1"/>
    </xf>
    <xf numFmtId="37" fontId="9" fillId="0" borderId="1" xfId="0" applyNumberFormat="1" applyFont="1" applyBorder="1" applyAlignment="1" applyProtection="1">
      <alignment horizontal="center" vertical="center"/>
      <protection hidden="1"/>
    </xf>
    <xf numFmtId="0" fontId="19" fillId="0" borderId="1" xfId="0" applyNumberFormat="1" applyFont="1" applyBorder="1" applyAlignment="1" applyProtection="1">
      <alignment horizontal="center" vertical="center"/>
      <protection locked="0"/>
    </xf>
    <xf numFmtId="37" fontId="19" fillId="0" borderId="1" xfId="0" applyNumberFormat="1" applyFont="1" applyBorder="1" applyAlignment="1" applyProtection="1">
      <alignment horizontal="center" vertical="center"/>
      <protection locked="0"/>
    </xf>
    <xf numFmtId="1" fontId="41" fillId="0" borderId="1" xfId="0" applyNumberFormat="1" applyFont="1" applyBorder="1" applyAlignment="1" applyProtection="1">
      <alignment horizontal="center" vertical="center"/>
      <protection locked="0"/>
    </xf>
    <xf numFmtId="0" fontId="42" fillId="6" borderId="1" xfId="0" applyFont="1" applyFill="1" applyBorder="1" applyAlignment="1" applyProtection="1">
      <alignment horizontal="center" vertical="center"/>
      <protection locked="0"/>
    </xf>
    <xf numFmtId="37" fontId="42" fillId="6" borderId="1" xfId="0" applyNumberFormat="1" applyFont="1" applyFill="1" applyBorder="1" applyAlignment="1" applyProtection="1">
      <alignment horizontal="center" vertical="center"/>
      <protection locked="0"/>
    </xf>
    <xf numFmtId="0" fontId="42" fillId="0" borderId="1" xfId="0" applyFont="1" applyBorder="1" applyAlignment="1" applyProtection="1">
      <alignment horizontal="center" vertical="center"/>
      <protection locked="0"/>
    </xf>
    <xf numFmtId="1" fontId="42" fillId="0" borderId="1" xfId="0" applyNumberFormat="1" applyFont="1" applyBorder="1" applyAlignment="1" applyProtection="1">
      <alignment horizontal="center" vertical="center"/>
      <protection locked="0"/>
    </xf>
    <xf numFmtId="0" fontId="36" fillId="7" borderId="4" xfId="0" applyFont="1" applyFill="1" applyBorder="1" applyAlignment="1" applyProtection="1">
      <alignment horizontal="right" vertical="center" wrapText="1"/>
      <protection hidden="1"/>
    </xf>
    <xf numFmtId="17" fontId="23" fillId="7" borderId="1" xfId="0" applyNumberFormat="1" applyFont="1" applyFill="1" applyBorder="1" applyAlignment="1" applyProtection="1">
      <alignment horizontal="center" vertical="center" wrapText="1"/>
      <protection hidden="1"/>
    </xf>
    <xf numFmtId="0" fontId="21" fillId="7" borderId="1" xfId="0" applyFont="1" applyFill="1" applyBorder="1" applyAlignment="1" applyProtection="1">
      <alignment horizontal="center" vertical="center" wrapText="1"/>
      <protection locked="0"/>
    </xf>
    <xf numFmtId="1" fontId="21" fillId="7" borderId="1" xfId="0" applyNumberFormat="1" applyFont="1" applyFill="1" applyBorder="1" applyAlignment="1" applyProtection="1">
      <alignment horizontal="center" vertical="center" wrapText="1"/>
      <protection locked="0"/>
    </xf>
    <xf numFmtId="164" fontId="59" fillId="6" borderId="1" xfId="0" applyNumberFormat="1" applyFont="1" applyFill="1" applyBorder="1" applyAlignment="1" applyProtection="1">
      <alignment horizontal="center" vertical="center" wrapText="1"/>
      <protection locked="0"/>
    </xf>
    <xf numFmtId="164" fontId="21" fillId="6" borderId="1" xfId="1" applyNumberFormat="1" applyFont="1" applyFill="1" applyBorder="1" applyAlignment="1" applyProtection="1">
      <alignment horizontal="left" vertical="center" wrapText="1"/>
      <protection locked="0" hidden="1"/>
    </xf>
    <xf numFmtId="0" fontId="62" fillId="7" borderId="4" xfId="0" applyFont="1" applyFill="1" applyBorder="1" applyAlignment="1" applyProtection="1">
      <alignment vertical="center" wrapText="1"/>
      <protection hidden="1"/>
    </xf>
    <xf numFmtId="1" fontId="62" fillId="7" borderId="4" xfId="0" applyNumberFormat="1" applyFont="1" applyFill="1" applyBorder="1" applyAlignment="1" applyProtection="1">
      <alignment vertical="center" wrapText="1"/>
      <protection hidden="1"/>
    </xf>
    <xf numFmtId="0" fontId="63" fillId="7" borderId="0" xfId="0" applyFont="1" applyFill="1" applyProtection="1">
      <protection hidden="1"/>
    </xf>
    <xf numFmtId="0" fontId="64" fillId="7" borderId="0" xfId="0" applyFont="1" applyFill="1" applyBorder="1" applyAlignment="1" applyProtection="1">
      <alignment horizontal="left" vertical="center" wrapText="1"/>
      <protection hidden="1"/>
    </xf>
    <xf numFmtId="1" fontId="61" fillId="6" borderId="1" xfId="0" applyNumberFormat="1" applyFont="1" applyFill="1" applyBorder="1" applyAlignment="1" applyProtection="1">
      <alignment horizontal="center" vertical="center" wrapText="1"/>
      <protection locked="0"/>
    </xf>
    <xf numFmtId="0" fontId="39" fillId="6" borderId="1" xfId="0" applyFont="1" applyFill="1" applyBorder="1" applyAlignment="1" applyProtection="1">
      <alignment horizontal="center" vertical="center" wrapText="1"/>
      <protection locked="0"/>
    </xf>
    <xf numFmtId="1" fontId="34" fillId="6" borderId="1" xfId="1" applyNumberFormat="1" applyFont="1" applyFill="1" applyBorder="1" applyAlignment="1" applyProtection="1">
      <alignment horizontal="center" vertical="center" wrapText="1"/>
      <protection locked="0"/>
    </xf>
    <xf numFmtId="0" fontId="65" fillId="7" borderId="4" xfId="0" applyFont="1" applyFill="1" applyBorder="1" applyAlignment="1" applyProtection="1">
      <alignment vertical="center" wrapText="1"/>
      <protection hidden="1"/>
    </xf>
    <xf numFmtId="0" fontId="66" fillId="7" borderId="0" xfId="0" applyFont="1" applyFill="1" applyProtection="1">
      <protection hidden="1"/>
    </xf>
    <xf numFmtId="0" fontId="38" fillId="7" borderId="0" xfId="0" applyFont="1" applyFill="1" applyBorder="1" applyAlignment="1" applyProtection="1">
      <alignment vertical="center" wrapText="1"/>
      <protection hidden="1"/>
    </xf>
    <xf numFmtId="0" fontId="35" fillId="7" borderId="0" xfId="0" applyFont="1" applyFill="1" applyBorder="1" applyAlignment="1" applyProtection="1">
      <alignment vertical="center" wrapText="1"/>
      <protection hidden="1"/>
    </xf>
    <xf numFmtId="0" fontId="64" fillId="7" borderId="0" xfId="0" applyFont="1" applyFill="1" applyBorder="1" applyAlignment="1" applyProtection="1">
      <alignment vertical="center" wrapText="1"/>
      <protection hidden="1"/>
    </xf>
    <xf numFmtId="164" fontId="67" fillId="7" borderId="1" xfId="1" applyNumberFormat="1" applyFont="1" applyFill="1" applyBorder="1" applyAlignment="1" applyProtection="1">
      <alignment vertical="center" wrapText="1"/>
      <protection hidden="1"/>
    </xf>
    <xf numFmtId="164" fontId="68" fillId="7" borderId="1" xfId="0" applyNumberFormat="1" applyFont="1" applyFill="1" applyBorder="1" applyAlignment="1" applyProtection="1">
      <alignment vertical="center" wrapText="1"/>
      <protection hidden="1"/>
    </xf>
    <xf numFmtId="0" fontId="68" fillId="7" borderId="1" xfId="0" applyFont="1" applyFill="1" applyBorder="1" applyAlignment="1" applyProtection="1">
      <alignment vertical="center" wrapText="1"/>
      <protection hidden="1"/>
    </xf>
    <xf numFmtId="164" fontId="33" fillId="7" borderId="1" xfId="1" applyNumberFormat="1" applyFont="1" applyFill="1" applyBorder="1" applyAlignment="1" applyProtection="1">
      <alignment vertical="center" wrapText="1"/>
      <protection locked="0" hidden="1"/>
    </xf>
    <xf numFmtId="164" fontId="6" fillId="6" borderId="1" xfId="1" applyNumberFormat="1" applyFont="1" applyFill="1" applyBorder="1" applyAlignment="1" applyProtection="1">
      <alignment vertical="center" wrapText="1"/>
      <protection locked="0" hidden="1"/>
    </xf>
    <xf numFmtId="37" fontId="6" fillId="6" borderId="1" xfId="1" applyNumberFormat="1" applyFont="1" applyFill="1" applyBorder="1" applyAlignment="1" applyProtection="1">
      <alignment horizontal="center" vertical="center"/>
      <protection locked="0" hidden="1"/>
    </xf>
    <xf numFmtId="37" fontId="3" fillId="0" borderId="1" xfId="0" applyNumberFormat="1" applyFont="1" applyBorder="1" applyAlignment="1" applyProtection="1">
      <alignment horizontal="center" vertical="center"/>
      <protection hidden="1"/>
    </xf>
    <xf numFmtId="1" fontId="42" fillId="6" borderId="1" xfId="0" applyNumberFormat="1" applyFont="1" applyFill="1" applyBorder="1" applyAlignment="1" applyProtection="1">
      <alignment horizontal="center" vertical="center"/>
      <protection hidden="1"/>
    </xf>
    <xf numFmtId="1" fontId="42" fillId="6" borderId="1" xfId="0" applyNumberFormat="1" applyFont="1" applyFill="1" applyBorder="1" applyAlignment="1" applyProtection="1">
      <alignment horizontal="center" vertical="center"/>
      <protection locked="0"/>
    </xf>
    <xf numFmtId="1" fontId="3" fillId="0" borderId="1" xfId="0" applyNumberFormat="1" applyFont="1" applyBorder="1" applyAlignment="1" applyProtection="1">
      <alignment horizontal="center" vertical="center"/>
      <protection hidden="1"/>
    </xf>
    <xf numFmtId="0" fontId="37" fillId="7" borderId="9" xfId="0" applyFont="1" applyFill="1" applyBorder="1" applyAlignment="1" applyProtection="1">
      <alignment horizontal="center" vertical="center" wrapText="1"/>
      <protection hidden="1"/>
    </xf>
    <xf numFmtId="14" fontId="38" fillId="6" borderId="9" xfId="0" applyNumberFormat="1" applyFont="1" applyFill="1" applyBorder="1" applyAlignment="1" applyProtection="1">
      <alignment horizontal="center" vertical="center" wrapText="1"/>
      <protection locked="0"/>
    </xf>
    <xf numFmtId="0" fontId="38" fillId="6" borderId="9" xfId="0" applyFont="1" applyFill="1" applyBorder="1" applyAlignment="1" applyProtection="1">
      <alignment horizontal="center" vertical="center" wrapText="1"/>
      <protection locked="0"/>
    </xf>
    <xf numFmtId="0" fontId="37" fillId="7" borderId="9" xfId="0" applyFont="1" applyFill="1" applyBorder="1" applyAlignment="1" applyProtection="1">
      <alignment horizontal="right" vertical="center" wrapText="1"/>
      <protection hidden="1"/>
    </xf>
    <xf numFmtId="0" fontId="9" fillId="6" borderId="9" xfId="0" applyFont="1" applyFill="1" applyBorder="1" applyAlignment="1" applyProtection="1">
      <alignment horizontal="center" vertical="center" wrapText="1"/>
      <protection locked="0"/>
    </xf>
    <xf numFmtId="0" fontId="38" fillId="7" borderId="9" xfId="0" applyFont="1" applyFill="1" applyBorder="1" applyAlignment="1" applyProtection="1">
      <alignment horizontal="center" vertical="center" wrapText="1"/>
      <protection hidden="1"/>
    </xf>
    <xf numFmtId="0" fontId="38" fillId="7" borderId="4" xfId="0" applyFont="1" applyFill="1" applyBorder="1" applyAlignment="1" applyProtection="1">
      <alignment horizontal="center" vertical="center" wrapText="1"/>
      <protection hidden="1"/>
    </xf>
    <xf numFmtId="0" fontId="37" fillId="7" borderId="4" xfId="0" applyFont="1" applyFill="1" applyBorder="1" applyAlignment="1" applyProtection="1">
      <alignment horizontal="right" vertical="center" wrapText="1"/>
      <protection hidden="1"/>
    </xf>
    <xf numFmtId="0" fontId="18" fillId="0" borderId="4" xfId="0" applyFont="1" applyBorder="1" applyAlignment="1" applyProtection="1">
      <alignment horizontal="center" vertical="center" wrapText="1"/>
      <protection locked="0"/>
    </xf>
    <xf numFmtId="0" fontId="38" fillId="6" borderId="4" xfId="0" applyFont="1" applyFill="1" applyBorder="1" applyAlignment="1" applyProtection="1">
      <alignment horizontal="center" vertical="center" wrapText="1"/>
      <protection locked="0"/>
    </xf>
    <xf numFmtId="17" fontId="35" fillId="7" borderId="1" xfId="0" applyNumberFormat="1" applyFont="1" applyFill="1" applyBorder="1" applyAlignment="1" applyProtection="1">
      <alignment horizontal="center" vertical="center" wrapText="1"/>
      <protection hidden="1"/>
    </xf>
    <xf numFmtId="17" fontId="24" fillId="7" borderId="1" xfId="0" applyNumberFormat="1" applyFont="1" applyFill="1" applyBorder="1" applyAlignment="1" applyProtection="1">
      <alignment horizontal="center" vertical="center" wrapText="1"/>
      <protection hidden="1"/>
    </xf>
    <xf numFmtId="0" fontId="23" fillId="7" borderId="1" xfId="0" applyFont="1" applyFill="1" applyBorder="1" applyAlignment="1" applyProtection="1">
      <alignment horizontal="center" vertical="center" wrapText="1"/>
      <protection hidden="1"/>
    </xf>
    <xf numFmtId="0" fontId="20" fillId="7" borderId="1" xfId="0" applyFont="1" applyFill="1" applyBorder="1" applyAlignment="1" applyProtection="1">
      <alignment horizontal="center" vertical="center" wrapText="1"/>
      <protection hidden="1"/>
    </xf>
    <xf numFmtId="17" fontId="22" fillId="7" borderId="8" xfId="0" applyNumberFormat="1" applyFont="1" applyFill="1" applyBorder="1" applyAlignment="1" applyProtection="1">
      <alignment horizontal="center" vertical="center" wrapText="1"/>
      <protection locked="0" hidden="1"/>
    </xf>
    <xf numFmtId="17" fontId="22" fillId="7" borderId="10" xfId="0" applyNumberFormat="1" applyFont="1" applyFill="1" applyBorder="1" applyAlignment="1" applyProtection="1">
      <alignment horizontal="center" vertical="center" wrapText="1"/>
      <protection locked="0" hidden="1"/>
    </xf>
    <xf numFmtId="43" fontId="28" fillId="7" borderId="1" xfId="1" applyNumberFormat="1" applyFont="1" applyFill="1" applyBorder="1" applyAlignment="1" applyProtection="1">
      <alignment horizontal="center" vertical="center" wrapText="1"/>
      <protection hidden="1"/>
    </xf>
    <xf numFmtId="0" fontId="23" fillId="6" borderId="1" xfId="0" applyFont="1" applyFill="1" applyBorder="1" applyAlignment="1" applyProtection="1">
      <alignment horizontal="center" vertical="center" wrapText="1"/>
      <protection locked="0"/>
    </xf>
    <xf numFmtId="0" fontId="36" fillId="7" borderId="8" xfId="0" applyFont="1" applyFill="1" applyBorder="1" applyAlignment="1" applyProtection="1">
      <alignment horizontal="right" vertical="center" wrapText="1"/>
      <protection hidden="1"/>
    </xf>
    <xf numFmtId="0" fontId="36" fillId="7" borderId="9" xfId="0" applyFont="1" applyFill="1" applyBorder="1" applyAlignment="1" applyProtection="1">
      <alignment horizontal="right" vertical="center" wrapText="1"/>
      <protection hidden="1"/>
    </xf>
    <xf numFmtId="0" fontId="38" fillId="0" borderId="9" xfId="0" applyFont="1" applyBorder="1" applyAlignment="1" applyProtection="1">
      <alignment horizontal="left" vertical="center" wrapText="1"/>
      <protection locked="0"/>
    </xf>
    <xf numFmtId="0" fontId="36" fillId="7" borderId="3" xfId="0" applyFont="1" applyFill="1" applyBorder="1" applyAlignment="1" applyProtection="1">
      <alignment horizontal="right" vertical="center" wrapText="1"/>
      <protection hidden="1"/>
    </xf>
    <xf numFmtId="0" fontId="36" fillId="7" borderId="4" xfId="0" applyFont="1" applyFill="1" applyBorder="1" applyAlignment="1" applyProtection="1">
      <alignment horizontal="right" vertical="center" wrapText="1"/>
      <protection hidden="1"/>
    </xf>
    <xf numFmtId="0" fontId="18" fillId="0" borderId="4" xfId="0" applyFont="1" applyBorder="1" applyAlignment="1" applyProtection="1">
      <alignment horizontal="left" vertical="center" wrapText="1"/>
      <protection locked="0"/>
    </xf>
    <xf numFmtId="1" fontId="18" fillId="0" borderId="4" xfId="0" applyNumberFormat="1" applyFont="1" applyBorder="1" applyAlignment="1" applyProtection="1">
      <alignment horizontal="left" vertical="center" wrapText="1"/>
      <protection locked="0"/>
    </xf>
    <xf numFmtId="0" fontId="57" fillId="7" borderId="0" xfId="0" applyFont="1" applyFill="1" applyAlignment="1" applyProtection="1">
      <alignment horizontal="right" vertical="center"/>
      <protection hidden="1"/>
    </xf>
    <xf numFmtId="0" fontId="57" fillId="7" borderId="0" xfId="0" applyFont="1" applyFill="1" applyAlignment="1" applyProtection="1">
      <alignment horizontal="left" vertical="center"/>
      <protection hidden="1"/>
    </xf>
    <xf numFmtId="0" fontId="39" fillId="7" borderId="1" xfId="0" applyFont="1" applyFill="1" applyBorder="1" applyAlignment="1" applyProtection="1">
      <alignment horizontal="center" vertical="center" wrapText="1"/>
      <protection hidden="1"/>
    </xf>
    <xf numFmtId="0" fontId="56" fillId="10" borderId="0" xfId="0" applyFont="1" applyFill="1" applyBorder="1" applyAlignment="1" applyProtection="1">
      <alignment horizontal="center" wrapText="1"/>
      <protection hidden="1"/>
    </xf>
    <xf numFmtId="0" fontId="29" fillId="8" borderId="1" xfId="0" applyFont="1" applyFill="1" applyBorder="1" applyAlignment="1" applyProtection="1">
      <alignment horizontal="center" vertical="center" wrapText="1"/>
      <protection hidden="1"/>
    </xf>
    <xf numFmtId="0" fontId="39" fillId="9" borderId="1" xfId="0" applyFont="1" applyFill="1" applyBorder="1" applyAlignment="1" applyProtection="1">
      <alignment horizontal="center" vertical="center" wrapText="1"/>
      <protection hidden="1"/>
    </xf>
    <xf numFmtId="0" fontId="39" fillId="11" borderId="1" xfId="0" applyFont="1" applyFill="1" applyBorder="1" applyAlignment="1" applyProtection="1">
      <alignment horizontal="center" vertical="center" wrapText="1"/>
      <protection hidden="1"/>
    </xf>
    <xf numFmtId="0" fontId="58" fillId="11" borderId="1" xfId="0" applyFont="1" applyFill="1" applyBorder="1" applyAlignment="1" applyProtection="1">
      <alignment horizontal="center" vertical="center" wrapText="1"/>
      <protection hidden="1"/>
    </xf>
    <xf numFmtId="0" fontId="59" fillId="11" borderId="1" xfId="0" applyFont="1" applyFill="1" applyBorder="1" applyAlignment="1" applyProtection="1">
      <alignment horizontal="center" vertical="center" wrapText="1"/>
      <protection hidden="1"/>
    </xf>
    <xf numFmtId="0" fontId="39" fillId="12" borderId="1" xfId="0" applyFont="1" applyFill="1" applyBorder="1" applyAlignment="1" applyProtection="1">
      <alignment horizontal="center" vertical="center" wrapText="1"/>
      <protection hidden="1"/>
    </xf>
    <xf numFmtId="164" fontId="68" fillId="13" borderId="11" xfId="0" applyNumberFormat="1" applyFont="1" applyFill="1" applyBorder="1" applyAlignment="1" applyProtection="1">
      <alignment horizontal="center" wrapText="1"/>
      <protection hidden="1"/>
    </xf>
    <xf numFmtId="164" fontId="68" fillId="13" borderId="12" xfId="0" applyNumberFormat="1" applyFont="1" applyFill="1" applyBorder="1" applyAlignment="1" applyProtection="1">
      <alignment horizontal="center" wrapText="1"/>
      <protection hidden="1"/>
    </xf>
    <xf numFmtId="0" fontId="6" fillId="4" borderId="6" xfId="0" applyFont="1" applyFill="1" applyBorder="1" applyAlignment="1" applyProtection="1">
      <alignment horizontal="left" vertical="top"/>
      <protection hidden="1"/>
    </xf>
    <xf numFmtId="0" fontId="6" fillId="4" borderId="2" xfId="0" applyFont="1" applyFill="1" applyBorder="1" applyAlignment="1" applyProtection="1">
      <alignment horizontal="left" vertical="top"/>
      <protection hidden="1"/>
    </xf>
    <xf numFmtId="0" fontId="6" fillId="4" borderId="7" xfId="0" applyFont="1" applyFill="1" applyBorder="1" applyAlignment="1" applyProtection="1">
      <alignment horizontal="left" vertical="top"/>
      <protection hidden="1"/>
    </xf>
    <xf numFmtId="1" fontId="8" fillId="0" borderId="1" xfId="0" applyNumberFormat="1" applyFont="1" applyBorder="1" applyAlignment="1" applyProtection="1">
      <alignment horizontal="center"/>
      <protection locked="0" hidden="1"/>
    </xf>
    <xf numFmtId="0" fontId="8" fillId="0" borderId="1" xfId="0" applyFont="1" applyBorder="1" applyAlignment="1" applyProtection="1">
      <alignment horizontal="center"/>
      <protection locked="0" hidden="1"/>
    </xf>
    <xf numFmtId="0" fontId="8" fillId="2" borderId="1" xfId="0" applyFont="1" applyFill="1" applyBorder="1" applyAlignment="1" applyProtection="1">
      <alignment horizontal="right" vertical="center"/>
      <protection hidden="1"/>
    </xf>
    <xf numFmtId="0" fontId="8" fillId="2" borderId="1" xfId="0" applyFont="1" applyFill="1" applyBorder="1" applyAlignment="1" applyProtection="1">
      <alignment horizontal="left" vertical="center"/>
      <protection hidden="1"/>
    </xf>
    <xf numFmtId="0" fontId="8" fillId="0" borderId="1" xfId="0" applyFont="1" applyBorder="1" applyAlignment="1" applyProtection="1">
      <alignment horizontal="left" vertical="center"/>
      <protection locked="0"/>
    </xf>
    <xf numFmtId="0" fontId="8" fillId="2" borderId="1" xfId="0" applyFont="1" applyFill="1" applyBorder="1" applyAlignment="1" applyProtection="1">
      <alignment horizontal="center"/>
      <protection hidden="1"/>
    </xf>
    <xf numFmtId="0" fontId="7" fillId="3" borderId="0" xfId="0" applyFont="1" applyFill="1" applyAlignment="1" applyProtection="1">
      <alignment horizontal="center"/>
      <protection hidden="1"/>
    </xf>
    <xf numFmtId="0" fontId="7" fillId="2" borderId="0" xfId="0" applyFont="1" applyFill="1" applyAlignment="1" applyProtection="1">
      <alignment horizontal="center" vertical="center"/>
      <protection hidden="1"/>
    </xf>
    <xf numFmtId="0" fontId="7" fillId="2" borderId="2" xfId="0" applyFont="1" applyFill="1" applyBorder="1" applyAlignment="1" applyProtection="1">
      <alignment horizontal="center" vertical="center"/>
      <protection hidden="1"/>
    </xf>
    <xf numFmtId="0" fontId="6" fillId="4" borderId="3" xfId="0" applyFont="1" applyFill="1" applyBorder="1" applyAlignment="1" applyProtection="1">
      <alignment horizontal="left" vertical="top"/>
      <protection hidden="1"/>
    </xf>
    <xf numFmtId="0" fontId="6" fillId="4" borderId="4" xfId="0" applyFont="1" applyFill="1" applyBorder="1" applyAlignment="1" applyProtection="1">
      <alignment horizontal="left" vertical="top"/>
      <protection hidden="1"/>
    </xf>
    <xf numFmtId="0" fontId="6" fillId="4" borderId="5" xfId="0" applyFont="1" applyFill="1" applyBorder="1" applyAlignment="1" applyProtection="1">
      <alignment horizontal="left" vertical="top"/>
      <protection hidden="1"/>
    </xf>
    <xf numFmtId="0" fontId="6" fillId="4" borderId="8" xfId="0" applyFont="1" applyFill="1" applyBorder="1" applyAlignment="1" applyProtection="1">
      <alignment horizontal="left" vertical="top" wrapText="1"/>
      <protection hidden="1"/>
    </xf>
    <xf numFmtId="0" fontId="6" fillId="4" borderId="9" xfId="0" applyFont="1" applyFill="1" applyBorder="1" applyAlignment="1" applyProtection="1">
      <alignment horizontal="left" vertical="top" wrapText="1"/>
      <protection hidden="1"/>
    </xf>
    <xf numFmtId="0" fontId="6" fillId="4" borderId="10" xfId="0" applyFont="1" applyFill="1" applyBorder="1" applyAlignment="1" applyProtection="1">
      <alignment horizontal="left" vertical="top" wrapText="1"/>
      <protection hidden="1"/>
    </xf>
    <xf numFmtId="0" fontId="7" fillId="0" borderId="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5" fillId="0" borderId="1" xfId="0" applyFont="1" applyBorder="1" applyAlignment="1">
      <alignment horizontal="left" vertical="top" wrapText="1"/>
    </xf>
    <xf numFmtId="0" fontId="6" fillId="0" borderId="0" xfId="0" applyFont="1" applyAlignment="1">
      <alignment horizontal="center"/>
    </xf>
    <xf numFmtId="0" fontId="5" fillId="0" borderId="0" xfId="0" applyNumberFormat="1" applyFont="1" applyAlignment="1">
      <alignment horizontal="left" vertical="top" wrapText="1"/>
    </xf>
    <xf numFmtId="0" fontId="0" fillId="0" borderId="1" xfId="0" applyBorder="1" applyAlignment="1">
      <alignment horizontal="center"/>
    </xf>
    <xf numFmtId="0" fontId="0" fillId="0" borderId="1" xfId="0" applyBorder="1" applyAlignment="1">
      <alignment horizontal="left" vertical="center"/>
    </xf>
    <xf numFmtId="0" fontId="0" fillId="0" borderId="1" xfId="0" applyBorder="1" applyAlignment="1">
      <alignment horizontal="right" vertical="center"/>
    </xf>
    <xf numFmtId="0" fontId="0" fillId="0" borderId="0" xfId="0" applyAlignment="1">
      <alignment horizontal="center"/>
    </xf>
    <xf numFmtId="0" fontId="10" fillId="0" borderId="0" xfId="0" applyFont="1" applyBorder="1" applyAlignment="1">
      <alignment horizontal="center" vertical="center"/>
    </xf>
    <xf numFmtId="0" fontId="4" fillId="0" borderId="1" xfId="0" applyFont="1" applyBorder="1" applyAlignment="1">
      <alignment horizontal="left" vertical="top"/>
    </xf>
    <xf numFmtId="0" fontId="1" fillId="0" borderId="1" xfId="0" applyFont="1" applyBorder="1" applyAlignment="1">
      <alignment horizontal="left" vertical="top" wrapText="1"/>
    </xf>
    <xf numFmtId="1" fontId="34" fillId="0" borderId="8" xfId="0" applyNumberFormat="1" applyFont="1" applyBorder="1" applyAlignment="1">
      <alignment horizontal="center" vertical="center"/>
    </xf>
    <xf numFmtId="0" fontId="34" fillId="0" borderId="9" xfId="0" applyFont="1" applyBorder="1" applyAlignment="1">
      <alignment horizontal="center" vertical="center"/>
    </xf>
    <xf numFmtId="0" fontId="34" fillId="0" borderId="10" xfId="0" applyFont="1" applyBorder="1" applyAlignment="1">
      <alignment horizontal="center" vertical="center"/>
    </xf>
    <xf numFmtId="0" fontId="2" fillId="0" borderId="0" xfId="0" applyFont="1" applyAlignment="1">
      <alignment horizontal="center" vertical="center"/>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1" fontId="6" fillId="0" borderId="1" xfId="0" applyNumberFormat="1" applyFont="1" applyBorder="1" applyAlignment="1">
      <alignment horizontal="center" vertical="center"/>
    </xf>
    <xf numFmtId="1" fontId="34" fillId="0" borderId="1" xfId="0" applyNumberFormat="1" applyFont="1" applyBorder="1" applyAlignment="1">
      <alignment horizontal="center" vertical="center"/>
    </xf>
    <xf numFmtId="0" fontId="6" fillId="0" borderId="1" xfId="0" applyFont="1" applyBorder="1" applyAlignment="1">
      <alignment horizontal="center" vertical="center"/>
    </xf>
    <xf numFmtId="0" fontId="71" fillId="0" borderId="1" xfId="0" applyFont="1" applyBorder="1" applyAlignment="1">
      <alignment horizontal="center" vertical="center"/>
    </xf>
    <xf numFmtId="0" fontId="4" fillId="0" borderId="1" xfId="0" applyFont="1" applyBorder="1" applyAlignment="1">
      <alignment horizontal="left" vertical="top" wrapText="1"/>
    </xf>
    <xf numFmtId="0" fontId="3" fillId="0" borderId="1" xfId="0" applyFont="1" applyBorder="1" applyAlignment="1">
      <alignment horizontal="center" vertical="center"/>
    </xf>
    <xf numFmtId="0" fontId="70" fillId="0" borderId="1" xfId="0" applyFont="1" applyBorder="1" applyAlignment="1">
      <alignment horizontal="center" vertical="center"/>
    </xf>
    <xf numFmtId="0" fontId="9" fillId="0" borderId="1" xfId="0" applyFont="1" applyBorder="1" applyAlignment="1">
      <alignment horizontal="center" vertical="center"/>
    </xf>
    <xf numFmtId="0" fontId="1" fillId="0" borderId="1" xfId="0" applyFont="1" applyBorder="1" applyAlignment="1">
      <alignment horizontal="center" vertical="center" wrapText="1"/>
    </xf>
    <xf numFmtId="0" fontId="6" fillId="0" borderId="8" xfId="0" applyFont="1" applyBorder="1" applyAlignment="1">
      <alignment horizontal="center" vertical="center"/>
    </xf>
    <xf numFmtId="0" fontId="6" fillId="0" borderId="10" xfId="0" applyFont="1" applyBorder="1" applyAlignment="1">
      <alignment horizontal="center" vertical="center"/>
    </xf>
    <xf numFmtId="1" fontId="3" fillId="0" borderId="1" xfId="0" applyNumberFormat="1" applyFont="1" applyBorder="1" applyAlignment="1">
      <alignment horizontal="center"/>
    </xf>
    <xf numFmtId="0" fontId="3" fillId="0" borderId="1" xfId="0" applyFont="1" applyBorder="1" applyAlignment="1">
      <alignment horizontal="center"/>
    </xf>
    <xf numFmtId="1"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69" fillId="0" borderId="8" xfId="0" applyFont="1" applyBorder="1" applyAlignment="1">
      <alignment horizontal="center" vertical="center"/>
    </xf>
    <xf numFmtId="0" fontId="69" fillId="0" borderId="10" xfId="0" applyFont="1" applyBorder="1" applyAlignment="1">
      <alignment horizontal="center" vertical="center"/>
    </xf>
    <xf numFmtId="0" fontId="3" fillId="0" borderId="0" xfId="0" applyFont="1" applyAlignment="1">
      <alignment horizontal="center" vertical="top"/>
    </xf>
    <xf numFmtId="0" fontId="0" fillId="0" borderId="0" xfId="0" applyAlignment="1">
      <alignment horizontal="left" vertical="top"/>
    </xf>
    <xf numFmtId="0" fontId="0" fillId="0" borderId="0" xfId="0" applyAlignment="1">
      <alignment horizontal="center" vertical="top"/>
    </xf>
    <xf numFmtId="14" fontId="0" fillId="0" borderId="0" xfId="0" applyNumberFormat="1" applyAlignment="1" applyProtection="1">
      <alignment horizontal="center" vertical="top"/>
      <protection locked="0" hidden="1"/>
    </xf>
    <xf numFmtId="0" fontId="0" fillId="0" borderId="0" xfId="0" applyAlignment="1" applyProtection="1">
      <alignment horizontal="center" vertical="top"/>
      <protection locked="0" hidden="1"/>
    </xf>
    <xf numFmtId="14" fontId="0" fillId="0" borderId="0" xfId="0" applyNumberFormat="1" applyAlignment="1" applyProtection="1">
      <alignment horizontal="center"/>
      <protection locked="0" hidden="1"/>
    </xf>
    <xf numFmtId="0" fontId="0" fillId="0" borderId="0" xfId="0" applyAlignment="1" applyProtection="1">
      <alignment horizontal="center"/>
      <protection locked="0" hidden="1"/>
    </xf>
    <xf numFmtId="0" fontId="3" fillId="0" borderId="0" xfId="0" applyFont="1" applyBorder="1" applyAlignment="1">
      <alignment horizontal="center" vertical="center"/>
    </xf>
    <xf numFmtId="0" fontId="0" fillId="0" borderId="0" xfId="0" applyAlignment="1" applyProtection="1">
      <alignment horizontal="center"/>
      <protection locked="0"/>
    </xf>
    <xf numFmtId="0" fontId="50" fillId="0" borderId="0" xfId="0" applyFont="1" applyAlignment="1" applyProtection="1">
      <alignment horizontal="center" vertical="center"/>
      <protection hidden="1"/>
    </xf>
    <xf numFmtId="0" fontId="51" fillId="0" borderId="0" xfId="0" applyFont="1" applyAlignment="1" applyProtection="1">
      <alignment horizontal="center"/>
      <protection hidden="1"/>
    </xf>
    <xf numFmtId="0" fontId="48" fillId="0" borderId="0" xfId="0" applyFont="1" applyAlignment="1" applyProtection="1">
      <alignment horizontal="center" vertical="center"/>
      <protection hidden="1"/>
    </xf>
    <xf numFmtId="0" fontId="7" fillId="6" borderId="0" xfId="0" applyFont="1" applyFill="1" applyAlignment="1" applyProtection="1">
      <alignment horizontal="left" vertical="center"/>
      <protection hidden="1"/>
    </xf>
    <xf numFmtId="0" fontId="7" fillId="0" borderId="0" xfId="0" applyFont="1" applyAlignment="1" applyProtection="1">
      <alignment horizontal="left" vertical="center"/>
      <protection hidden="1"/>
    </xf>
    <xf numFmtId="0" fontId="7" fillId="0" borderId="2" xfId="0" applyFont="1" applyBorder="1" applyAlignment="1" applyProtection="1">
      <alignment horizontal="left" vertical="center"/>
      <protection hidden="1"/>
    </xf>
    <xf numFmtId="0" fontId="48" fillId="0" borderId="0" xfId="0" applyFont="1" applyAlignment="1" applyProtection="1">
      <alignment horizontal="left" vertical="center"/>
      <protection hidden="1"/>
    </xf>
    <xf numFmtId="0" fontId="47" fillId="0" borderId="0" xfId="0" applyFont="1" applyAlignment="1" applyProtection="1">
      <alignment horizontal="left" vertical="center"/>
      <protection hidden="1"/>
    </xf>
    <xf numFmtId="0" fontId="6" fillId="0" borderId="0" xfId="0" applyFont="1" applyAlignment="1" applyProtection="1">
      <alignment horizontal="left" vertical="center"/>
      <protection hidden="1"/>
    </xf>
    <xf numFmtId="0" fontId="48" fillId="0" borderId="0" xfId="0" applyFont="1" applyAlignment="1" applyProtection="1">
      <alignment horizontal="center"/>
      <protection hidden="1"/>
    </xf>
    <xf numFmtId="0" fontId="8" fillId="0" borderId="0" xfId="0" applyFont="1" applyAlignment="1" applyProtection="1">
      <alignment horizontal="center" vertical="center" wrapText="1"/>
      <protection locked="0"/>
    </xf>
    <xf numFmtId="0" fontId="8" fillId="0" borderId="0" xfId="0" applyFont="1" applyAlignment="1" applyProtection="1">
      <alignment horizontal="center"/>
      <protection locked="0"/>
    </xf>
    <xf numFmtId="0" fontId="8" fillId="0" borderId="0" xfId="0" applyFont="1" applyAlignment="1" applyProtection="1">
      <alignment horizontal="center"/>
      <protection hidden="1"/>
    </xf>
    <xf numFmtId="14" fontId="8" fillId="0" borderId="0" xfId="0" applyNumberFormat="1" applyFont="1" applyAlignment="1" applyProtection="1">
      <alignment horizontal="center" vertical="center"/>
      <protection locked="0"/>
    </xf>
    <xf numFmtId="0" fontId="47" fillId="0" borderId="0" xfId="0" applyFont="1" applyAlignment="1" applyProtection="1">
      <alignment horizontal="left" vertical="top"/>
      <protection hidden="1"/>
    </xf>
    <xf numFmtId="0" fontId="6" fillId="0" borderId="0" xfId="0" applyFont="1" applyAlignment="1" applyProtection="1">
      <alignment horizontal="center"/>
      <protection locked="0"/>
    </xf>
    <xf numFmtId="0" fontId="43" fillId="0" borderId="11" xfId="0" applyFont="1" applyBorder="1" applyAlignment="1" applyProtection="1">
      <alignment horizontal="center" vertical="center" wrapText="1"/>
      <protection hidden="1"/>
    </xf>
    <xf numFmtId="0" fontId="5" fillId="0" borderId="12" xfId="0" applyFont="1" applyBorder="1" applyAlignment="1" applyProtection="1">
      <alignment horizontal="center" vertical="center" wrapText="1"/>
      <protection hidden="1"/>
    </xf>
    <xf numFmtId="0" fontId="41" fillId="0" borderId="1" xfId="0" applyFont="1" applyBorder="1" applyAlignment="1" applyProtection="1">
      <alignment horizontal="center"/>
      <protection hidden="1"/>
    </xf>
    <xf numFmtId="0" fontId="47" fillId="0" borderId="1" xfId="0" applyFont="1" applyBorder="1" applyAlignment="1" applyProtection="1">
      <alignment horizontal="center"/>
      <protection hidden="1"/>
    </xf>
    <xf numFmtId="0" fontId="41" fillId="0" borderId="8" xfId="0" applyFont="1" applyBorder="1" applyAlignment="1" applyProtection="1">
      <alignment horizontal="center" vertical="center"/>
      <protection hidden="1"/>
    </xf>
    <xf numFmtId="0" fontId="41" fillId="0" borderId="9" xfId="0" applyFont="1" applyBorder="1" applyAlignment="1" applyProtection="1">
      <alignment horizontal="center" vertical="center"/>
      <protection hidden="1"/>
    </xf>
    <xf numFmtId="0" fontId="41" fillId="0" borderId="10" xfId="0" applyFont="1" applyBorder="1" applyAlignment="1" applyProtection="1">
      <alignment horizontal="center" vertical="center"/>
      <protection hidden="1"/>
    </xf>
    <xf numFmtId="0" fontId="43" fillId="0" borderId="12" xfId="0" applyFont="1" applyBorder="1" applyAlignment="1" applyProtection="1">
      <alignment horizontal="center" vertical="center" wrapText="1"/>
      <protection hidden="1"/>
    </xf>
    <xf numFmtId="0" fontId="44" fillId="0" borderId="0" xfId="0" applyFont="1" applyBorder="1" applyAlignment="1" applyProtection="1">
      <alignment horizontal="left" vertical="center"/>
      <protection hidden="1"/>
    </xf>
    <xf numFmtId="0" fontId="6" fillId="0" borderId="0" xfId="0" applyFont="1" applyAlignment="1" applyProtection="1">
      <alignment horizontal="right" vertical="center"/>
      <protection hidden="1"/>
    </xf>
    <xf numFmtId="0" fontId="41" fillId="0" borderId="1" xfId="0" applyFont="1" applyBorder="1" applyAlignment="1" applyProtection="1">
      <alignment horizontal="center" vertical="center"/>
      <protection hidden="1"/>
    </xf>
    <xf numFmtId="0" fontId="43" fillId="0" borderId="1" xfId="0" applyFont="1" applyBorder="1" applyAlignment="1" applyProtection="1">
      <alignment horizontal="center" vertical="center" wrapText="1"/>
      <protection hidden="1"/>
    </xf>
    <xf numFmtId="0" fontId="43" fillId="0" borderId="1" xfId="0" applyFont="1" applyBorder="1" applyAlignment="1" applyProtection="1">
      <alignment horizontal="center" vertical="center" textRotation="90"/>
      <protection hidden="1"/>
    </xf>
    <xf numFmtId="0" fontId="54" fillId="0" borderId="1" xfId="0" applyFont="1" applyBorder="1" applyAlignment="1" applyProtection="1">
      <alignment horizontal="center"/>
      <protection hidden="1"/>
    </xf>
    <xf numFmtId="0" fontId="6" fillId="0" borderId="1" xfId="0" applyFont="1" applyBorder="1" applyAlignment="1" applyProtection="1">
      <alignment horizontal="center"/>
      <protection hidden="1"/>
    </xf>
    <xf numFmtId="0" fontId="9" fillId="0" borderId="1" xfId="0" applyFont="1" applyBorder="1" applyAlignment="1" applyProtection="1">
      <alignment horizontal="center"/>
      <protection hidden="1"/>
    </xf>
    <xf numFmtId="0" fontId="18" fillId="0" borderId="1" xfId="0" applyFont="1" applyFill="1" applyBorder="1" applyAlignment="1" applyProtection="1">
      <alignment horizontal="center"/>
      <protection hidden="1"/>
    </xf>
    <xf numFmtId="0" fontId="18" fillId="0" borderId="8" xfId="0" applyFont="1" applyFill="1" applyBorder="1" applyAlignment="1" applyProtection="1">
      <alignment horizontal="center"/>
      <protection hidden="1"/>
    </xf>
    <xf numFmtId="0" fontId="18" fillId="0" borderId="10" xfId="0" applyFont="1" applyFill="1" applyBorder="1" applyAlignment="1" applyProtection="1">
      <alignment horizontal="center"/>
      <protection hidden="1"/>
    </xf>
  </cellXfs>
  <cellStyles count="2">
    <cellStyle name="Comma" xfId="1" builtinId="3"/>
    <cellStyle name="Normal" xfId="0" builtinId="0"/>
  </cellStyles>
  <dxfs count="0"/>
  <tableStyles count="0" defaultTableStyle="TableStyleMedium9" defaultPivotStyle="PivotStyleLight16"/>
  <colors>
    <mruColors>
      <color rgb="FFCC00FF"/>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32</xdr:col>
      <xdr:colOff>161926</xdr:colOff>
      <xdr:row>6</xdr:row>
      <xdr:rowOff>66675</xdr:rowOff>
    </xdr:from>
    <xdr:to>
      <xdr:col>34</xdr:col>
      <xdr:colOff>428625</xdr:colOff>
      <xdr:row>14</xdr:row>
      <xdr:rowOff>0</xdr:rowOff>
    </xdr:to>
    <xdr:pic>
      <xdr:nvPicPr>
        <xdr:cNvPr id="2" name="Picture 5"/>
        <xdr:cNvPicPr>
          <a:picLocks noChangeAspect="1" noChangeArrowheads="1"/>
        </xdr:cNvPicPr>
      </xdr:nvPicPr>
      <xdr:blipFill>
        <a:blip xmlns:r="http://schemas.openxmlformats.org/officeDocument/2006/relationships" r:embed="rId1"/>
        <a:srcRect/>
        <a:stretch>
          <a:fillRect/>
        </a:stretch>
      </xdr:blipFill>
      <xdr:spPr bwMode="auto">
        <a:xfrm>
          <a:off x="23374351" y="1866900"/>
          <a:ext cx="1447799" cy="1933575"/>
        </a:xfrm>
        <a:prstGeom prst="rect">
          <a:avLst/>
        </a:prstGeom>
        <a:noFill/>
      </xdr:spPr>
    </xdr:pic>
    <xdr:clientData/>
  </xdr:twoCellAnchor>
  <xdr:twoCellAnchor>
    <xdr:from>
      <xdr:col>0</xdr:col>
      <xdr:colOff>19050</xdr:colOff>
      <xdr:row>0</xdr:row>
      <xdr:rowOff>0</xdr:rowOff>
    </xdr:from>
    <xdr:to>
      <xdr:col>1</xdr:col>
      <xdr:colOff>638175</xdr:colOff>
      <xdr:row>3</xdr:row>
      <xdr:rowOff>31623</xdr:rowOff>
    </xdr:to>
    <xdr:sp macro="" textlink="">
      <xdr:nvSpPr>
        <xdr:cNvPr id="4" name="Rounded Rectangular Callout 3"/>
        <xdr:cNvSpPr/>
      </xdr:nvSpPr>
      <xdr:spPr>
        <a:xfrm>
          <a:off x="19050" y="0"/>
          <a:ext cx="1028700" cy="898398"/>
        </a:xfrm>
        <a:prstGeom prst="wedgeRoundRectCallout">
          <a:avLst>
            <a:gd name="adj1" fmla="val 120950"/>
            <a:gd name="adj2" fmla="val 148560"/>
            <a:gd name="adj3" fmla="val 16667"/>
          </a:avLst>
        </a:prstGeom>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en-US" sz="1200" b="1">
              <a:latin typeface="+mn-lt"/>
            </a:rPr>
            <a:t>only Fill in yellow colour cell D7, And Get Data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85724</xdr:colOff>
      <xdr:row>14</xdr:row>
      <xdr:rowOff>171450</xdr:rowOff>
    </xdr:from>
    <xdr:to>
      <xdr:col>24</xdr:col>
      <xdr:colOff>200025</xdr:colOff>
      <xdr:row>17</xdr:row>
      <xdr:rowOff>28575</xdr:rowOff>
    </xdr:to>
    <xdr:sp macro="" textlink="">
      <xdr:nvSpPr>
        <xdr:cNvPr id="2" name="Oval Callout 1"/>
        <xdr:cNvSpPr/>
      </xdr:nvSpPr>
      <xdr:spPr>
        <a:xfrm>
          <a:off x="8267699" y="3409950"/>
          <a:ext cx="4248151" cy="752475"/>
        </a:xfrm>
        <a:prstGeom prst="wedgeEllipseCallout">
          <a:avLst>
            <a:gd name="adj1" fmla="val -90988"/>
            <a:gd name="adj2" fmla="val 27244"/>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a:latin typeface="Kruti Dev 010" pitchFamily="2" charset="0"/>
            </a:rPr>
            <a:t>bl</a:t>
          </a:r>
          <a:r>
            <a:rPr lang="en-US" sz="1600" b="1" baseline="0">
              <a:latin typeface="Kruti Dev 010" pitchFamily="2" charset="0"/>
            </a:rPr>
            <a:t> o"kZ </a:t>
          </a:r>
          <a:r>
            <a:rPr lang="en-US" sz="1600" b="1" baseline="0">
              <a:latin typeface="+mn-lt"/>
            </a:rPr>
            <a:t>2017-18</a:t>
          </a:r>
          <a:r>
            <a:rPr lang="en-US" sz="1600" b="1" baseline="0">
              <a:latin typeface="Kruti Dev 010" pitchFamily="2" charset="0"/>
            </a:rPr>
            <a:t> dh usV VsDlscy bUde ,fj;j lfgr jkf'k nl ds xq.kkad esa fy[kuh gSaA</a:t>
          </a:r>
          <a:endParaRPr lang="en-US" sz="1600" b="1">
            <a:latin typeface="Kruti Dev 010" pitchFamily="2"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485776</xdr:colOff>
      <xdr:row>21</xdr:row>
      <xdr:rowOff>9525</xdr:rowOff>
    </xdr:from>
    <xdr:to>
      <xdr:col>20</xdr:col>
      <xdr:colOff>104775</xdr:colOff>
      <xdr:row>24</xdr:row>
      <xdr:rowOff>76200</xdr:rowOff>
    </xdr:to>
    <xdr:sp macro="" textlink="">
      <xdr:nvSpPr>
        <xdr:cNvPr id="2" name="Oval Callout 1"/>
        <xdr:cNvSpPr/>
      </xdr:nvSpPr>
      <xdr:spPr>
        <a:xfrm>
          <a:off x="7324726" y="5667375"/>
          <a:ext cx="2571749" cy="666750"/>
        </a:xfrm>
        <a:prstGeom prst="wedgeEllipseCallout">
          <a:avLst>
            <a:gd name="adj1" fmla="val -90988"/>
            <a:gd name="adj2" fmla="val 27244"/>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a:latin typeface="Kruti Dev 010" pitchFamily="2" charset="0"/>
            </a:rPr>
            <a:t>3 izfr'kr midj Hkh lfEefyr</a:t>
          </a:r>
          <a:r>
            <a:rPr lang="en-US" sz="1600" b="1" baseline="0">
              <a:latin typeface="Kruti Dev 010" pitchFamily="2" charset="0"/>
            </a:rPr>
            <a:t> gSaA</a:t>
          </a:r>
          <a:endParaRPr lang="en-US" sz="1600" b="1">
            <a:latin typeface="Kruti Dev 010" pitchFamily="2"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J54"/>
  <sheetViews>
    <sheetView tabSelected="1" zoomScale="90" zoomScaleNormal="90" workbookViewId="0">
      <selection activeCell="F10" sqref="F10"/>
    </sheetView>
  </sheetViews>
  <sheetFormatPr defaultColWidth="8.85546875" defaultRowHeight="15"/>
  <cols>
    <col min="1" max="1" width="6.140625" style="11" customWidth="1"/>
    <col min="2" max="2" width="10.85546875" style="11" customWidth="1"/>
    <col min="3" max="3" width="10.85546875" style="69" customWidth="1"/>
    <col min="4" max="5" width="12.140625" style="11" customWidth="1"/>
    <col min="6" max="9" width="10.42578125" style="11" customWidth="1"/>
    <col min="10" max="10" width="9.42578125" style="11" customWidth="1"/>
    <col min="11" max="11" width="12.7109375" style="11" customWidth="1"/>
    <col min="12" max="12" width="11.85546875" style="11" customWidth="1"/>
    <col min="13" max="13" width="12.5703125" style="11" customWidth="1"/>
    <col min="14" max="14" width="11" style="11" customWidth="1"/>
    <col min="15" max="16" width="10.7109375" style="11" customWidth="1"/>
    <col min="17" max="17" width="12.28515625" style="11" customWidth="1"/>
    <col min="18" max="19" width="10.7109375" style="11" customWidth="1"/>
    <col min="20" max="20" width="11.7109375" style="11" customWidth="1"/>
    <col min="21" max="21" width="10.7109375" style="11" customWidth="1"/>
    <col min="22" max="22" width="13" style="11" customWidth="1"/>
    <col min="23" max="24" width="10.7109375" style="11" customWidth="1"/>
    <col min="25" max="25" width="12.140625" style="11" customWidth="1"/>
    <col min="26" max="26" width="12.28515625" style="11" customWidth="1"/>
    <col min="27" max="28" width="12.42578125" style="11" customWidth="1"/>
    <col min="29" max="16384" width="8.85546875" style="11"/>
  </cols>
  <sheetData>
    <row r="1" spans="1:36" ht="23.25" customHeight="1">
      <c r="A1" s="150" t="s">
        <v>68</v>
      </c>
      <c r="B1" s="151"/>
      <c r="C1" s="151"/>
      <c r="D1" s="151"/>
      <c r="E1" s="152" t="s">
        <v>106</v>
      </c>
      <c r="F1" s="152"/>
      <c r="G1" s="152"/>
      <c r="H1" s="152"/>
      <c r="I1" s="152"/>
      <c r="J1" s="152"/>
      <c r="K1" s="152"/>
      <c r="L1" s="132" t="s">
        <v>138</v>
      </c>
      <c r="M1" s="132"/>
      <c r="N1" s="132"/>
      <c r="O1" s="133">
        <v>41902</v>
      </c>
      <c r="P1" s="134"/>
      <c r="Q1" s="135" t="s">
        <v>139</v>
      </c>
      <c r="R1" s="135"/>
      <c r="S1" s="136">
        <v>11100</v>
      </c>
      <c r="T1" s="136"/>
      <c r="U1" s="46"/>
      <c r="V1" s="46"/>
      <c r="W1" s="46"/>
      <c r="X1" s="46"/>
      <c r="Y1" s="117"/>
      <c r="Z1" s="110">
        <f>AA1-1</f>
        <v>19</v>
      </c>
      <c r="AA1" s="110">
        <f>DAY(O1)</f>
        <v>20</v>
      </c>
      <c r="AB1" s="111">
        <f>IF(AND(C14=""),"",C14-AA1+1)</f>
        <v>11</v>
      </c>
      <c r="AC1" s="112"/>
      <c r="AD1" s="118"/>
      <c r="AE1" s="118"/>
      <c r="AF1" s="47"/>
      <c r="AG1" s="47"/>
      <c r="AH1" s="47"/>
      <c r="AI1" s="47"/>
      <c r="AJ1" s="47"/>
    </row>
    <row r="2" spans="1:36" ht="24" customHeight="1">
      <c r="A2" s="150" t="s">
        <v>69</v>
      </c>
      <c r="B2" s="151"/>
      <c r="C2" s="151"/>
      <c r="D2" s="151"/>
      <c r="E2" s="152" t="s">
        <v>78</v>
      </c>
      <c r="F2" s="152"/>
      <c r="G2" s="152"/>
      <c r="H2" s="152"/>
      <c r="I2" s="151" t="s">
        <v>73</v>
      </c>
      <c r="J2" s="151"/>
      <c r="K2" s="77" t="s">
        <v>81</v>
      </c>
      <c r="L2" s="137"/>
      <c r="M2" s="137"/>
      <c r="N2" s="135" t="s">
        <v>72</v>
      </c>
      <c r="O2" s="135"/>
      <c r="P2" s="134" t="s">
        <v>82</v>
      </c>
      <c r="Q2" s="134"/>
      <c r="R2" s="134"/>
      <c r="S2" s="134"/>
      <c r="T2" s="134"/>
      <c r="U2" s="119"/>
      <c r="V2" s="119"/>
      <c r="W2" s="119"/>
      <c r="X2" s="119"/>
      <c r="Y2" s="120"/>
      <c r="Z2" s="121"/>
      <c r="AA2" s="113">
        <f>IF(AND(C14=""),"",ROUND(AB1/30*D$7,0))</f>
        <v>4730</v>
      </c>
      <c r="AB2" s="113"/>
      <c r="AC2" s="112"/>
      <c r="AD2" s="118"/>
      <c r="AE2" s="118"/>
      <c r="AF2" s="47"/>
      <c r="AG2" s="47"/>
      <c r="AH2" s="47"/>
      <c r="AI2" s="47"/>
      <c r="AJ2" s="47"/>
    </row>
    <row r="3" spans="1:36" ht="21" customHeight="1">
      <c r="A3" s="153" t="s">
        <v>70</v>
      </c>
      <c r="B3" s="154"/>
      <c r="C3" s="154"/>
      <c r="D3" s="154"/>
      <c r="E3" s="155" t="s">
        <v>79</v>
      </c>
      <c r="F3" s="155"/>
      <c r="G3" s="155"/>
      <c r="H3" s="154" t="s">
        <v>71</v>
      </c>
      <c r="I3" s="154"/>
      <c r="J3" s="156" t="s">
        <v>80</v>
      </c>
      <c r="K3" s="156"/>
      <c r="L3" s="138"/>
      <c r="M3" s="138"/>
      <c r="N3" s="139" t="s">
        <v>52</v>
      </c>
      <c r="O3" s="139"/>
      <c r="P3" s="140" t="s">
        <v>83</v>
      </c>
      <c r="Q3" s="140"/>
      <c r="R3" s="104" t="s">
        <v>140</v>
      </c>
      <c r="S3" s="141" t="s">
        <v>84</v>
      </c>
      <c r="T3" s="141"/>
      <c r="U3" s="119"/>
      <c r="V3" s="119"/>
      <c r="W3" s="119"/>
      <c r="X3" s="119"/>
      <c r="Y3" s="119"/>
      <c r="Z3" s="119"/>
      <c r="AA3" s="48"/>
      <c r="AB3" s="48"/>
      <c r="AC3" s="47"/>
      <c r="AD3" s="47"/>
      <c r="AE3" s="47"/>
      <c r="AF3" s="47"/>
      <c r="AG3" s="47"/>
      <c r="AH3" s="47"/>
      <c r="AI3" s="47"/>
      <c r="AJ3" s="47"/>
    </row>
    <row r="4" spans="1:36" ht="18.75" customHeight="1">
      <c r="A4" s="145" t="s">
        <v>58</v>
      </c>
      <c r="B4" s="145"/>
      <c r="C4" s="145"/>
      <c r="D4" s="145"/>
      <c r="E4" s="145"/>
      <c r="F4" s="145"/>
      <c r="G4" s="145"/>
      <c r="H4" s="145"/>
      <c r="I4" s="145"/>
      <c r="J4" s="145"/>
      <c r="K4" s="145"/>
      <c r="L4" s="161" t="s">
        <v>137</v>
      </c>
      <c r="M4" s="161"/>
      <c r="N4" s="161"/>
      <c r="O4" s="161"/>
      <c r="P4" s="162" t="s">
        <v>129</v>
      </c>
      <c r="Q4" s="162"/>
      <c r="R4" s="162"/>
      <c r="S4" s="162"/>
      <c r="T4" s="162"/>
      <c r="U4" s="163" t="s">
        <v>74</v>
      </c>
      <c r="V4" s="163"/>
      <c r="W4" s="163"/>
      <c r="X4" s="163"/>
      <c r="Y4" s="163"/>
      <c r="Z4" s="166" t="s">
        <v>130</v>
      </c>
      <c r="AA4" s="159" t="s">
        <v>91</v>
      </c>
      <c r="AB4" s="159" t="s">
        <v>92</v>
      </c>
      <c r="AC4" s="47"/>
      <c r="AD4" s="47"/>
      <c r="AE4" s="47"/>
      <c r="AF4" s="47"/>
      <c r="AG4" s="47"/>
      <c r="AH4" s="47"/>
      <c r="AI4" s="47"/>
      <c r="AJ4" s="47"/>
    </row>
    <row r="5" spans="1:36" ht="17.25" customHeight="1">
      <c r="A5" s="145" t="s">
        <v>53</v>
      </c>
      <c r="B5" s="144" t="s">
        <v>76</v>
      </c>
      <c r="C5" s="145" t="s">
        <v>59</v>
      </c>
      <c r="D5" s="144" t="s">
        <v>75</v>
      </c>
      <c r="E5" s="144" t="s">
        <v>54</v>
      </c>
      <c r="F5" s="144" t="s">
        <v>60</v>
      </c>
      <c r="G5" s="144" t="s">
        <v>55</v>
      </c>
      <c r="H5" s="144" t="s">
        <v>56</v>
      </c>
      <c r="I5" s="144" t="s">
        <v>77</v>
      </c>
      <c r="J5" s="149"/>
      <c r="K5" s="148" t="s">
        <v>57</v>
      </c>
      <c r="L5" s="161"/>
      <c r="M5" s="161"/>
      <c r="N5" s="161"/>
      <c r="O5" s="161"/>
      <c r="P5" s="162"/>
      <c r="Q5" s="162"/>
      <c r="R5" s="162"/>
      <c r="S5" s="162"/>
      <c r="T5" s="162"/>
      <c r="U5" s="163"/>
      <c r="V5" s="163"/>
      <c r="W5" s="163"/>
      <c r="X5" s="163"/>
      <c r="Y5" s="163"/>
      <c r="Z5" s="166"/>
      <c r="AA5" s="159"/>
      <c r="AB5" s="159"/>
      <c r="AC5" s="47"/>
      <c r="AD5" s="47"/>
      <c r="AE5" s="47"/>
      <c r="AF5" s="47"/>
      <c r="AG5" s="47"/>
      <c r="AH5" s="47"/>
      <c r="AI5" s="47"/>
      <c r="AJ5" s="47"/>
    </row>
    <row r="6" spans="1:36" ht="48.75" customHeight="1">
      <c r="A6" s="145"/>
      <c r="B6" s="144"/>
      <c r="C6" s="145"/>
      <c r="D6" s="144"/>
      <c r="E6" s="144"/>
      <c r="F6" s="144"/>
      <c r="G6" s="144"/>
      <c r="H6" s="144"/>
      <c r="I6" s="144"/>
      <c r="J6" s="149"/>
      <c r="K6" s="148"/>
      <c r="L6" s="79" t="s">
        <v>127</v>
      </c>
      <c r="M6" s="80" t="s">
        <v>113</v>
      </c>
      <c r="N6" s="80" t="s">
        <v>114</v>
      </c>
      <c r="O6" s="80" t="s">
        <v>119</v>
      </c>
      <c r="P6" s="85" t="s">
        <v>127</v>
      </c>
      <c r="Q6" s="82" t="s">
        <v>113</v>
      </c>
      <c r="R6" s="82" t="s">
        <v>114</v>
      </c>
      <c r="S6" s="82" t="s">
        <v>119</v>
      </c>
      <c r="T6" s="82" t="s">
        <v>32</v>
      </c>
      <c r="U6" s="90" t="s">
        <v>128</v>
      </c>
      <c r="V6" s="164" t="s">
        <v>116</v>
      </c>
      <c r="W6" s="90" t="s">
        <v>115</v>
      </c>
      <c r="X6" s="91" t="s">
        <v>62</v>
      </c>
      <c r="Y6" s="165" t="s">
        <v>63</v>
      </c>
      <c r="Z6" s="166"/>
      <c r="AA6" s="159"/>
      <c r="AB6" s="159"/>
      <c r="AC6" s="47"/>
      <c r="AD6" s="47"/>
      <c r="AE6" s="47"/>
      <c r="AF6" s="47"/>
      <c r="AG6" s="47"/>
      <c r="AH6" s="47"/>
      <c r="AI6" s="47"/>
      <c r="AJ6" s="47"/>
    </row>
    <row r="7" spans="1:36" ht="24.75" customHeight="1">
      <c r="A7" s="145"/>
      <c r="B7" s="144"/>
      <c r="C7" s="145"/>
      <c r="D7" s="70">
        <v>12900</v>
      </c>
      <c r="E7" s="144"/>
      <c r="F7" s="70">
        <v>10</v>
      </c>
      <c r="G7" s="70"/>
      <c r="H7" s="70"/>
      <c r="I7" s="70"/>
      <c r="J7" s="70"/>
      <c r="K7" s="148"/>
      <c r="L7" s="86">
        <v>12000</v>
      </c>
      <c r="M7" s="86"/>
      <c r="N7" s="86"/>
      <c r="O7" s="86"/>
      <c r="P7" s="85"/>
      <c r="Q7" s="82"/>
      <c r="R7" s="82"/>
      <c r="S7" s="82"/>
      <c r="T7" s="82"/>
      <c r="U7" s="70">
        <v>10</v>
      </c>
      <c r="V7" s="164"/>
      <c r="W7" s="70"/>
      <c r="X7" s="70"/>
      <c r="Y7" s="165"/>
      <c r="Z7" s="166"/>
      <c r="AA7" s="159"/>
      <c r="AB7" s="159"/>
      <c r="AC7" s="47"/>
      <c r="AD7" s="47"/>
      <c r="AE7" s="47"/>
      <c r="AF7" s="47"/>
      <c r="AG7" s="47"/>
      <c r="AH7" s="47"/>
      <c r="AI7" s="47"/>
      <c r="AJ7" s="47"/>
    </row>
    <row r="8" spans="1:36" ht="19.5" customHeight="1">
      <c r="A8" s="49">
        <v>1</v>
      </c>
      <c r="B8" s="105">
        <v>41699</v>
      </c>
      <c r="C8" s="71">
        <f>IF(AND(D$7=""),"",31)</f>
        <v>31</v>
      </c>
      <c r="D8" s="108">
        <f>IF(AND(C8=""),"",C8/31*S$1)</f>
        <v>11100</v>
      </c>
      <c r="E8" s="87"/>
      <c r="F8" s="106"/>
      <c r="G8" s="106"/>
      <c r="H8" s="106"/>
      <c r="I8" s="106"/>
      <c r="J8" s="106"/>
      <c r="K8" s="52">
        <f t="shared" ref="K8:K19" si="0">IF(AND($D$7=""),"",SUM(D8:J8))</f>
        <v>11100</v>
      </c>
      <c r="L8" s="114">
        <f>IF(AND(C8=""),"",C8/31*S$1)</f>
        <v>11100</v>
      </c>
      <c r="M8" s="107"/>
      <c r="N8" s="107"/>
      <c r="O8" s="107"/>
      <c r="P8" s="78">
        <f t="shared" ref="P8:P16" si="1">IF(AND($D$7=""),"",IF(AND(D8=""),"",D8-L8))</f>
        <v>0</v>
      </c>
      <c r="Q8" s="78">
        <f t="shared" ref="Q8:Q13" si="2">IF(AND($D$7=""),"",IF(AND(D8=""),"",E8-M8))</f>
        <v>0</v>
      </c>
      <c r="R8" s="78">
        <f t="shared" ref="R8:R13" si="3">IF(AND($D$7=""),"",IF(AND(D8=""),"",F8-N8))</f>
        <v>0</v>
      </c>
      <c r="S8" s="78">
        <f t="shared" ref="S8:S13" si="4">IF(AND($D$7=""),"",IF(AND(D8=""),"",G8+H8+I8+J8-O8))</f>
        <v>0</v>
      </c>
      <c r="T8" s="78">
        <f t="shared" ref="T8:T14" si="5">IF(AND($D$7=""),"",IF(AND(D8=""),"",SUM(P8+Q8+R8+S8)))</f>
        <v>0</v>
      </c>
      <c r="U8" s="92">
        <f t="shared" ref="U8:U13" si="6">IF(AND($D$7=""),"",IF(AND(L8=""),"",ROUND((T8)*U$7%/1,0)))</f>
        <v>0</v>
      </c>
      <c r="V8" s="83" t="str">
        <f t="shared" ref="V8:V13" si="7">IF(AND($D$7=""),"",IF(AND(T8=0),"",ROUND((D8+E8)*10%/1,0)))</f>
        <v/>
      </c>
      <c r="W8" s="106"/>
      <c r="X8" s="106"/>
      <c r="Y8" s="53" t="str">
        <f t="shared" ref="Y8:Y19" si="8">IF(AND($D$7=""),"",IF(AND(T8=""),"",IF(AND(T8=0),"",ROUND(SUM(U8:X8),0))))</f>
        <v/>
      </c>
      <c r="Z8" s="53" t="str">
        <f t="shared" ref="Z8:Z13" si="9">IF(AND($D$7=""),"",IF(AND(T8=""),"",IF(AND(Y8=""),"",SUM(T8-Y8))))</f>
        <v/>
      </c>
      <c r="AA8" s="115"/>
      <c r="AB8" s="115"/>
      <c r="AC8" s="47"/>
      <c r="AD8" s="47"/>
      <c r="AE8" s="47"/>
      <c r="AF8" s="47"/>
      <c r="AG8" s="47"/>
      <c r="AH8" s="47"/>
      <c r="AI8" s="47"/>
      <c r="AJ8" s="47"/>
    </row>
    <row r="9" spans="1:36" ht="19.5" customHeight="1">
      <c r="A9" s="49">
        <v>2</v>
      </c>
      <c r="B9" s="105">
        <v>41730</v>
      </c>
      <c r="C9" s="71">
        <f>IF(AND(D$7=""),"",30)</f>
        <v>30</v>
      </c>
      <c r="D9" s="108">
        <f>IF(AND(C9=""),"",C9/30*S$1)</f>
        <v>11100</v>
      </c>
      <c r="E9" s="87"/>
      <c r="F9" s="106"/>
      <c r="G9" s="106"/>
      <c r="H9" s="106"/>
      <c r="I9" s="106"/>
      <c r="J9" s="106"/>
      <c r="K9" s="52">
        <f t="shared" si="0"/>
        <v>11100</v>
      </c>
      <c r="L9" s="114">
        <f>IF(AND(C9=""),"",C9/30*S$1)</f>
        <v>11100</v>
      </c>
      <c r="M9" s="107"/>
      <c r="N9" s="107"/>
      <c r="O9" s="107"/>
      <c r="P9" s="78">
        <f t="shared" si="1"/>
        <v>0</v>
      </c>
      <c r="Q9" s="78">
        <f t="shared" si="2"/>
        <v>0</v>
      </c>
      <c r="R9" s="78">
        <f t="shared" si="3"/>
        <v>0</v>
      </c>
      <c r="S9" s="78">
        <f t="shared" si="4"/>
        <v>0</v>
      </c>
      <c r="T9" s="78">
        <f t="shared" si="5"/>
        <v>0</v>
      </c>
      <c r="U9" s="92">
        <f t="shared" si="6"/>
        <v>0</v>
      </c>
      <c r="V9" s="83" t="str">
        <f t="shared" si="7"/>
        <v/>
      </c>
      <c r="W9" s="106"/>
      <c r="X9" s="106"/>
      <c r="Y9" s="53" t="str">
        <f t="shared" si="8"/>
        <v/>
      </c>
      <c r="Z9" s="53" t="str">
        <f t="shared" si="9"/>
        <v/>
      </c>
      <c r="AA9" s="115"/>
      <c r="AB9" s="115"/>
      <c r="AC9" s="47"/>
      <c r="AD9" s="47"/>
      <c r="AE9" s="47"/>
      <c r="AF9" s="47"/>
      <c r="AG9" s="47"/>
      <c r="AH9" s="47"/>
      <c r="AI9" s="47"/>
      <c r="AJ9" s="47"/>
    </row>
    <row r="10" spans="1:36" ht="19.5" customHeight="1">
      <c r="A10" s="49">
        <v>3</v>
      </c>
      <c r="B10" s="105">
        <v>41760</v>
      </c>
      <c r="C10" s="71">
        <f t="shared" ref="C10:C18" si="10">IF(AND(D$7=""),"",31)</f>
        <v>31</v>
      </c>
      <c r="D10" s="108">
        <f>IF(AND(C10=""),"",C10/31*S$1)</f>
        <v>11100</v>
      </c>
      <c r="E10" s="87"/>
      <c r="F10" s="106"/>
      <c r="G10" s="106"/>
      <c r="H10" s="106"/>
      <c r="I10" s="106"/>
      <c r="J10" s="106"/>
      <c r="K10" s="52">
        <f t="shared" si="0"/>
        <v>11100</v>
      </c>
      <c r="L10" s="114">
        <f>IF(AND(C10=""),"",C10/31*S$1)</f>
        <v>11100</v>
      </c>
      <c r="M10" s="107"/>
      <c r="N10" s="107"/>
      <c r="O10" s="107"/>
      <c r="P10" s="78">
        <f t="shared" si="1"/>
        <v>0</v>
      </c>
      <c r="Q10" s="78">
        <f t="shared" si="2"/>
        <v>0</v>
      </c>
      <c r="R10" s="78">
        <f t="shared" si="3"/>
        <v>0</v>
      </c>
      <c r="S10" s="78">
        <f t="shared" si="4"/>
        <v>0</v>
      </c>
      <c r="T10" s="78">
        <f t="shared" si="5"/>
        <v>0</v>
      </c>
      <c r="U10" s="92">
        <f t="shared" si="6"/>
        <v>0</v>
      </c>
      <c r="V10" s="83" t="str">
        <f t="shared" si="7"/>
        <v/>
      </c>
      <c r="W10" s="106"/>
      <c r="X10" s="106"/>
      <c r="Y10" s="53" t="str">
        <f t="shared" si="8"/>
        <v/>
      </c>
      <c r="Z10" s="53" t="str">
        <f t="shared" si="9"/>
        <v/>
      </c>
      <c r="AA10" s="115"/>
      <c r="AB10" s="115"/>
      <c r="AC10" s="47"/>
      <c r="AD10" s="47"/>
      <c r="AE10" s="47"/>
      <c r="AF10" s="47"/>
      <c r="AG10" s="47"/>
      <c r="AH10" s="47"/>
      <c r="AI10" s="47"/>
      <c r="AJ10" s="47"/>
    </row>
    <row r="11" spans="1:36" ht="19.5" customHeight="1">
      <c r="A11" s="49">
        <v>4</v>
      </c>
      <c r="B11" s="105">
        <v>41791</v>
      </c>
      <c r="C11" s="71">
        <f>IF(AND(D$7=""),"",30)</f>
        <v>30</v>
      </c>
      <c r="D11" s="108">
        <f>IF(AND(C11=""),"",C11/30*S$1)</f>
        <v>11100</v>
      </c>
      <c r="E11" s="87"/>
      <c r="F11" s="106"/>
      <c r="G11" s="106"/>
      <c r="H11" s="106"/>
      <c r="I11" s="106"/>
      <c r="J11" s="106"/>
      <c r="K11" s="52">
        <f t="shared" si="0"/>
        <v>11100</v>
      </c>
      <c r="L11" s="114">
        <f>IF(AND(C11=""),"",C11/30*S$1)</f>
        <v>11100</v>
      </c>
      <c r="M11" s="107"/>
      <c r="N11" s="107"/>
      <c r="O11" s="107"/>
      <c r="P11" s="78">
        <f t="shared" si="1"/>
        <v>0</v>
      </c>
      <c r="Q11" s="78">
        <f t="shared" si="2"/>
        <v>0</v>
      </c>
      <c r="R11" s="78">
        <f t="shared" si="3"/>
        <v>0</v>
      </c>
      <c r="S11" s="78">
        <f t="shared" si="4"/>
        <v>0</v>
      </c>
      <c r="T11" s="78">
        <f t="shared" si="5"/>
        <v>0</v>
      </c>
      <c r="U11" s="92">
        <f t="shared" si="6"/>
        <v>0</v>
      </c>
      <c r="V11" s="83" t="str">
        <f t="shared" si="7"/>
        <v/>
      </c>
      <c r="W11" s="106"/>
      <c r="X11" s="106"/>
      <c r="Y11" s="53" t="str">
        <f t="shared" si="8"/>
        <v/>
      </c>
      <c r="Z11" s="53" t="str">
        <f t="shared" si="9"/>
        <v/>
      </c>
      <c r="AA11" s="115"/>
      <c r="AB11" s="115"/>
      <c r="AC11" s="47"/>
      <c r="AD11" s="47"/>
      <c r="AE11" s="47"/>
      <c r="AF11" s="47"/>
      <c r="AG11" s="47"/>
      <c r="AH11" s="47"/>
      <c r="AI11" s="47"/>
      <c r="AJ11" s="47"/>
    </row>
    <row r="12" spans="1:36" ht="19.5" customHeight="1">
      <c r="A12" s="49">
        <v>5</v>
      </c>
      <c r="B12" s="105">
        <v>41821</v>
      </c>
      <c r="C12" s="71">
        <f t="shared" si="10"/>
        <v>31</v>
      </c>
      <c r="D12" s="108">
        <f>IF(AND(C12=""),"",C12/31*S$1)</f>
        <v>11100</v>
      </c>
      <c r="E12" s="87"/>
      <c r="F12" s="106"/>
      <c r="G12" s="106"/>
      <c r="H12" s="106"/>
      <c r="I12" s="106"/>
      <c r="J12" s="106"/>
      <c r="K12" s="52">
        <f t="shared" si="0"/>
        <v>11100</v>
      </c>
      <c r="L12" s="114">
        <f>IF(AND(C12=""),"",C12/31*S$1)</f>
        <v>11100</v>
      </c>
      <c r="M12" s="107"/>
      <c r="N12" s="107"/>
      <c r="O12" s="107"/>
      <c r="P12" s="78">
        <f t="shared" si="1"/>
        <v>0</v>
      </c>
      <c r="Q12" s="78">
        <f t="shared" si="2"/>
        <v>0</v>
      </c>
      <c r="R12" s="78">
        <f t="shared" si="3"/>
        <v>0</v>
      </c>
      <c r="S12" s="78">
        <f t="shared" si="4"/>
        <v>0</v>
      </c>
      <c r="T12" s="78">
        <f t="shared" si="5"/>
        <v>0</v>
      </c>
      <c r="U12" s="92">
        <f t="shared" si="6"/>
        <v>0</v>
      </c>
      <c r="V12" s="83" t="str">
        <f t="shared" si="7"/>
        <v/>
      </c>
      <c r="W12" s="106"/>
      <c r="X12" s="106"/>
      <c r="Y12" s="53" t="str">
        <f t="shared" si="8"/>
        <v/>
      </c>
      <c r="Z12" s="53" t="str">
        <f t="shared" si="9"/>
        <v/>
      </c>
      <c r="AA12" s="115"/>
      <c r="AB12" s="115"/>
      <c r="AC12" s="47"/>
      <c r="AD12" s="47"/>
      <c r="AE12" s="47"/>
      <c r="AF12" s="47"/>
      <c r="AG12" s="47"/>
      <c r="AH12" s="47"/>
      <c r="AI12" s="47"/>
      <c r="AJ12" s="47"/>
    </row>
    <row r="13" spans="1:36" ht="19.5" customHeight="1">
      <c r="A13" s="49">
        <v>6</v>
      </c>
      <c r="B13" s="105">
        <v>41852</v>
      </c>
      <c r="C13" s="71">
        <f t="shared" si="10"/>
        <v>31</v>
      </c>
      <c r="D13" s="108">
        <f>IF(AND(C13=""),"",C13/31*S$1)</f>
        <v>11100</v>
      </c>
      <c r="E13" s="87"/>
      <c r="F13" s="106"/>
      <c r="G13" s="106"/>
      <c r="H13" s="106"/>
      <c r="I13" s="106"/>
      <c r="J13" s="106"/>
      <c r="K13" s="52">
        <f t="shared" si="0"/>
        <v>11100</v>
      </c>
      <c r="L13" s="114">
        <f>IF(AND(C13=""),"",C13/31*S$1)</f>
        <v>11100</v>
      </c>
      <c r="M13" s="107"/>
      <c r="N13" s="107"/>
      <c r="O13" s="107"/>
      <c r="P13" s="78">
        <f t="shared" si="1"/>
        <v>0</v>
      </c>
      <c r="Q13" s="78">
        <f t="shared" si="2"/>
        <v>0</v>
      </c>
      <c r="R13" s="78">
        <f t="shared" si="3"/>
        <v>0</v>
      </c>
      <c r="S13" s="78">
        <f t="shared" si="4"/>
        <v>0</v>
      </c>
      <c r="T13" s="78">
        <f t="shared" si="5"/>
        <v>0</v>
      </c>
      <c r="U13" s="92">
        <f t="shared" si="6"/>
        <v>0</v>
      </c>
      <c r="V13" s="83" t="str">
        <f t="shared" si="7"/>
        <v/>
      </c>
      <c r="W13" s="106"/>
      <c r="X13" s="106"/>
      <c r="Y13" s="53" t="str">
        <f t="shared" si="8"/>
        <v/>
      </c>
      <c r="Z13" s="53" t="str">
        <f t="shared" si="9"/>
        <v/>
      </c>
      <c r="AA13" s="115"/>
      <c r="AB13" s="115"/>
      <c r="AC13" s="47"/>
      <c r="AD13" s="47"/>
      <c r="AE13" s="47"/>
      <c r="AF13" s="47"/>
      <c r="AG13" s="47"/>
      <c r="AH13" s="47"/>
      <c r="AI13" s="47"/>
      <c r="AJ13" s="47"/>
    </row>
    <row r="14" spans="1:36" ht="15.75">
      <c r="A14" s="49">
        <v>7</v>
      </c>
      <c r="B14" s="50">
        <v>41883</v>
      </c>
      <c r="C14" s="71">
        <f>IF(AND(D$7=""),"",30)</f>
        <v>30</v>
      </c>
      <c r="D14" s="109">
        <f>IF(AND(D7=""),"",IF(AND(C14=""),"",ROUND(AB1/30*D$7,0))+ROUND(Z1/30*12000,0))</f>
        <v>12330</v>
      </c>
      <c r="E14" s="51">
        <f>IF(AND($D$7=""),"",IF(AND(D14=""),"",ROUND(AA2*1.07,0)))</f>
        <v>5061</v>
      </c>
      <c r="F14" s="51">
        <f>IF(AND($D$7=""),"",IF(AND(D14=""),"",ROUND(AA2*F$7/100,0)))</f>
        <v>473</v>
      </c>
      <c r="G14" s="74">
        <f>IF(AND(D14=""),"",G7)</f>
        <v>0</v>
      </c>
      <c r="H14" s="74">
        <f>IF(AND(D14=""),"",H7)</f>
        <v>0</v>
      </c>
      <c r="I14" s="74">
        <f>IF(AND(D14=""),"",I7)</f>
        <v>0</v>
      </c>
      <c r="J14" s="74">
        <f>IF(AND(D14=""),"",J7)</f>
        <v>0</v>
      </c>
      <c r="K14" s="52">
        <f t="shared" si="0"/>
        <v>17864</v>
      </c>
      <c r="L14" s="75">
        <f>IF(AND(D14=""),"",C14/30*L7)</f>
        <v>12000</v>
      </c>
      <c r="M14" s="75">
        <f>IF(AND(D14=""),"",M7)</f>
        <v>0</v>
      </c>
      <c r="N14" s="75">
        <f>IF(AND(D14=""),"",N7)</f>
        <v>0</v>
      </c>
      <c r="O14" s="75">
        <f>IF(AND(D14=""),"",O7)</f>
        <v>0</v>
      </c>
      <c r="P14" s="78">
        <f t="shared" si="1"/>
        <v>330</v>
      </c>
      <c r="Q14" s="78">
        <f t="shared" ref="Q14:Q19" si="11">IF(AND($D$7=""),"",IF(AND(D14=""),"",E14-M14))</f>
        <v>5061</v>
      </c>
      <c r="R14" s="78">
        <f t="shared" ref="R14:R19" si="12">IF(AND($D$7=""),"",IF(AND(D14=""),"",F14-N14))</f>
        <v>473</v>
      </c>
      <c r="S14" s="78">
        <f t="shared" ref="S14:S19" si="13">IF(AND($D$7=""),"",IF(AND(D14=""),"",G14+H14+I14+J14-O14))</f>
        <v>0</v>
      </c>
      <c r="T14" s="78">
        <f t="shared" si="5"/>
        <v>5864</v>
      </c>
      <c r="U14" s="126">
        <f t="shared" ref="U14:U19" si="14">IF(AND($D$7=""),"",IF(AND(L14=""),"",(T14)*U$7%/1))</f>
        <v>586.4</v>
      </c>
      <c r="V14" s="127">
        <f>IF(AND($D$7=""),"",IF(AND(D14=""),"",ROUND((AA2+E14)*10%/1,0)))</f>
        <v>979</v>
      </c>
      <c r="W14" s="74">
        <f>IF(AND(D14=""),"",W7)</f>
        <v>0</v>
      </c>
      <c r="X14" s="74">
        <f>IF(AND(D14=""),"",X7)</f>
        <v>0</v>
      </c>
      <c r="Y14" s="53">
        <f t="shared" si="8"/>
        <v>1565</v>
      </c>
      <c r="Z14" s="53">
        <f t="shared" ref="Z14:Z19" si="15">IF(AND($D$7=""),"",IF(AND(T14=""),"",IF(AND(Y14=""),"",ROUND(T14-Y14,0))))</f>
        <v>4299</v>
      </c>
      <c r="AA14" s="76"/>
      <c r="AB14" s="76"/>
      <c r="AC14" s="47"/>
      <c r="AD14" s="47"/>
      <c r="AE14" s="47"/>
      <c r="AF14" s="47"/>
      <c r="AG14" s="47"/>
      <c r="AH14" s="47"/>
      <c r="AI14" s="47"/>
      <c r="AJ14" s="47"/>
    </row>
    <row r="15" spans="1:36" ht="19.5" customHeight="1">
      <c r="A15" s="49">
        <v>8</v>
      </c>
      <c r="B15" s="50">
        <v>41913</v>
      </c>
      <c r="C15" s="71">
        <f t="shared" si="10"/>
        <v>31</v>
      </c>
      <c r="D15" s="72">
        <f>IF(AND(C15=""),"",C15/31*D$7)</f>
        <v>12900</v>
      </c>
      <c r="E15" s="51">
        <f>IF(AND($D$7=""),"",IF(AND(D15=""),"",ROUND(D15*1.07,0)))</f>
        <v>13803</v>
      </c>
      <c r="F15" s="51">
        <f>IF(AND($D$7=""),"",IF(AND(D15=""),"",ROUND(D15*F$7/100,0)))</f>
        <v>1290</v>
      </c>
      <c r="G15" s="74">
        <f t="shared" ref="G15:G31" si="16">IF(AND(D15=""),"",G14)</f>
        <v>0</v>
      </c>
      <c r="H15" s="74">
        <f t="shared" ref="H15:H31" si="17">IF(AND(D15=""),"",H14)</f>
        <v>0</v>
      </c>
      <c r="I15" s="74">
        <f t="shared" ref="I15:I31" si="18">IF(AND(D15=""),"",I14)</f>
        <v>0</v>
      </c>
      <c r="J15" s="74">
        <f t="shared" ref="J15:J31" si="19">IF(AND(D15=""),"",J14)</f>
        <v>0</v>
      </c>
      <c r="K15" s="52">
        <f t="shared" si="0"/>
        <v>27993</v>
      </c>
      <c r="L15" s="75">
        <f>IF(AND(D15=""),"",C15/31*L7)</f>
        <v>12000</v>
      </c>
      <c r="M15" s="75">
        <f>IF(AND(D15=""),"",M7)</f>
        <v>0</v>
      </c>
      <c r="N15" s="75">
        <f>IF(AND(D15=""),"",N14)</f>
        <v>0</v>
      </c>
      <c r="O15" s="75">
        <f>IF(AND(D15=""),"",O14)</f>
        <v>0</v>
      </c>
      <c r="P15" s="78">
        <f t="shared" si="1"/>
        <v>900</v>
      </c>
      <c r="Q15" s="78">
        <f t="shared" si="11"/>
        <v>13803</v>
      </c>
      <c r="R15" s="78">
        <f t="shared" si="12"/>
        <v>1290</v>
      </c>
      <c r="S15" s="78">
        <f t="shared" si="13"/>
        <v>0</v>
      </c>
      <c r="T15" s="78">
        <f t="shared" ref="T15:T31" si="20">IF(AND($D$7=""),"",IF(AND(D15=""),"",SUM(P15+Q15+R15+S15)))</f>
        <v>15993</v>
      </c>
      <c r="U15" s="126">
        <f t="shared" si="14"/>
        <v>1599.3000000000002</v>
      </c>
      <c r="V15" s="127">
        <f t="shared" ref="V15:V31" si="21">IF(AND($D$7=""),"",IF(AND(D15=""),"",ROUND((D15+E15)*10%/1,0)))</f>
        <v>2670</v>
      </c>
      <c r="W15" s="74">
        <f>IF(AND(D15=""),"",W14)</f>
        <v>0</v>
      </c>
      <c r="X15" s="74">
        <f>IF(AND(D15=""),"",X14)</f>
        <v>0</v>
      </c>
      <c r="Y15" s="53">
        <f t="shared" si="8"/>
        <v>4269</v>
      </c>
      <c r="Z15" s="53">
        <f t="shared" si="15"/>
        <v>11724</v>
      </c>
      <c r="AA15" s="76"/>
      <c r="AB15" s="76"/>
      <c r="AC15" s="47"/>
      <c r="AD15" s="47"/>
      <c r="AE15" s="47"/>
      <c r="AF15" s="47"/>
      <c r="AG15" s="160" t="s">
        <v>125</v>
      </c>
      <c r="AH15" s="160"/>
      <c r="AI15" s="160"/>
      <c r="AJ15" s="47"/>
    </row>
    <row r="16" spans="1:36" ht="15.75">
      <c r="A16" s="49">
        <v>9</v>
      </c>
      <c r="B16" s="50">
        <v>41944</v>
      </c>
      <c r="C16" s="71">
        <f>IF(AND(D$7=""),"",30)</f>
        <v>30</v>
      </c>
      <c r="D16" s="72">
        <f>IF(AND(C16=""),"",C16/30*D$7)</f>
        <v>12900</v>
      </c>
      <c r="E16" s="51">
        <f>IF(AND($D$7=""),"",IF(AND(D16=""),"",ROUND(D16*1.07,0)))</f>
        <v>13803</v>
      </c>
      <c r="F16" s="51">
        <f>IF(AND($D$7=""),"",IF(AND(D16=""),"",ROUND(D16*F$7/100,0)))</f>
        <v>1290</v>
      </c>
      <c r="G16" s="74">
        <f t="shared" si="16"/>
        <v>0</v>
      </c>
      <c r="H16" s="74">
        <f t="shared" si="17"/>
        <v>0</v>
      </c>
      <c r="I16" s="74">
        <f t="shared" si="18"/>
        <v>0</v>
      </c>
      <c r="J16" s="74">
        <f t="shared" si="19"/>
        <v>0</v>
      </c>
      <c r="K16" s="52">
        <f t="shared" si="0"/>
        <v>27993</v>
      </c>
      <c r="L16" s="75">
        <f>IF(AND(D16=""),"",C16/30*L15)</f>
        <v>12000</v>
      </c>
      <c r="M16" s="75">
        <f>IF(AND(D16=""),"",M15)</f>
        <v>0</v>
      </c>
      <c r="N16" s="75">
        <f>IF(AND(D16=""),"",N15)</f>
        <v>0</v>
      </c>
      <c r="O16" s="75">
        <f>IF(AND(D16=""),"",O15)</f>
        <v>0</v>
      </c>
      <c r="P16" s="78">
        <f t="shared" si="1"/>
        <v>900</v>
      </c>
      <c r="Q16" s="78">
        <f t="shared" si="11"/>
        <v>13803</v>
      </c>
      <c r="R16" s="78">
        <f t="shared" si="12"/>
        <v>1290</v>
      </c>
      <c r="S16" s="78">
        <f t="shared" si="13"/>
        <v>0</v>
      </c>
      <c r="T16" s="78">
        <f t="shared" si="20"/>
        <v>15993</v>
      </c>
      <c r="U16" s="126">
        <f t="shared" si="14"/>
        <v>1599.3000000000002</v>
      </c>
      <c r="V16" s="127">
        <f t="shared" si="21"/>
        <v>2670</v>
      </c>
      <c r="W16" s="74">
        <f>IF(AND(D16=""),"",W15)</f>
        <v>0</v>
      </c>
      <c r="X16" s="74">
        <f>IF(AND(D16=""),"",X15)</f>
        <v>0</v>
      </c>
      <c r="Y16" s="53">
        <f t="shared" si="8"/>
        <v>4269</v>
      </c>
      <c r="Z16" s="53">
        <f t="shared" si="15"/>
        <v>11724</v>
      </c>
      <c r="AA16" s="76"/>
      <c r="AB16" s="76"/>
      <c r="AC16" s="47"/>
      <c r="AD16" s="47"/>
      <c r="AE16" s="47"/>
      <c r="AF16" s="47"/>
      <c r="AG16" s="160"/>
      <c r="AH16" s="160"/>
      <c r="AI16" s="160"/>
      <c r="AJ16" s="47"/>
    </row>
    <row r="17" spans="1:36" ht="15.75">
      <c r="A17" s="49">
        <v>10</v>
      </c>
      <c r="B17" s="50">
        <v>41974</v>
      </c>
      <c r="C17" s="71">
        <f t="shared" si="10"/>
        <v>31</v>
      </c>
      <c r="D17" s="72">
        <f>IF(AND(C17=""),"",C17/31*D$7)</f>
        <v>12900</v>
      </c>
      <c r="E17" s="51">
        <f>IF(AND($D$7=""),"",IF(AND(D17=""),"",ROUND(D17*1.07,0)))</f>
        <v>13803</v>
      </c>
      <c r="F17" s="51">
        <f>IF(AND($D$7=""),"",IF(AND(D17=""),"",ROUND(D17*F$7/100,0)))</f>
        <v>1290</v>
      </c>
      <c r="G17" s="74">
        <f t="shared" si="16"/>
        <v>0</v>
      </c>
      <c r="H17" s="74">
        <f t="shared" si="17"/>
        <v>0</v>
      </c>
      <c r="I17" s="74">
        <f t="shared" si="18"/>
        <v>0</v>
      </c>
      <c r="J17" s="74">
        <f t="shared" si="19"/>
        <v>0</v>
      </c>
      <c r="K17" s="52">
        <f t="shared" si="0"/>
        <v>27993</v>
      </c>
      <c r="L17" s="75">
        <f>IF(AND(D17=""),"",C17/31*L16)</f>
        <v>12000</v>
      </c>
      <c r="M17" s="75">
        <f>IF(AND(D17=""),"",M16)</f>
        <v>0</v>
      </c>
      <c r="N17" s="75">
        <f>IF(AND(D17=""),"",N16)</f>
        <v>0</v>
      </c>
      <c r="O17" s="75">
        <f>IF(AND(D17=""),"",O16)</f>
        <v>0</v>
      </c>
      <c r="P17" s="78">
        <f t="shared" ref="P17:P31" si="22">IF(AND($D$7=""),"",IF(AND(D17=""),"",D17-L17))</f>
        <v>900</v>
      </c>
      <c r="Q17" s="78">
        <f t="shared" si="11"/>
        <v>13803</v>
      </c>
      <c r="R17" s="78">
        <f t="shared" si="12"/>
        <v>1290</v>
      </c>
      <c r="S17" s="78">
        <f t="shared" si="13"/>
        <v>0</v>
      </c>
      <c r="T17" s="78">
        <f t="shared" si="20"/>
        <v>15993</v>
      </c>
      <c r="U17" s="126">
        <f t="shared" si="14"/>
        <v>1599.3000000000002</v>
      </c>
      <c r="V17" s="127">
        <f t="shared" si="21"/>
        <v>2670</v>
      </c>
      <c r="W17" s="74">
        <f>IF(AND(D17=""),"",W16)</f>
        <v>0</v>
      </c>
      <c r="X17" s="74">
        <f>IF(AND(D17=""),"",X16)</f>
        <v>0</v>
      </c>
      <c r="Y17" s="53">
        <f t="shared" si="8"/>
        <v>4269</v>
      </c>
      <c r="Z17" s="53">
        <f t="shared" si="15"/>
        <v>11724</v>
      </c>
      <c r="AA17" s="76"/>
      <c r="AB17" s="76"/>
      <c r="AC17" s="47"/>
      <c r="AD17" s="47"/>
      <c r="AE17" s="47"/>
      <c r="AF17" s="47"/>
      <c r="AG17" s="47"/>
      <c r="AH17" s="47"/>
      <c r="AI17" s="47"/>
      <c r="AJ17" s="47"/>
    </row>
    <row r="18" spans="1:36" ht="15" customHeight="1">
      <c r="A18" s="49">
        <v>11</v>
      </c>
      <c r="B18" s="50">
        <v>42005</v>
      </c>
      <c r="C18" s="71">
        <f t="shared" si="10"/>
        <v>31</v>
      </c>
      <c r="D18" s="72">
        <f>IF(AND(C18=""),"",C18/31*D$7)</f>
        <v>12900</v>
      </c>
      <c r="E18" s="51">
        <f>IF(AND($D$7=""),"",IF(AND(D18=""),"",ROUND(D18*1.13,0)))</f>
        <v>14577</v>
      </c>
      <c r="F18" s="51">
        <f>IF(AND($D$7=""),"",IF(AND(D18=""),"",ROUND(D18*F$7/100,0)))</f>
        <v>1290</v>
      </c>
      <c r="G18" s="74">
        <f t="shared" si="16"/>
        <v>0</v>
      </c>
      <c r="H18" s="74">
        <f t="shared" si="17"/>
        <v>0</v>
      </c>
      <c r="I18" s="74">
        <f t="shared" si="18"/>
        <v>0</v>
      </c>
      <c r="J18" s="74">
        <f t="shared" si="19"/>
        <v>0</v>
      </c>
      <c r="K18" s="52">
        <f t="shared" si="0"/>
        <v>28767</v>
      </c>
      <c r="L18" s="75">
        <f>IF(AND(D18=""),"",C18/31*L17)</f>
        <v>12000</v>
      </c>
      <c r="M18" s="75">
        <f>IF(AND(D18=""),"",M17)</f>
        <v>0</v>
      </c>
      <c r="N18" s="75">
        <f>IF(AND(D18=""),"",N17)</f>
        <v>0</v>
      </c>
      <c r="O18" s="75">
        <f>IF(AND(D18=""),"",O17)</f>
        <v>0</v>
      </c>
      <c r="P18" s="78">
        <f t="shared" si="22"/>
        <v>900</v>
      </c>
      <c r="Q18" s="78">
        <f t="shared" si="11"/>
        <v>14577</v>
      </c>
      <c r="R18" s="78">
        <f t="shared" si="12"/>
        <v>1290</v>
      </c>
      <c r="S18" s="78">
        <f t="shared" si="13"/>
        <v>0</v>
      </c>
      <c r="T18" s="78">
        <f t="shared" si="20"/>
        <v>16767</v>
      </c>
      <c r="U18" s="126">
        <f t="shared" si="14"/>
        <v>1676.7</v>
      </c>
      <c r="V18" s="127">
        <f t="shared" si="21"/>
        <v>2748</v>
      </c>
      <c r="W18" s="74">
        <f>IF(AND(D18=""),"",W17)</f>
        <v>0</v>
      </c>
      <c r="X18" s="74">
        <f>IF(AND(D18=""),"",X17)</f>
        <v>0</v>
      </c>
      <c r="Y18" s="53">
        <f t="shared" si="8"/>
        <v>4425</v>
      </c>
      <c r="Z18" s="53">
        <f t="shared" si="15"/>
        <v>12342</v>
      </c>
      <c r="AA18" s="76"/>
      <c r="AB18" s="76"/>
      <c r="AC18" s="47"/>
      <c r="AD18" s="47"/>
      <c r="AE18" s="47"/>
      <c r="AF18" s="47"/>
      <c r="AG18" s="47"/>
      <c r="AH18" s="47"/>
      <c r="AI18" s="47"/>
      <c r="AJ18" s="47"/>
    </row>
    <row r="19" spans="1:36" ht="15.75">
      <c r="A19" s="49">
        <v>12</v>
      </c>
      <c r="B19" s="50">
        <v>42036</v>
      </c>
      <c r="C19" s="71">
        <f>IF(AND(D$7=""),"",28)</f>
        <v>28</v>
      </c>
      <c r="D19" s="72">
        <f>IF(AND(C19=""),"",C19/28*D$7)</f>
        <v>12900</v>
      </c>
      <c r="E19" s="51">
        <f>IF(AND($D$7=""),"",IF(AND(D19=""),"",ROUND(D19*1.13,0)))</f>
        <v>14577</v>
      </c>
      <c r="F19" s="51">
        <f>IF(AND($D$7=""),"",IF(AND(D19=""),"",ROUND(D19*F$7/100,0)))</f>
        <v>1290</v>
      </c>
      <c r="G19" s="74">
        <f>IF(AND(D19=""),"",G18)</f>
        <v>0</v>
      </c>
      <c r="H19" s="74">
        <f t="shared" si="17"/>
        <v>0</v>
      </c>
      <c r="I19" s="74">
        <f t="shared" si="18"/>
        <v>0</v>
      </c>
      <c r="J19" s="74">
        <f t="shared" si="19"/>
        <v>0</v>
      </c>
      <c r="K19" s="52">
        <f t="shared" si="0"/>
        <v>28767</v>
      </c>
      <c r="L19" s="75">
        <f>IF(AND(D19=""),"",C19/28*L18)</f>
        <v>12000</v>
      </c>
      <c r="M19" s="75">
        <f>IF(AND(D19=""),"",M18)</f>
        <v>0</v>
      </c>
      <c r="N19" s="75">
        <f>IF(AND(D19=""),"",N18)</f>
        <v>0</v>
      </c>
      <c r="O19" s="75">
        <f>IF(AND(D19=""),"",O18)</f>
        <v>0</v>
      </c>
      <c r="P19" s="78">
        <f t="shared" si="22"/>
        <v>900</v>
      </c>
      <c r="Q19" s="78">
        <f t="shared" si="11"/>
        <v>14577</v>
      </c>
      <c r="R19" s="78">
        <f t="shared" si="12"/>
        <v>1290</v>
      </c>
      <c r="S19" s="78">
        <f t="shared" si="13"/>
        <v>0</v>
      </c>
      <c r="T19" s="78">
        <f t="shared" si="20"/>
        <v>16767</v>
      </c>
      <c r="U19" s="126">
        <f t="shared" si="14"/>
        <v>1676.7</v>
      </c>
      <c r="V19" s="127">
        <f t="shared" si="21"/>
        <v>2748</v>
      </c>
      <c r="W19" s="74">
        <f>IF(AND(D19=""),"",W18)</f>
        <v>0</v>
      </c>
      <c r="X19" s="74">
        <f>IF(AND(D19=""),"",X18)</f>
        <v>0</v>
      </c>
      <c r="Y19" s="53">
        <f t="shared" si="8"/>
        <v>4425</v>
      </c>
      <c r="Z19" s="53">
        <f t="shared" si="15"/>
        <v>12342</v>
      </c>
      <c r="AA19" s="76"/>
      <c r="AB19" s="76"/>
      <c r="AC19" s="47"/>
      <c r="AD19" s="47"/>
      <c r="AE19" s="47"/>
      <c r="AF19" s="47"/>
      <c r="AG19" s="47"/>
      <c r="AH19" s="47"/>
      <c r="AI19" s="47"/>
      <c r="AJ19" s="47"/>
    </row>
    <row r="20" spans="1:36" ht="18.75" customHeight="1">
      <c r="A20" s="143" t="s">
        <v>133</v>
      </c>
      <c r="B20" s="143"/>
      <c r="C20" s="143"/>
      <c r="D20" s="54">
        <f t="shared" ref="D20:K20" si="23">IF(AND($D$7=""),"",SUM(D8:D19))</f>
        <v>143430</v>
      </c>
      <c r="E20" s="54">
        <f t="shared" si="23"/>
        <v>75624</v>
      </c>
      <c r="F20" s="54">
        <f t="shared" si="23"/>
        <v>6923</v>
      </c>
      <c r="G20" s="54">
        <f t="shared" si="23"/>
        <v>0</v>
      </c>
      <c r="H20" s="54">
        <f t="shared" si="23"/>
        <v>0</v>
      </c>
      <c r="I20" s="54">
        <f t="shared" si="23"/>
        <v>0</v>
      </c>
      <c r="J20" s="54">
        <f t="shared" si="23"/>
        <v>0</v>
      </c>
      <c r="K20" s="55">
        <f t="shared" si="23"/>
        <v>225977</v>
      </c>
      <c r="L20" s="56">
        <f>SUM(L8:L19)</f>
        <v>138600</v>
      </c>
      <c r="M20" s="56"/>
      <c r="N20" s="56"/>
      <c r="O20" s="56"/>
      <c r="P20" s="81">
        <f>IF(AND($D$7=""),"",IF(AND(D20=""),"",D20-L20))</f>
        <v>4830</v>
      </c>
      <c r="Q20" s="81">
        <f>IF(AND($D$7=""),"",IF(AND(E20=""),"",E20-M20))</f>
        <v>75624</v>
      </c>
      <c r="R20" s="81">
        <f>IF(AND($D$7=""),"",IF(AND(F20=""),"",F20-N20))</f>
        <v>6923</v>
      </c>
      <c r="S20" s="81">
        <f>IF(AND($D$7=""),"",IF(AND(G20=""),"",G20-O20))</f>
        <v>0</v>
      </c>
      <c r="T20" s="81">
        <f>IF(AND($D$7=""),"",IF(AND(D20=""),"",SUM(P20+Q20+R20+S20)))</f>
        <v>87377</v>
      </c>
      <c r="U20" s="54">
        <f t="shared" ref="U20:Z20" si="24">IF(AND($D$7=""),"",SUM(U8:U19))</f>
        <v>8737.7000000000007</v>
      </c>
      <c r="V20" s="54">
        <f t="shared" si="24"/>
        <v>14485</v>
      </c>
      <c r="W20" s="54">
        <f t="shared" si="24"/>
        <v>0</v>
      </c>
      <c r="X20" s="54">
        <f t="shared" si="24"/>
        <v>0</v>
      </c>
      <c r="Y20" s="54">
        <f t="shared" si="24"/>
        <v>23222</v>
      </c>
      <c r="Z20" s="122">
        <f t="shared" si="24"/>
        <v>64155</v>
      </c>
      <c r="AA20" s="57"/>
      <c r="AB20" s="57"/>
      <c r="AC20" s="47"/>
      <c r="AD20" s="47"/>
      <c r="AE20" s="47"/>
      <c r="AF20" s="47"/>
      <c r="AG20" s="47"/>
      <c r="AH20" s="47"/>
      <c r="AI20" s="47"/>
      <c r="AJ20" s="47"/>
    </row>
    <row r="21" spans="1:36" ht="15.75">
      <c r="A21" s="49">
        <v>13</v>
      </c>
      <c r="B21" s="50">
        <v>42064</v>
      </c>
      <c r="C21" s="71">
        <f>IF(AND(D$7=""),"",31)</f>
        <v>31</v>
      </c>
      <c r="D21" s="72">
        <f>IF(AND(C21=""),"",C21/31*D$7)</f>
        <v>12900</v>
      </c>
      <c r="E21" s="51">
        <f>IF(AND($D$7=""),"",IF(AND(D21=""),"",ROUND(D21*1.13,0)))</f>
        <v>14577</v>
      </c>
      <c r="F21" s="51">
        <f>IF(AND($D$7=""),"",IF(AND(D21=""),"",ROUND(D21*F$7/100,0)))</f>
        <v>1290</v>
      </c>
      <c r="G21" s="74">
        <f>IF(AND(D21=""),"",G19)</f>
        <v>0</v>
      </c>
      <c r="H21" s="74">
        <f>IF(AND(D21=""),"",H19)</f>
        <v>0</v>
      </c>
      <c r="I21" s="74">
        <f>IF(AND(D21=""),"",I19)</f>
        <v>0</v>
      </c>
      <c r="J21" s="74">
        <f>IF(AND(D21=""),"",J19)</f>
        <v>0</v>
      </c>
      <c r="K21" s="52">
        <f>IF(AND($D$7=""),"",SUM(D21:J21))</f>
        <v>28767</v>
      </c>
      <c r="L21" s="75">
        <f>IF(AND(D21=""),"",C21/31*L19)</f>
        <v>12000</v>
      </c>
      <c r="M21" s="75">
        <f>IF(AND(D21=""),"",M19)</f>
        <v>0</v>
      </c>
      <c r="N21" s="75">
        <f>IF(AND(D21=""),"",N19)</f>
        <v>0</v>
      </c>
      <c r="O21" s="75">
        <f>IF(AND(D21=""),"",O19)</f>
        <v>0</v>
      </c>
      <c r="P21" s="78">
        <f t="shared" si="22"/>
        <v>900</v>
      </c>
      <c r="Q21" s="78">
        <f t="shared" ref="Q21:Q31" si="25">IF(AND($D$7=""),"",IF(AND(D21=""),"",E21-M21))</f>
        <v>14577</v>
      </c>
      <c r="R21" s="78">
        <f t="shared" ref="R21:R31" si="26">IF(AND($D$7=""),"",IF(AND(D21=""),"",F21-N21))</f>
        <v>1290</v>
      </c>
      <c r="S21" s="78">
        <f t="shared" ref="S21:S31" si="27">IF(AND($D$7=""),"",IF(AND(D21=""),"",G21+H21+I21+J21-O21))</f>
        <v>0</v>
      </c>
      <c r="T21" s="78">
        <f t="shared" si="20"/>
        <v>16767</v>
      </c>
      <c r="U21" s="126">
        <f>IF(AND($D$7=""),"",IF(AND(L21=""),"",(T21)*U$7%/1))</f>
        <v>1676.7</v>
      </c>
      <c r="V21" s="127">
        <f>IF(AND($D$7=""),"",IF(AND(D21=""),"",ROUND((D21+E21)*10%/1,0)))</f>
        <v>2748</v>
      </c>
      <c r="W21" s="74">
        <f>IF(AND(D21=""),"",W19)</f>
        <v>0</v>
      </c>
      <c r="X21" s="74">
        <f>IF(AND(E21=""),"",X19)</f>
        <v>0</v>
      </c>
      <c r="Y21" s="53">
        <f>IF(AND($D$7=""),"",IF(AND(T21=""),"",IF(AND(T21=0),"",ROUND(SUM(U21:X21),0))))</f>
        <v>4425</v>
      </c>
      <c r="Z21" s="53">
        <f>IF(AND($D$7=""),"",IF(AND(T21=""),"",IF(AND(Y21=""),"",ROUND(T21-Y21,0))))</f>
        <v>12342</v>
      </c>
      <c r="AA21" s="76"/>
      <c r="AB21" s="76"/>
      <c r="AC21" s="47"/>
      <c r="AD21" s="47"/>
      <c r="AE21" s="47"/>
      <c r="AF21" s="47"/>
      <c r="AG21" s="47"/>
      <c r="AH21" s="47"/>
      <c r="AI21" s="47"/>
      <c r="AJ21" s="47"/>
    </row>
    <row r="22" spans="1:36" ht="15.75">
      <c r="A22" s="49">
        <v>14</v>
      </c>
      <c r="B22" s="50">
        <v>42095</v>
      </c>
      <c r="C22" s="71">
        <f>IF(AND(D$7=""),"",30)</f>
        <v>30</v>
      </c>
      <c r="D22" s="72">
        <f>IF(AND(C22=""),"",C22/30*D$7)</f>
        <v>12900</v>
      </c>
      <c r="E22" s="51">
        <f>IF(AND($D$7=""),"",IF(AND(D22=""),"",ROUND(D22*1.13,0)))</f>
        <v>14577</v>
      </c>
      <c r="F22" s="51">
        <f>IF(AND($D$7=""),"",IF(AND(D22=""),"",ROUND(D22*F$7/100,0)))</f>
        <v>1290</v>
      </c>
      <c r="G22" s="74">
        <f>IF(AND(D22=""),"",G21)</f>
        <v>0</v>
      </c>
      <c r="H22" s="74">
        <f>IF(AND(D22=""),"",H21)</f>
        <v>0</v>
      </c>
      <c r="I22" s="74">
        <f>IF(AND(D22=""),"",I21)</f>
        <v>0</v>
      </c>
      <c r="J22" s="74">
        <f>IF(AND(D22=""),"",J21)</f>
        <v>0</v>
      </c>
      <c r="K22" s="52">
        <f t="shared" ref="K22:K31" si="28">IF(AND($D$7=""),"",SUM(D22:J22))</f>
        <v>28767</v>
      </c>
      <c r="L22" s="75">
        <f>IF(AND(D22=""),"",C22/30*L21)</f>
        <v>12000</v>
      </c>
      <c r="M22" s="75">
        <f>IF(AND(D22=""),"",M21)</f>
        <v>0</v>
      </c>
      <c r="N22" s="75">
        <f>IF(AND(D22=""),"",N21)</f>
        <v>0</v>
      </c>
      <c r="O22" s="75">
        <f>IF(AND(D22=""),"",O21)</f>
        <v>0</v>
      </c>
      <c r="P22" s="78">
        <f t="shared" si="22"/>
        <v>900</v>
      </c>
      <c r="Q22" s="78">
        <f t="shared" si="25"/>
        <v>14577</v>
      </c>
      <c r="R22" s="78">
        <f t="shared" si="26"/>
        <v>1290</v>
      </c>
      <c r="S22" s="78">
        <f t="shared" si="27"/>
        <v>0</v>
      </c>
      <c r="T22" s="78">
        <f t="shared" si="20"/>
        <v>16767</v>
      </c>
      <c r="U22" s="126">
        <f t="shared" ref="U22:U31" si="29">IF(AND($D$7=""),"",IF(AND(L22=""),"",(T22)*U$7%/1))</f>
        <v>1676.7</v>
      </c>
      <c r="V22" s="127">
        <f t="shared" si="21"/>
        <v>2748</v>
      </c>
      <c r="W22" s="74">
        <f t="shared" ref="W22:X24" si="30">IF(AND(D22=""),"",W21)</f>
        <v>0</v>
      </c>
      <c r="X22" s="74">
        <f t="shared" si="30"/>
        <v>0</v>
      </c>
      <c r="Y22" s="53">
        <f t="shared" ref="Y22:Y31" si="31">IF(AND($D$7=""),"",IF(AND(T22=""),"",IF(AND(T22=0),"",ROUND(SUM(U22:X22),0))))</f>
        <v>4425</v>
      </c>
      <c r="Z22" s="53">
        <f t="shared" ref="Z22:Z32" si="32">IF(AND($D$7=""),"",IF(AND(T22=""),"",IF(AND(Y22=""),"",ROUND(T22-Y22,0))))</f>
        <v>12342</v>
      </c>
      <c r="AA22" s="76"/>
      <c r="AB22" s="76"/>
      <c r="AC22" s="47"/>
      <c r="AD22" s="47"/>
      <c r="AE22" s="47"/>
      <c r="AF22" s="47"/>
      <c r="AG22" s="47"/>
      <c r="AH22" s="47"/>
      <c r="AI22" s="47"/>
      <c r="AJ22" s="47"/>
    </row>
    <row r="23" spans="1:36" ht="15.75">
      <c r="A23" s="49">
        <v>15</v>
      </c>
      <c r="B23" s="50">
        <v>42125</v>
      </c>
      <c r="C23" s="71">
        <f t="shared" ref="C23:C31" si="33">IF(AND(D$7=""),"",31)</f>
        <v>31</v>
      </c>
      <c r="D23" s="72">
        <f>IF(AND(C23=""),"",C23/31*D$7)</f>
        <v>12900</v>
      </c>
      <c r="E23" s="51">
        <f>IF(AND($D$7=""),"",IF(AND(D23=""),"",ROUND(D23*1.13,0)))</f>
        <v>14577</v>
      </c>
      <c r="F23" s="51">
        <f t="shared" ref="F23:F31" si="34">IF(AND($D$7=""),"",IF(AND(D23=""),"",ROUND(D23*F$7/100,0)))</f>
        <v>1290</v>
      </c>
      <c r="G23" s="74">
        <f>IF(AND(D23=""),"",G22)</f>
        <v>0</v>
      </c>
      <c r="H23" s="74">
        <f>IF(AND(D23=""),"",H22)</f>
        <v>0</v>
      </c>
      <c r="I23" s="74">
        <f>IF(AND(D23=""),"",I22)</f>
        <v>0</v>
      </c>
      <c r="J23" s="74">
        <f>IF(AND(D23=""),"",J22)</f>
        <v>0</v>
      </c>
      <c r="K23" s="52">
        <f t="shared" si="28"/>
        <v>28767</v>
      </c>
      <c r="L23" s="75">
        <f>IF(AND(D23=""),"",C23/31*L22)</f>
        <v>12000</v>
      </c>
      <c r="M23" s="75">
        <f t="shared" ref="M23:M31" si="35">IF(AND(D23=""),"",M22)</f>
        <v>0</v>
      </c>
      <c r="N23" s="75">
        <f t="shared" ref="N23:N32" si="36">IF(AND(D23=""),"",N22)</f>
        <v>0</v>
      </c>
      <c r="O23" s="75">
        <f t="shared" ref="O23:O32" si="37">IF(AND(D23=""),"",O22)</f>
        <v>0</v>
      </c>
      <c r="P23" s="78">
        <f t="shared" si="22"/>
        <v>900</v>
      </c>
      <c r="Q23" s="78">
        <f t="shared" si="25"/>
        <v>14577</v>
      </c>
      <c r="R23" s="78">
        <f t="shared" si="26"/>
        <v>1290</v>
      </c>
      <c r="S23" s="78">
        <f t="shared" si="27"/>
        <v>0</v>
      </c>
      <c r="T23" s="78">
        <f t="shared" si="20"/>
        <v>16767</v>
      </c>
      <c r="U23" s="126">
        <f t="shared" si="29"/>
        <v>1676.7</v>
      </c>
      <c r="V23" s="127">
        <f t="shared" si="21"/>
        <v>2748</v>
      </c>
      <c r="W23" s="74">
        <f t="shared" si="30"/>
        <v>0</v>
      </c>
      <c r="X23" s="74">
        <f t="shared" si="30"/>
        <v>0</v>
      </c>
      <c r="Y23" s="53">
        <f t="shared" si="31"/>
        <v>4425</v>
      </c>
      <c r="Z23" s="53">
        <f t="shared" si="32"/>
        <v>12342</v>
      </c>
      <c r="AA23" s="76"/>
      <c r="AB23" s="76"/>
      <c r="AC23" s="47"/>
      <c r="AD23" s="47"/>
      <c r="AE23" s="47"/>
      <c r="AF23" s="47"/>
      <c r="AG23" s="47"/>
      <c r="AH23" s="47"/>
      <c r="AI23" s="47"/>
      <c r="AJ23" s="47"/>
    </row>
    <row r="24" spans="1:36" ht="15.75">
      <c r="A24" s="49">
        <v>16</v>
      </c>
      <c r="B24" s="50">
        <v>42156</v>
      </c>
      <c r="C24" s="71">
        <f>IF(AND(D$7=""),"",30)</f>
        <v>30</v>
      </c>
      <c r="D24" s="72">
        <f>IF(AND(C24=""),"",C24/30*D$7)</f>
        <v>12900</v>
      </c>
      <c r="E24" s="51">
        <f>IF(AND($D$7=""),"",IF(AND(D24=""),"",ROUND(D24*1.13,0)))</f>
        <v>14577</v>
      </c>
      <c r="F24" s="51">
        <f t="shared" si="34"/>
        <v>1290</v>
      </c>
      <c r="G24" s="74">
        <f t="shared" si="16"/>
        <v>0</v>
      </c>
      <c r="H24" s="74">
        <f t="shared" si="17"/>
        <v>0</v>
      </c>
      <c r="I24" s="74">
        <f t="shared" si="18"/>
        <v>0</v>
      </c>
      <c r="J24" s="74">
        <f t="shared" si="19"/>
        <v>0</v>
      </c>
      <c r="K24" s="52">
        <f t="shared" si="28"/>
        <v>28767</v>
      </c>
      <c r="L24" s="75">
        <f>IF(AND(D24=""),"",C24/30*L23)</f>
        <v>12000</v>
      </c>
      <c r="M24" s="75">
        <f t="shared" si="35"/>
        <v>0</v>
      </c>
      <c r="N24" s="75">
        <f t="shared" si="36"/>
        <v>0</v>
      </c>
      <c r="O24" s="75">
        <f t="shared" si="37"/>
        <v>0</v>
      </c>
      <c r="P24" s="78">
        <f t="shared" si="22"/>
        <v>900</v>
      </c>
      <c r="Q24" s="78">
        <f t="shared" si="25"/>
        <v>14577</v>
      </c>
      <c r="R24" s="78">
        <f t="shared" si="26"/>
        <v>1290</v>
      </c>
      <c r="S24" s="78">
        <f t="shared" si="27"/>
        <v>0</v>
      </c>
      <c r="T24" s="78">
        <f t="shared" si="20"/>
        <v>16767</v>
      </c>
      <c r="U24" s="126">
        <f t="shared" si="29"/>
        <v>1676.7</v>
      </c>
      <c r="V24" s="127">
        <f t="shared" si="21"/>
        <v>2748</v>
      </c>
      <c r="W24" s="74">
        <f t="shared" si="30"/>
        <v>0</v>
      </c>
      <c r="X24" s="74">
        <f t="shared" si="30"/>
        <v>0</v>
      </c>
      <c r="Y24" s="53">
        <f t="shared" si="31"/>
        <v>4425</v>
      </c>
      <c r="Z24" s="53">
        <f t="shared" si="32"/>
        <v>12342</v>
      </c>
      <c r="AA24" s="76"/>
      <c r="AB24" s="76"/>
      <c r="AC24" s="47"/>
      <c r="AD24" s="47"/>
      <c r="AE24" s="47"/>
      <c r="AF24" s="47"/>
      <c r="AG24" s="47"/>
      <c r="AH24" s="47"/>
      <c r="AI24" s="47"/>
      <c r="AJ24" s="47"/>
    </row>
    <row r="25" spans="1:36" ht="15" customHeight="1">
      <c r="A25" s="49">
        <v>17</v>
      </c>
      <c r="B25" s="58">
        <v>42186</v>
      </c>
      <c r="C25" s="116">
        <f t="shared" si="33"/>
        <v>31</v>
      </c>
      <c r="D25" s="73">
        <f>IF(AND(D24=""),"",ROUNDUP(ROUND(D24*1.03,0),-1)*C25/31)</f>
        <v>13290</v>
      </c>
      <c r="E25" s="51">
        <f t="shared" ref="E25:E30" si="38">IF(AND($D$7=""),"",IF(AND(D25=""),"",ROUND(D25*1.19,0)))</f>
        <v>15815</v>
      </c>
      <c r="F25" s="51">
        <f t="shared" si="34"/>
        <v>1329</v>
      </c>
      <c r="G25" s="74">
        <f t="shared" si="16"/>
        <v>0</v>
      </c>
      <c r="H25" s="74">
        <f t="shared" si="17"/>
        <v>0</v>
      </c>
      <c r="I25" s="74">
        <f t="shared" si="18"/>
        <v>0</v>
      </c>
      <c r="J25" s="74">
        <f t="shared" si="19"/>
        <v>0</v>
      </c>
      <c r="K25" s="52">
        <f t="shared" si="28"/>
        <v>30434</v>
      </c>
      <c r="L25" s="88">
        <v>13200</v>
      </c>
      <c r="M25" s="75">
        <f t="shared" si="35"/>
        <v>0</v>
      </c>
      <c r="N25" s="75">
        <f t="shared" si="36"/>
        <v>0</v>
      </c>
      <c r="O25" s="75">
        <f t="shared" si="37"/>
        <v>0</v>
      </c>
      <c r="P25" s="78">
        <f>IF(AND($D$7=""),"",IF(AND(D25=""),"",D25-L25))</f>
        <v>90</v>
      </c>
      <c r="Q25" s="78">
        <f t="shared" si="25"/>
        <v>15815</v>
      </c>
      <c r="R25" s="78">
        <f t="shared" si="26"/>
        <v>1329</v>
      </c>
      <c r="S25" s="78">
        <f t="shared" si="27"/>
        <v>0</v>
      </c>
      <c r="T25" s="78">
        <f t="shared" si="20"/>
        <v>17234</v>
      </c>
      <c r="U25" s="126">
        <f t="shared" si="29"/>
        <v>1723.4</v>
      </c>
      <c r="V25" s="127">
        <f t="shared" si="21"/>
        <v>2911</v>
      </c>
      <c r="W25" s="74">
        <f t="shared" ref="W25:W30" si="39">IF(AND(D25=""),"",W24)</f>
        <v>0</v>
      </c>
      <c r="X25" s="74">
        <f t="shared" ref="X25:X30" si="40">IF(AND(E25=""),"",X24)</f>
        <v>0</v>
      </c>
      <c r="Y25" s="53">
        <f t="shared" si="31"/>
        <v>4634</v>
      </c>
      <c r="Z25" s="53">
        <f t="shared" si="32"/>
        <v>12600</v>
      </c>
      <c r="AA25" s="76"/>
      <c r="AB25" s="76"/>
      <c r="AC25" s="47"/>
      <c r="AD25" s="47"/>
      <c r="AE25" s="47"/>
      <c r="AF25" s="47"/>
      <c r="AG25" s="47"/>
      <c r="AH25" s="47"/>
      <c r="AI25" s="47"/>
      <c r="AJ25" s="47"/>
    </row>
    <row r="26" spans="1:36" ht="15.75">
      <c r="A26" s="49">
        <v>18</v>
      </c>
      <c r="B26" s="50">
        <v>42217</v>
      </c>
      <c r="C26" s="71">
        <f t="shared" si="33"/>
        <v>31</v>
      </c>
      <c r="D26" s="72">
        <f>IF(AND(C26=""),"",C26/31*D$25)</f>
        <v>13290</v>
      </c>
      <c r="E26" s="51">
        <f t="shared" si="38"/>
        <v>15815</v>
      </c>
      <c r="F26" s="51">
        <f t="shared" si="34"/>
        <v>1329</v>
      </c>
      <c r="G26" s="74">
        <f t="shared" si="16"/>
        <v>0</v>
      </c>
      <c r="H26" s="74">
        <f t="shared" si="17"/>
        <v>0</v>
      </c>
      <c r="I26" s="74">
        <f t="shared" si="18"/>
        <v>0</v>
      </c>
      <c r="J26" s="74">
        <f t="shared" si="19"/>
        <v>0</v>
      </c>
      <c r="K26" s="52">
        <f t="shared" si="28"/>
        <v>30434</v>
      </c>
      <c r="L26" s="75">
        <f t="shared" ref="L26:L31" si="41">IF(AND(D26=""),"",C26/31*L25)</f>
        <v>13200</v>
      </c>
      <c r="M26" s="75">
        <f t="shared" si="35"/>
        <v>0</v>
      </c>
      <c r="N26" s="75">
        <f t="shared" si="36"/>
        <v>0</v>
      </c>
      <c r="O26" s="75">
        <f t="shared" si="37"/>
        <v>0</v>
      </c>
      <c r="P26" s="78">
        <f t="shared" si="22"/>
        <v>90</v>
      </c>
      <c r="Q26" s="78">
        <f t="shared" si="25"/>
        <v>15815</v>
      </c>
      <c r="R26" s="78">
        <f t="shared" si="26"/>
        <v>1329</v>
      </c>
      <c r="S26" s="78">
        <f t="shared" si="27"/>
        <v>0</v>
      </c>
      <c r="T26" s="78">
        <f t="shared" si="20"/>
        <v>17234</v>
      </c>
      <c r="U26" s="126">
        <f t="shared" si="29"/>
        <v>1723.4</v>
      </c>
      <c r="V26" s="127">
        <f t="shared" si="21"/>
        <v>2911</v>
      </c>
      <c r="W26" s="74">
        <f t="shared" si="39"/>
        <v>0</v>
      </c>
      <c r="X26" s="74">
        <f t="shared" si="40"/>
        <v>0</v>
      </c>
      <c r="Y26" s="53">
        <f t="shared" si="31"/>
        <v>4634</v>
      </c>
      <c r="Z26" s="53">
        <f t="shared" si="32"/>
        <v>12600</v>
      </c>
      <c r="AA26" s="76"/>
      <c r="AB26" s="76"/>
      <c r="AC26" s="47"/>
      <c r="AD26" s="47"/>
      <c r="AE26" s="47"/>
      <c r="AF26" s="47"/>
      <c r="AG26" s="47"/>
      <c r="AH26" s="47"/>
      <c r="AI26" s="47"/>
      <c r="AJ26" s="47"/>
    </row>
    <row r="27" spans="1:36" ht="15.75">
      <c r="A27" s="49">
        <v>19</v>
      </c>
      <c r="B27" s="50">
        <v>42248</v>
      </c>
      <c r="C27" s="71">
        <f>IF(AND(D$7=""),"",30)</f>
        <v>30</v>
      </c>
      <c r="D27" s="72">
        <f>IF(AND(C27=""),"",C27/30*D$25)</f>
        <v>13290</v>
      </c>
      <c r="E27" s="51">
        <f t="shared" si="38"/>
        <v>15815</v>
      </c>
      <c r="F27" s="51">
        <f t="shared" si="34"/>
        <v>1329</v>
      </c>
      <c r="G27" s="74">
        <f t="shared" si="16"/>
        <v>0</v>
      </c>
      <c r="H27" s="74">
        <f t="shared" si="17"/>
        <v>0</v>
      </c>
      <c r="I27" s="74">
        <f t="shared" si="18"/>
        <v>0</v>
      </c>
      <c r="J27" s="74">
        <f t="shared" si="19"/>
        <v>0</v>
      </c>
      <c r="K27" s="52">
        <f t="shared" si="28"/>
        <v>30434</v>
      </c>
      <c r="L27" s="75">
        <f>IF(AND(D27=""),"",C27/30*L26)</f>
        <v>13200</v>
      </c>
      <c r="M27" s="75">
        <f t="shared" si="35"/>
        <v>0</v>
      </c>
      <c r="N27" s="75">
        <f t="shared" si="36"/>
        <v>0</v>
      </c>
      <c r="O27" s="75">
        <f t="shared" si="37"/>
        <v>0</v>
      </c>
      <c r="P27" s="78">
        <f t="shared" si="22"/>
        <v>90</v>
      </c>
      <c r="Q27" s="78">
        <f t="shared" si="25"/>
        <v>15815</v>
      </c>
      <c r="R27" s="78">
        <f t="shared" si="26"/>
        <v>1329</v>
      </c>
      <c r="S27" s="78">
        <f t="shared" si="27"/>
        <v>0</v>
      </c>
      <c r="T27" s="78">
        <f t="shared" si="20"/>
        <v>17234</v>
      </c>
      <c r="U27" s="126">
        <f t="shared" si="29"/>
        <v>1723.4</v>
      </c>
      <c r="V27" s="127">
        <f t="shared" si="21"/>
        <v>2911</v>
      </c>
      <c r="W27" s="74">
        <f t="shared" si="39"/>
        <v>0</v>
      </c>
      <c r="X27" s="74">
        <f t="shared" si="40"/>
        <v>0</v>
      </c>
      <c r="Y27" s="53">
        <f t="shared" si="31"/>
        <v>4634</v>
      </c>
      <c r="Z27" s="53">
        <f t="shared" si="32"/>
        <v>12600</v>
      </c>
      <c r="AA27" s="76"/>
      <c r="AB27" s="76"/>
      <c r="AC27" s="47"/>
      <c r="AD27" s="47"/>
      <c r="AE27" s="47"/>
      <c r="AF27" s="47"/>
      <c r="AG27" s="47"/>
      <c r="AH27" s="47"/>
      <c r="AI27" s="47"/>
      <c r="AJ27" s="47"/>
    </row>
    <row r="28" spans="1:36" ht="15.75">
      <c r="A28" s="49">
        <v>20</v>
      </c>
      <c r="B28" s="50">
        <v>42278</v>
      </c>
      <c r="C28" s="71">
        <f t="shared" si="33"/>
        <v>31</v>
      </c>
      <c r="D28" s="72">
        <f>IF(AND(C28=""),"",C28/31*D$25)</f>
        <v>13290</v>
      </c>
      <c r="E28" s="51">
        <f t="shared" si="38"/>
        <v>15815</v>
      </c>
      <c r="F28" s="51">
        <f t="shared" si="34"/>
        <v>1329</v>
      </c>
      <c r="G28" s="74">
        <f t="shared" si="16"/>
        <v>0</v>
      </c>
      <c r="H28" s="74">
        <f t="shared" si="17"/>
        <v>0</v>
      </c>
      <c r="I28" s="74">
        <f t="shared" si="18"/>
        <v>0</v>
      </c>
      <c r="J28" s="74">
        <f t="shared" si="19"/>
        <v>0</v>
      </c>
      <c r="K28" s="52">
        <f t="shared" si="28"/>
        <v>30434</v>
      </c>
      <c r="L28" s="75">
        <f t="shared" si="41"/>
        <v>13200</v>
      </c>
      <c r="M28" s="75">
        <f t="shared" si="35"/>
        <v>0</v>
      </c>
      <c r="N28" s="75">
        <f t="shared" si="36"/>
        <v>0</v>
      </c>
      <c r="O28" s="75">
        <f t="shared" si="37"/>
        <v>0</v>
      </c>
      <c r="P28" s="78">
        <f t="shared" si="22"/>
        <v>90</v>
      </c>
      <c r="Q28" s="78">
        <f t="shared" si="25"/>
        <v>15815</v>
      </c>
      <c r="R28" s="78">
        <f t="shared" si="26"/>
        <v>1329</v>
      </c>
      <c r="S28" s="78">
        <f t="shared" si="27"/>
        <v>0</v>
      </c>
      <c r="T28" s="78">
        <f t="shared" si="20"/>
        <v>17234</v>
      </c>
      <c r="U28" s="126">
        <f t="shared" si="29"/>
        <v>1723.4</v>
      </c>
      <c r="V28" s="127">
        <f t="shared" si="21"/>
        <v>2911</v>
      </c>
      <c r="W28" s="74">
        <f t="shared" si="39"/>
        <v>0</v>
      </c>
      <c r="X28" s="74">
        <f t="shared" si="40"/>
        <v>0</v>
      </c>
      <c r="Y28" s="53">
        <f t="shared" si="31"/>
        <v>4634</v>
      </c>
      <c r="Z28" s="53">
        <f t="shared" si="32"/>
        <v>12600</v>
      </c>
      <c r="AA28" s="76"/>
      <c r="AB28" s="76"/>
      <c r="AC28" s="47"/>
      <c r="AD28" s="47"/>
      <c r="AE28" s="47"/>
      <c r="AF28" s="47"/>
      <c r="AG28" s="47"/>
      <c r="AH28" s="47"/>
      <c r="AI28" s="47"/>
      <c r="AJ28" s="47"/>
    </row>
    <row r="29" spans="1:36" ht="15.75">
      <c r="A29" s="49">
        <v>21</v>
      </c>
      <c r="B29" s="50">
        <v>42309</v>
      </c>
      <c r="C29" s="71">
        <f>IF(AND(D$7=""),"",30)</f>
        <v>30</v>
      </c>
      <c r="D29" s="72">
        <f>IF(AND(C29=""),"",C29/30*D$25)</f>
        <v>13290</v>
      </c>
      <c r="E29" s="51">
        <f t="shared" si="38"/>
        <v>15815</v>
      </c>
      <c r="F29" s="51">
        <f t="shared" si="34"/>
        <v>1329</v>
      </c>
      <c r="G29" s="74">
        <f t="shared" si="16"/>
        <v>0</v>
      </c>
      <c r="H29" s="74">
        <f t="shared" si="17"/>
        <v>0</v>
      </c>
      <c r="I29" s="74">
        <f t="shared" si="18"/>
        <v>0</v>
      </c>
      <c r="J29" s="74">
        <f t="shared" si="19"/>
        <v>0</v>
      </c>
      <c r="K29" s="52">
        <f t="shared" si="28"/>
        <v>30434</v>
      </c>
      <c r="L29" s="75">
        <f>IF(AND(D29=""),"",C29/30*L28)</f>
        <v>13200</v>
      </c>
      <c r="M29" s="75">
        <f t="shared" si="35"/>
        <v>0</v>
      </c>
      <c r="N29" s="75">
        <f t="shared" si="36"/>
        <v>0</v>
      </c>
      <c r="O29" s="75">
        <f t="shared" si="37"/>
        <v>0</v>
      </c>
      <c r="P29" s="78">
        <f t="shared" si="22"/>
        <v>90</v>
      </c>
      <c r="Q29" s="78">
        <f t="shared" si="25"/>
        <v>15815</v>
      </c>
      <c r="R29" s="78">
        <f t="shared" si="26"/>
        <v>1329</v>
      </c>
      <c r="S29" s="78">
        <f t="shared" si="27"/>
        <v>0</v>
      </c>
      <c r="T29" s="78">
        <f t="shared" si="20"/>
        <v>17234</v>
      </c>
      <c r="U29" s="126">
        <f t="shared" si="29"/>
        <v>1723.4</v>
      </c>
      <c r="V29" s="127">
        <f t="shared" si="21"/>
        <v>2911</v>
      </c>
      <c r="W29" s="74">
        <f t="shared" si="39"/>
        <v>0</v>
      </c>
      <c r="X29" s="74">
        <f t="shared" si="40"/>
        <v>0</v>
      </c>
      <c r="Y29" s="53">
        <f t="shared" si="31"/>
        <v>4634</v>
      </c>
      <c r="Z29" s="53">
        <f t="shared" si="32"/>
        <v>12600</v>
      </c>
      <c r="AA29" s="76"/>
      <c r="AB29" s="76"/>
      <c r="AC29" s="47"/>
      <c r="AD29" s="47"/>
      <c r="AE29" s="47"/>
      <c r="AF29" s="47"/>
      <c r="AG29" s="47"/>
      <c r="AH29" s="47"/>
      <c r="AI29" s="47"/>
      <c r="AJ29" s="47"/>
    </row>
    <row r="30" spans="1:36" ht="15.75">
      <c r="A30" s="49">
        <v>22</v>
      </c>
      <c r="B30" s="50">
        <v>42339</v>
      </c>
      <c r="C30" s="71">
        <f t="shared" si="33"/>
        <v>31</v>
      </c>
      <c r="D30" s="72">
        <f>IF(AND(C30=""),"",C30/31*D$25)</f>
        <v>13290</v>
      </c>
      <c r="E30" s="51">
        <f t="shared" si="38"/>
        <v>15815</v>
      </c>
      <c r="F30" s="51">
        <f t="shared" si="34"/>
        <v>1329</v>
      </c>
      <c r="G30" s="74">
        <f t="shared" si="16"/>
        <v>0</v>
      </c>
      <c r="H30" s="74">
        <f t="shared" si="17"/>
        <v>0</v>
      </c>
      <c r="I30" s="74">
        <f t="shared" si="18"/>
        <v>0</v>
      </c>
      <c r="J30" s="74">
        <f t="shared" si="19"/>
        <v>0</v>
      </c>
      <c r="K30" s="52">
        <f t="shared" si="28"/>
        <v>30434</v>
      </c>
      <c r="L30" s="75">
        <f>IF(AND(D30=""),"",C30/31*L29)</f>
        <v>13200</v>
      </c>
      <c r="M30" s="75">
        <f t="shared" si="35"/>
        <v>0</v>
      </c>
      <c r="N30" s="75">
        <f t="shared" si="36"/>
        <v>0</v>
      </c>
      <c r="O30" s="75">
        <f t="shared" si="37"/>
        <v>0</v>
      </c>
      <c r="P30" s="78">
        <f t="shared" si="22"/>
        <v>90</v>
      </c>
      <c r="Q30" s="78">
        <f t="shared" si="25"/>
        <v>15815</v>
      </c>
      <c r="R30" s="78">
        <f t="shared" si="26"/>
        <v>1329</v>
      </c>
      <c r="S30" s="78">
        <f t="shared" si="27"/>
        <v>0</v>
      </c>
      <c r="T30" s="78">
        <f t="shared" si="20"/>
        <v>17234</v>
      </c>
      <c r="U30" s="126">
        <f t="shared" si="29"/>
        <v>1723.4</v>
      </c>
      <c r="V30" s="127">
        <f t="shared" si="21"/>
        <v>2911</v>
      </c>
      <c r="W30" s="74">
        <f t="shared" si="39"/>
        <v>0</v>
      </c>
      <c r="X30" s="74">
        <f t="shared" si="40"/>
        <v>0</v>
      </c>
      <c r="Y30" s="53">
        <f t="shared" si="31"/>
        <v>4634</v>
      </c>
      <c r="Z30" s="53">
        <f t="shared" si="32"/>
        <v>12600</v>
      </c>
      <c r="AA30" s="76"/>
      <c r="AB30" s="76"/>
      <c r="AC30" s="47"/>
      <c r="AD30" s="47"/>
      <c r="AE30" s="47"/>
      <c r="AF30" s="47"/>
      <c r="AG30" s="47"/>
      <c r="AH30" s="47"/>
      <c r="AI30" s="47"/>
      <c r="AJ30" s="47"/>
    </row>
    <row r="31" spans="1:36" ht="15" customHeight="1">
      <c r="A31" s="49">
        <v>23</v>
      </c>
      <c r="B31" s="50">
        <v>42370</v>
      </c>
      <c r="C31" s="71">
        <f t="shared" si="33"/>
        <v>31</v>
      </c>
      <c r="D31" s="72">
        <f>IF(AND(C31=""),"",C31/31*D$25)</f>
        <v>13290</v>
      </c>
      <c r="E31" s="51">
        <f>IF(AND($D$7=""),"",IF(AND(D31=""),"",ROUND(D31*1.25,0)))</f>
        <v>16613</v>
      </c>
      <c r="F31" s="51">
        <f t="shared" si="34"/>
        <v>1329</v>
      </c>
      <c r="G31" s="74">
        <f t="shared" si="16"/>
        <v>0</v>
      </c>
      <c r="H31" s="74">
        <f t="shared" si="17"/>
        <v>0</v>
      </c>
      <c r="I31" s="74">
        <f t="shared" si="18"/>
        <v>0</v>
      </c>
      <c r="J31" s="74">
        <f t="shared" si="19"/>
        <v>0</v>
      </c>
      <c r="K31" s="52">
        <f t="shared" si="28"/>
        <v>31232</v>
      </c>
      <c r="L31" s="75">
        <f t="shared" si="41"/>
        <v>13200</v>
      </c>
      <c r="M31" s="75">
        <f t="shared" si="35"/>
        <v>0</v>
      </c>
      <c r="N31" s="75">
        <f t="shared" si="36"/>
        <v>0</v>
      </c>
      <c r="O31" s="75">
        <f t="shared" si="37"/>
        <v>0</v>
      </c>
      <c r="P31" s="78">
        <f t="shared" si="22"/>
        <v>90</v>
      </c>
      <c r="Q31" s="78">
        <f t="shared" si="25"/>
        <v>16613</v>
      </c>
      <c r="R31" s="78">
        <f t="shared" si="26"/>
        <v>1329</v>
      </c>
      <c r="S31" s="78">
        <f t="shared" si="27"/>
        <v>0</v>
      </c>
      <c r="T31" s="78">
        <f t="shared" si="20"/>
        <v>18032</v>
      </c>
      <c r="U31" s="126">
        <f t="shared" si="29"/>
        <v>1803.2</v>
      </c>
      <c r="V31" s="127">
        <f t="shared" si="21"/>
        <v>2990</v>
      </c>
      <c r="W31" s="74">
        <f>IF(AND(D31=""),"",W30)</f>
        <v>0</v>
      </c>
      <c r="X31" s="74">
        <f>IF(AND(E31=""),"",X30)</f>
        <v>0</v>
      </c>
      <c r="Y31" s="53">
        <f t="shared" si="31"/>
        <v>4793</v>
      </c>
      <c r="Z31" s="53">
        <f t="shared" si="32"/>
        <v>13239</v>
      </c>
      <c r="AA31" s="76"/>
      <c r="AB31" s="76"/>
      <c r="AC31" s="47"/>
      <c r="AD31" s="47"/>
      <c r="AE31" s="47"/>
      <c r="AF31" s="47"/>
      <c r="AG31" s="47"/>
      <c r="AH31" s="47"/>
      <c r="AI31" s="47"/>
      <c r="AJ31" s="47"/>
    </row>
    <row r="32" spans="1:36" ht="15" customHeight="1">
      <c r="A32" s="49">
        <v>24</v>
      </c>
      <c r="B32" s="50">
        <v>42401</v>
      </c>
      <c r="C32" s="71">
        <f>IF(AND(D$7=""),"",29)</f>
        <v>29</v>
      </c>
      <c r="D32" s="72">
        <f>IF(AND(C32=""),"",C32/29*D$25)</f>
        <v>13290</v>
      </c>
      <c r="E32" s="51">
        <f>IF(AND($D$7=""),"",IF(AND(D32=""),"",ROUND(D32*1.25,0)))</f>
        <v>16613</v>
      </c>
      <c r="F32" s="51">
        <f>IF(AND($D$7=""),"",IF(AND(D32=""),"",ROUND(D32*F$7/100,0)))</f>
        <v>1329</v>
      </c>
      <c r="G32" s="74">
        <f>IF(AND(D32=""),"",G31)</f>
        <v>0</v>
      </c>
      <c r="H32" s="74">
        <f>IF(AND(D32=""),"",H31)</f>
        <v>0</v>
      </c>
      <c r="I32" s="74">
        <f>IF(AND(D32=""),"",I31)</f>
        <v>0</v>
      </c>
      <c r="J32" s="74">
        <f>IF(AND(D32=""),"",J31)</f>
        <v>0</v>
      </c>
      <c r="K32" s="52">
        <f>IF(AND($D$7=""),"",SUM(D32:J32))</f>
        <v>31232</v>
      </c>
      <c r="L32" s="75">
        <f>IF(AND(D32=""),"",C32/29*L31)</f>
        <v>13200</v>
      </c>
      <c r="M32" s="75">
        <f>IF(AND(D32=""),"",M31)</f>
        <v>0</v>
      </c>
      <c r="N32" s="75">
        <f t="shared" si="36"/>
        <v>0</v>
      </c>
      <c r="O32" s="75">
        <f t="shared" si="37"/>
        <v>0</v>
      </c>
      <c r="P32" s="78">
        <f>IF(AND($D$7=""),"",IF(AND(D32=""),"",D32-L32))</f>
        <v>90</v>
      </c>
      <c r="Q32" s="78">
        <f>IF(AND($D$7=""),"",IF(AND(D32=""),"",E32-M32))</f>
        <v>16613</v>
      </c>
      <c r="R32" s="78">
        <f>IF(AND($D$7=""),"",IF(AND(D32=""),"",F32-N32))</f>
        <v>1329</v>
      </c>
      <c r="S32" s="78">
        <f>IF(AND($D$7=""),"",IF(AND(D32=""),"",G32+H32+I32+J32-O32))</f>
        <v>0</v>
      </c>
      <c r="T32" s="78">
        <f>IF(AND($D$7=""),"",IF(AND(D32=""),"",SUM(P32+Q32+R32+S32)))</f>
        <v>18032</v>
      </c>
      <c r="U32" s="126">
        <f>IF(AND($D$7=""),"",IF(AND(L32=""),"",(T32)*U$7%/1))</f>
        <v>1803.2</v>
      </c>
      <c r="V32" s="127">
        <f>IF(AND($D$7=""),"",IF(AND(D32=""),"",ROUND((D32+E32)*10%/1,0)))</f>
        <v>2990</v>
      </c>
      <c r="W32" s="74">
        <f>IF(AND(D32=""),"",W31)</f>
        <v>0</v>
      </c>
      <c r="X32" s="74">
        <f>IF(AND(E32=""),"",X31)</f>
        <v>0</v>
      </c>
      <c r="Y32" s="53">
        <f>IF(AND($D$7=""),"",IF(AND(T32=""),"",IF(AND(T32=0),"",ROUND(SUM(U32:X32),0))))</f>
        <v>4793</v>
      </c>
      <c r="Z32" s="53">
        <f t="shared" si="32"/>
        <v>13239</v>
      </c>
      <c r="AA32" s="76"/>
      <c r="AB32" s="76"/>
      <c r="AC32" s="47"/>
      <c r="AD32" s="47"/>
      <c r="AE32" s="47"/>
      <c r="AF32" s="47"/>
      <c r="AG32" s="47"/>
      <c r="AH32" s="47"/>
      <c r="AI32" s="47"/>
      <c r="AJ32" s="47"/>
    </row>
    <row r="33" spans="1:36" ht="18.75" customHeight="1">
      <c r="A33" s="143" t="s">
        <v>134</v>
      </c>
      <c r="B33" s="143"/>
      <c r="C33" s="143"/>
      <c r="D33" s="54">
        <f>IF(AND($D$7=""),"",SUM(D21:D32))</f>
        <v>157920</v>
      </c>
      <c r="E33" s="54">
        <f t="shared" ref="E33:J33" si="42">IF(AND($D$7=""),"",SUM(E21:E32))</f>
        <v>186424</v>
      </c>
      <c r="F33" s="54">
        <f t="shared" si="42"/>
        <v>15792</v>
      </c>
      <c r="G33" s="54">
        <f t="shared" si="42"/>
        <v>0</v>
      </c>
      <c r="H33" s="54">
        <f t="shared" si="42"/>
        <v>0</v>
      </c>
      <c r="I33" s="54">
        <f t="shared" si="42"/>
        <v>0</v>
      </c>
      <c r="J33" s="54">
        <f t="shared" si="42"/>
        <v>0</v>
      </c>
      <c r="K33" s="55">
        <f>IF(AND($D$7=""),"",SUM(K21:K32))</f>
        <v>360136</v>
      </c>
      <c r="L33" s="56">
        <f>SUM(L21:L32)</f>
        <v>153600</v>
      </c>
      <c r="M33" s="56"/>
      <c r="N33" s="56"/>
      <c r="O33" s="56"/>
      <c r="P33" s="84">
        <f>IF(AND($D$7=""),"",SUM(P21:P32))</f>
        <v>4320</v>
      </c>
      <c r="Q33" s="84">
        <f>IF(AND($D$7=""),"",SUM(Q21:Q32))</f>
        <v>186424</v>
      </c>
      <c r="R33" s="84">
        <f>IF(AND($D$7=""),"",SUM(R21:R32))</f>
        <v>15792</v>
      </c>
      <c r="S33" s="84">
        <f>IF(AND($D$7=""),"",SUM(S21:S32))</f>
        <v>0</v>
      </c>
      <c r="T33" s="84">
        <f t="shared" ref="T33:Z33" si="43">IF(AND($D$7=""),"",SUM(T21:T32))</f>
        <v>206536</v>
      </c>
      <c r="U33" s="54">
        <f>IF(AND($D$7=""),"",SUM(U21:U32))</f>
        <v>20653.600000000002</v>
      </c>
      <c r="V33" s="54">
        <f>IF(AND($D$7=""),"",SUM(V21:V32))</f>
        <v>34438</v>
      </c>
      <c r="W33" s="54">
        <f t="shared" si="43"/>
        <v>0</v>
      </c>
      <c r="X33" s="54">
        <f t="shared" si="43"/>
        <v>0</v>
      </c>
      <c r="Y33" s="54">
        <f>IF(AND($D$7=""),"",SUM(Y21:Y32))</f>
        <v>55090</v>
      </c>
      <c r="Z33" s="54">
        <f t="shared" si="43"/>
        <v>151446</v>
      </c>
      <c r="AA33" s="57"/>
      <c r="AB33" s="57"/>
      <c r="AC33" s="47"/>
      <c r="AD33" s="47"/>
      <c r="AE33" s="47"/>
      <c r="AF33" s="47"/>
      <c r="AG33" s="47"/>
      <c r="AH33" s="47"/>
      <c r="AI33" s="47"/>
      <c r="AJ33" s="47"/>
    </row>
    <row r="34" spans="1:36" ht="15" customHeight="1">
      <c r="A34" s="49">
        <v>25</v>
      </c>
      <c r="B34" s="50">
        <v>42430</v>
      </c>
      <c r="C34" s="71">
        <f>IF(AND(D$7=""),"",31)</f>
        <v>31</v>
      </c>
      <c r="D34" s="72">
        <f>IF(AND(C34=""),"",C34/31*D$25)</f>
        <v>13290</v>
      </c>
      <c r="E34" s="51">
        <f>IF(AND($D$7=""),"",IF(AND(D34=""),"",ROUND(D34*1.25,0)))</f>
        <v>16613</v>
      </c>
      <c r="F34" s="51">
        <f>IF(AND($D$7=""),"",IF(AND(D34=""),"",ROUND(D34*F$7/100,0)))</f>
        <v>1329</v>
      </c>
      <c r="G34" s="74">
        <f>IF(AND(D34=""),"",G32)</f>
        <v>0</v>
      </c>
      <c r="H34" s="74">
        <f>IF(AND(E34=""),"",H32)</f>
        <v>0</v>
      </c>
      <c r="I34" s="74">
        <f>IF(AND(F34=""),"",I32)</f>
        <v>0</v>
      </c>
      <c r="J34" s="74">
        <f>IF(AND(G34=""),"",J32)</f>
        <v>0</v>
      </c>
      <c r="K34" s="52">
        <f>IF(AND($D$7=""),"",SUM(D34:J34))</f>
        <v>31232</v>
      </c>
      <c r="L34" s="75">
        <f>IF(AND(D34=""),"",C34/31*L32)</f>
        <v>13200</v>
      </c>
      <c r="M34" s="75">
        <f>IF(AND(D34=""),"",M32)</f>
        <v>0</v>
      </c>
      <c r="N34" s="75">
        <f>IF(AND(D34=""),"",N32)</f>
        <v>0</v>
      </c>
      <c r="O34" s="75">
        <f>IF(AND(E34=""),"",O32)</f>
        <v>0</v>
      </c>
      <c r="P34" s="78">
        <f>IF(AND($D$7=""),"",IF(AND(D34=""),"",D34-L34))</f>
        <v>90</v>
      </c>
      <c r="Q34" s="78">
        <f>IF(AND($D$7=""),"",IF(AND(E34=""),"",E34-M34))</f>
        <v>16613</v>
      </c>
      <c r="R34" s="78">
        <f>IF(AND($D$7=""),"",IF(AND(F34=""),"",F34-N34))</f>
        <v>1329</v>
      </c>
      <c r="S34" s="78">
        <f>IF(AND($D$7=""),"",IF(AND(G34=""),"",G34-O34))</f>
        <v>0</v>
      </c>
      <c r="T34" s="78">
        <f>IF(AND($D$7=""),"",IF(AND(D34=""),"",SUM(P34+Q34+R34+S34)))</f>
        <v>18032</v>
      </c>
      <c r="U34" s="126">
        <f>IF(AND($D$7=""),"",IF(AND(L34=""),"",(T34)*U$7%/1))</f>
        <v>1803.2</v>
      </c>
      <c r="V34" s="127">
        <f>IF(AND($D$7=""),"",IF(AND(D34=""),"",ROUND((D34+E34)*10%/1,0)))</f>
        <v>2990</v>
      </c>
      <c r="W34" s="74">
        <f>IF(AND(D34=""),"",W32)</f>
        <v>0</v>
      </c>
      <c r="X34" s="74">
        <f>IF(AND(E34=""),"",X32)</f>
        <v>0</v>
      </c>
      <c r="Y34" s="53">
        <f>IF(AND($D$7=""),"",IF(AND(T34=""),"",IF(AND(T34=""),"",ROUND(SUM(U34:X34),0))))</f>
        <v>4793</v>
      </c>
      <c r="Z34" s="53">
        <f>IF(AND($D$7=""),"",IF(AND(T34=""),"",IF(AND(Y34=""),"",ROUND(T34-Y34,0))))</f>
        <v>13239</v>
      </c>
      <c r="AA34" s="76"/>
      <c r="AB34" s="76"/>
      <c r="AC34" s="47"/>
      <c r="AD34" s="47"/>
      <c r="AE34" s="47"/>
      <c r="AF34" s="47"/>
      <c r="AG34" s="47"/>
      <c r="AH34" s="47"/>
      <c r="AI34" s="47"/>
      <c r="AJ34" s="47"/>
    </row>
    <row r="35" spans="1:36" ht="15" customHeight="1">
      <c r="A35" s="49">
        <v>26</v>
      </c>
      <c r="B35" s="50">
        <v>42461</v>
      </c>
      <c r="C35" s="71">
        <f>IF(AND(D$7=""),"",30)</f>
        <v>30</v>
      </c>
      <c r="D35" s="72">
        <f>IF(AND(C35=""),"",C35/30*D$25)</f>
        <v>13290</v>
      </c>
      <c r="E35" s="51">
        <f>IF(AND($D$7=""),"",IF(AND(D35=""),"",ROUND(D35*1.25,0)))</f>
        <v>16613</v>
      </c>
      <c r="F35" s="51">
        <f>IF(AND($D$7=""),"",IF(AND(D35=""),"",ROUND(D35*F$7/100,0)))</f>
        <v>1329</v>
      </c>
      <c r="G35" s="74">
        <f t="shared" ref="G35:G45" si="44">IF(AND(D35=""),"",G34)</f>
        <v>0</v>
      </c>
      <c r="H35" s="74">
        <f t="shared" ref="H35:H45" si="45">IF(AND(E35=""),"",H34)</f>
        <v>0</v>
      </c>
      <c r="I35" s="74">
        <f t="shared" ref="I35:I45" si="46">IF(AND(F35=""),"",I34)</f>
        <v>0</v>
      </c>
      <c r="J35" s="74">
        <f t="shared" ref="J35:J45" si="47">IF(AND(G35=""),"",J34)</f>
        <v>0</v>
      </c>
      <c r="K35" s="52">
        <f t="shared" ref="K35:K46" si="48">IF(AND($D$7=""),"",SUM(D35:J35))</f>
        <v>31232</v>
      </c>
      <c r="L35" s="88">
        <v>13290</v>
      </c>
      <c r="M35" s="75">
        <f>IF(AND($D$7=""),"",IF(AND(L35=""),"",ROUND(L35*1.25,0)))</f>
        <v>16613</v>
      </c>
      <c r="N35" s="75">
        <f>IF(AND($D$7=""),"",IF(AND(L35=""),"",ROUND(L35*F$7/100,0)))</f>
        <v>1329</v>
      </c>
      <c r="O35" s="75">
        <f>IF(AND(E35=""),"",O34)</f>
        <v>0</v>
      </c>
      <c r="P35" s="78">
        <f t="shared" ref="P35:P45" si="49">IF(AND($D$7=""),"",IF(AND(D35=""),"",D35-L35))</f>
        <v>0</v>
      </c>
      <c r="Q35" s="78">
        <f t="shared" ref="Q35:Q45" si="50">IF(AND($D$7=""),"",IF(AND(E35=""),"",E35-M35))</f>
        <v>0</v>
      </c>
      <c r="R35" s="78">
        <f t="shared" ref="R35:R45" si="51">IF(AND($D$7=""),"",IF(AND(F35=""),"",F35-N35))</f>
        <v>0</v>
      </c>
      <c r="S35" s="78">
        <f t="shared" ref="S35:S44" si="52">IF(AND($D$7=""),"",IF(AND(G35=""),"",G35-O35))</f>
        <v>0</v>
      </c>
      <c r="T35" s="78">
        <f t="shared" ref="T35:T45" si="53">IF(AND($D$7=""),"",IF(AND(D35=""),"",SUM(P35+Q35+R35+S35)))</f>
        <v>0</v>
      </c>
      <c r="U35" s="126">
        <f t="shared" ref="U35:U45" si="54">IF(AND($D$7=""),"",IF(AND(L35=""),"",(T35)*U$7%/1))</f>
        <v>0</v>
      </c>
      <c r="V35" s="127">
        <f t="shared" ref="V35:V45" si="55">IF(AND($D$7=""),"",IF(AND(D35=""),"",ROUND((D35+E35)*10%/1,0)))</f>
        <v>2990</v>
      </c>
      <c r="W35" s="89">
        <v>1100</v>
      </c>
      <c r="X35" s="89">
        <f>IF(AND(E35=""),"",X34)</f>
        <v>0</v>
      </c>
      <c r="Y35" s="53">
        <f t="shared" ref="Y35:Y45" si="56">IF(AND($D$7=""),"",IF(AND(T35=""),"",IF(AND(T35=""),"",ROUND(SUM(U35:X35),0))))</f>
        <v>4090</v>
      </c>
      <c r="Z35" s="53">
        <f>IF(AND($D$7=""),"",IF(AND(T35=""),"",IF(AND(Y35=""),"",IF(Y35&gt;T35,0,T35-Y35))))</f>
        <v>0</v>
      </c>
      <c r="AA35" s="76"/>
      <c r="AB35" s="76"/>
      <c r="AC35" s="47"/>
      <c r="AD35" s="47"/>
      <c r="AE35" s="47"/>
      <c r="AF35" s="47"/>
      <c r="AG35" s="47"/>
      <c r="AH35" s="47"/>
      <c r="AI35" s="47"/>
      <c r="AJ35" s="47"/>
    </row>
    <row r="36" spans="1:36" ht="15" customHeight="1">
      <c r="A36" s="49">
        <v>27</v>
      </c>
      <c r="B36" s="50">
        <v>42491</v>
      </c>
      <c r="C36" s="71">
        <f t="shared" ref="C36:C44" si="57">IF(AND(D$7=""),"",31)</f>
        <v>31</v>
      </c>
      <c r="D36" s="72">
        <f>IF(AND(C36=""),"",C36/31*D$25)</f>
        <v>13290</v>
      </c>
      <c r="E36" s="51">
        <f>IF(AND($D$7=""),"",IF(AND(D36=""),"",ROUND(D36*1.25,0)))</f>
        <v>16613</v>
      </c>
      <c r="F36" s="51">
        <f t="shared" ref="F36:F45" si="58">IF(AND($D$7=""),"",IF(AND(D36=""),"",ROUND(D36*F$7/100,0)))</f>
        <v>1329</v>
      </c>
      <c r="G36" s="74">
        <f t="shared" si="44"/>
        <v>0</v>
      </c>
      <c r="H36" s="74">
        <f t="shared" si="45"/>
        <v>0</v>
      </c>
      <c r="I36" s="74">
        <f t="shared" si="46"/>
        <v>0</v>
      </c>
      <c r="J36" s="74">
        <f t="shared" si="47"/>
        <v>0</v>
      </c>
      <c r="K36" s="52">
        <f t="shared" si="48"/>
        <v>31232</v>
      </c>
      <c r="L36" s="75">
        <f>IF(AND(D36=""),"",C36/31*L35)</f>
        <v>13290</v>
      </c>
      <c r="M36" s="75">
        <f>IF(AND($D$7=""),"",IF(AND(L36=""),"",ROUND(L36*1.25,0)))</f>
        <v>16613</v>
      </c>
      <c r="N36" s="75">
        <f t="shared" ref="N36:N45" si="59">IF(AND($D$7=""),"",IF(AND(L36=""),"",ROUND(L36*F$7/100,0)))</f>
        <v>1329</v>
      </c>
      <c r="O36" s="75">
        <f t="shared" ref="O36:O45" si="60">IF(AND(E36=""),"",O35)</f>
        <v>0</v>
      </c>
      <c r="P36" s="78">
        <f t="shared" si="49"/>
        <v>0</v>
      </c>
      <c r="Q36" s="78">
        <f t="shared" si="50"/>
        <v>0</v>
      </c>
      <c r="R36" s="78">
        <f t="shared" si="51"/>
        <v>0</v>
      </c>
      <c r="S36" s="78">
        <f t="shared" si="52"/>
        <v>0</v>
      </c>
      <c r="T36" s="78">
        <f t="shared" si="53"/>
        <v>0</v>
      </c>
      <c r="U36" s="126">
        <f t="shared" si="54"/>
        <v>0</v>
      </c>
      <c r="V36" s="127">
        <f t="shared" si="55"/>
        <v>2990</v>
      </c>
      <c r="W36" s="74">
        <f>IF(AND(D36=""),"",W35)</f>
        <v>1100</v>
      </c>
      <c r="X36" s="74">
        <f>IF(AND(E36=""),"",X35)</f>
        <v>0</v>
      </c>
      <c r="Y36" s="53">
        <f>IF(AND($D$7=""),"",IF(AND(T36=""),"",IF(AND(T36=""),"",ROUND(SUM(U36:X36),0))))</f>
        <v>4090</v>
      </c>
      <c r="Z36" s="53">
        <f t="shared" ref="Z36:Z45" si="61">IF(AND($D$7=""),"",IF(AND(T36=""),"",IF(AND(Y36=""),"",IF(Y36&gt;T36,0,T36-Y36))))</f>
        <v>0</v>
      </c>
      <c r="AA36" s="76"/>
      <c r="AB36" s="76"/>
      <c r="AC36" s="47"/>
      <c r="AD36" s="47"/>
      <c r="AE36" s="47"/>
      <c r="AF36" s="47"/>
      <c r="AG36" s="47"/>
      <c r="AH36" s="47"/>
      <c r="AI36" s="47"/>
      <c r="AJ36" s="47"/>
    </row>
    <row r="37" spans="1:36" ht="15" customHeight="1">
      <c r="A37" s="49">
        <v>28</v>
      </c>
      <c r="B37" s="50">
        <v>42522</v>
      </c>
      <c r="C37" s="71">
        <f>IF(AND(D$7=""),"",30)</f>
        <v>30</v>
      </c>
      <c r="D37" s="72">
        <f>IF(AND(C37=""),"",C37/30*D$25)</f>
        <v>13290</v>
      </c>
      <c r="E37" s="51">
        <f>IF(AND($D$7=""),"",IF(AND(D37=""),"",ROUND(D37*1.25,0)))</f>
        <v>16613</v>
      </c>
      <c r="F37" s="51">
        <f t="shared" si="58"/>
        <v>1329</v>
      </c>
      <c r="G37" s="74">
        <f t="shared" si="44"/>
        <v>0</v>
      </c>
      <c r="H37" s="74">
        <f t="shared" si="45"/>
        <v>0</v>
      </c>
      <c r="I37" s="74">
        <f t="shared" si="46"/>
        <v>0</v>
      </c>
      <c r="J37" s="74">
        <f t="shared" si="47"/>
        <v>0</v>
      </c>
      <c r="K37" s="52">
        <f t="shared" si="48"/>
        <v>31232</v>
      </c>
      <c r="L37" s="75">
        <f>IF(AND(D37=""),"",C37/30*L36)</f>
        <v>13290</v>
      </c>
      <c r="M37" s="75">
        <f>IF(AND($D$7=""),"",IF(AND(L37=""),"",ROUND(L37*1.25,0)))</f>
        <v>16613</v>
      </c>
      <c r="N37" s="75">
        <f t="shared" si="59"/>
        <v>1329</v>
      </c>
      <c r="O37" s="75">
        <f t="shared" si="60"/>
        <v>0</v>
      </c>
      <c r="P37" s="78">
        <f t="shared" si="49"/>
        <v>0</v>
      </c>
      <c r="Q37" s="78">
        <f t="shared" si="50"/>
        <v>0</v>
      </c>
      <c r="R37" s="78">
        <f t="shared" si="51"/>
        <v>0</v>
      </c>
      <c r="S37" s="78">
        <f t="shared" si="52"/>
        <v>0</v>
      </c>
      <c r="T37" s="78">
        <f t="shared" si="53"/>
        <v>0</v>
      </c>
      <c r="U37" s="126">
        <f t="shared" si="54"/>
        <v>0</v>
      </c>
      <c r="V37" s="127">
        <f t="shared" si="55"/>
        <v>2990</v>
      </c>
      <c r="W37" s="74">
        <f t="shared" ref="W37:W45" si="62">IF(AND(D37=""),"",W36)</f>
        <v>1100</v>
      </c>
      <c r="X37" s="74">
        <f t="shared" ref="X37:X45" si="63">IF(AND(E37=""),"",X36)</f>
        <v>0</v>
      </c>
      <c r="Y37" s="53">
        <f t="shared" si="56"/>
        <v>4090</v>
      </c>
      <c r="Z37" s="53">
        <f t="shared" si="61"/>
        <v>0</v>
      </c>
      <c r="AA37" s="76"/>
      <c r="AB37" s="76"/>
      <c r="AC37" s="47"/>
      <c r="AD37" s="47"/>
      <c r="AE37" s="47"/>
      <c r="AF37" s="47"/>
      <c r="AG37" s="47"/>
      <c r="AH37" s="47"/>
      <c r="AI37" s="47"/>
      <c r="AJ37" s="47"/>
    </row>
    <row r="38" spans="1:36" ht="15" customHeight="1">
      <c r="A38" s="49">
        <v>29</v>
      </c>
      <c r="B38" s="58">
        <v>42552</v>
      </c>
      <c r="C38" s="116">
        <f t="shared" si="57"/>
        <v>31</v>
      </c>
      <c r="D38" s="73">
        <f>IF(AND(D37=""),"",ROUNDUP(ROUND(D37*1.03,0),-1)*C38/31)</f>
        <v>13690</v>
      </c>
      <c r="E38" s="51">
        <f t="shared" ref="E38:E43" si="64">IF(AND($D$7=""),"",IF(AND(D38=""),"",ROUND(D38*1.32,0)))</f>
        <v>18071</v>
      </c>
      <c r="F38" s="51">
        <f t="shared" si="58"/>
        <v>1369</v>
      </c>
      <c r="G38" s="74">
        <f t="shared" si="44"/>
        <v>0</v>
      </c>
      <c r="H38" s="74">
        <f t="shared" si="45"/>
        <v>0</v>
      </c>
      <c r="I38" s="74">
        <f t="shared" si="46"/>
        <v>0</v>
      </c>
      <c r="J38" s="74">
        <f t="shared" si="47"/>
        <v>0</v>
      </c>
      <c r="K38" s="52">
        <f t="shared" si="48"/>
        <v>33130</v>
      </c>
      <c r="L38" s="88">
        <f>IF(AND(L37=""),"",ROUNDUP(ROUND(L37*1.03,0),-1)*C38/31)</f>
        <v>13690</v>
      </c>
      <c r="M38" s="75">
        <f t="shared" ref="M38:M43" si="65">IF(AND($D$7=""),"",IF(AND(L38=""),"",ROUND(L38*1.32,0)))</f>
        <v>18071</v>
      </c>
      <c r="N38" s="75">
        <f t="shared" si="59"/>
        <v>1369</v>
      </c>
      <c r="O38" s="75">
        <f t="shared" si="60"/>
        <v>0</v>
      </c>
      <c r="P38" s="78">
        <f t="shared" si="49"/>
        <v>0</v>
      </c>
      <c r="Q38" s="78">
        <f t="shared" si="50"/>
        <v>0</v>
      </c>
      <c r="R38" s="78">
        <f t="shared" si="51"/>
        <v>0</v>
      </c>
      <c r="S38" s="78">
        <f t="shared" si="52"/>
        <v>0</v>
      </c>
      <c r="T38" s="78">
        <f t="shared" si="53"/>
        <v>0</v>
      </c>
      <c r="U38" s="126">
        <f t="shared" si="54"/>
        <v>0</v>
      </c>
      <c r="V38" s="127">
        <f t="shared" si="55"/>
        <v>3176</v>
      </c>
      <c r="W38" s="74">
        <f t="shared" si="62"/>
        <v>1100</v>
      </c>
      <c r="X38" s="74">
        <f t="shared" si="63"/>
        <v>0</v>
      </c>
      <c r="Y38" s="53">
        <f t="shared" si="56"/>
        <v>4276</v>
      </c>
      <c r="Z38" s="53">
        <f t="shared" si="61"/>
        <v>0</v>
      </c>
      <c r="AA38" s="76"/>
      <c r="AB38" s="76"/>
      <c r="AC38" s="47"/>
      <c r="AD38" s="47"/>
      <c r="AE38" s="47"/>
      <c r="AF38" s="47"/>
      <c r="AG38" s="47"/>
      <c r="AH38" s="47"/>
      <c r="AI38" s="47"/>
      <c r="AJ38" s="47"/>
    </row>
    <row r="39" spans="1:36" ht="15" customHeight="1">
      <c r="A39" s="49">
        <v>30</v>
      </c>
      <c r="B39" s="50">
        <v>42583</v>
      </c>
      <c r="C39" s="71">
        <f t="shared" si="57"/>
        <v>31</v>
      </c>
      <c r="D39" s="72">
        <f>IF(AND(C39=""),"",C39/31*D$38)</f>
        <v>13690</v>
      </c>
      <c r="E39" s="51">
        <f t="shared" si="64"/>
        <v>18071</v>
      </c>
      <c r="F39" s="51">
        <f t="shared" si="58"/>
        <v>1369</v>
      </c>
      <c r="G39" s="74">
        <f t="shared" si="44"/>
        <v>0</v>
      </c>
      <c r="H39" s="74">
        <f t="shared" si="45"/>
        <v>0</v>
      </c>
      <c r="I39" s="74">
        <f t="shared" si="46"/>
        <v>0</v>
      </c>
      <c r="J39" s="74">
        <f t="shared" si="47"/>
        <v>0</v>
      </c>
      <c r="K39" s="52">
        <f t="shared" si="48"/>
        <v>33130</v>
      </c>
      <c r="L39" s="75">
        <f t="shared" ref="L39:L44" si="66">IF(AND(D39=""),"",C39/31*L38)</f>
        <v>13690</v>
      </c>
      <c r="M39" s="75">
        <f t="shared" si="65"/>
        <v>18071</v>
      </c>
      <c r="N39" s="75">
        <f t="shared" si="59"/>
        <v>1369</v>
      </c>
      <c r="O39" s="75">
        <f t="shared" si="60"/>
        <v>0</v>
      </c>
      <c r="P39" s="78">
        <f t="shared" si="49"/>
        <v>0</v>
      </c>
      <c r="Q39" s="78">
        <f t="shared" si="50"/>
        <v>0</v>
      </c>
      <c r="R39" s="78">
        <f t="shared" si="51"/>
        <v>0</v>
      </c>
      <c r="S39" s="78">
        <f t="shared" si="52"/>
        <v>0</v>
      </c>
      <c r="T39" s="78">
        <f t="shared" si="53"/>
        <v>0</v>
      </c>
      <c r="U39" s="126">
        <f t="shared" si="54"/>
        <v>0</v>
      </c>
      <c r="V39" s="127">
        <f t="shared" si="55"/>
        <v>3176</v>
      </c>
      <c r="W39" s="74">
        <f t="shared" si="62"/>
        <v>1100</v>
      </c>
      <c r="X39" s="74">
        <f t="shared" si="63"/>
        <v>0</v>
      </c>
      <c r="Y39" s="53">
        <f t="shared" si="56"/>
        <v>4276</v>
      </c>
      <c r="Z39" s="53">
        <f t="shared" si="61"/>
        <v>0</v>
      </c>
      <c r="AA39" s="76"/>
      <c r="AB39" s="76"/>
      <c r="AC39" s="47"/>
      <c r="AD39" s="47"/>
      <c r="AE39" s="47"/>
      <c r="AF39" s="47"/>
      <c r="AG39" s="47"/>
      <c r="AH39" s="47"/>
      <c r="AI39" s="47"/>
      <c r="AJ39" s="47"/>
    </row>
    <row r="40" spans="1:36" ht="15" customHeight="1">
      <c r="A40" s="49">
        <v>31</v>
      </c>
      <c r="B40" s="50">
        <v>42614</v>
      </c>
      <c r="C40" s="71">
        <f>IF(AND(D$7=""),"",30)</f>
        <v>30</v>
      </c>
      <c r="D40" s="72">
        <f>IF(AND(C40=""),"",C40/30*D$38)</f>
        <v>13690</v>
      </c>
      <c r="E40" s="51">
        <f t="shared" si="64"/>
        <v>18071</v>
      </c>
      <c r="F40" s="51">
        <f t="shared" si="58"/>
        <v>1369</v>
      </c>
      <c r="G40" s="74">
        <f t="shared" si="44"/>
        <v>0</v>
      </c>
      <c r="H40" s="74">
        <f t="shared" si="45"/>
        <v>0</v>
      </c>
      <c r="I40" s="74">
        <f t="shared" si="46"/>
        <v>0</v>
      </c>
      <c r="J40" s="74">
        <f t="shared" si="47"/>
        <v>0</v>
      </c>
      <c r="K40" s="52">
        <f t="shared" si="48"/>
        <v>33130</v>
      </c>
      <c r="L40" s="75">
        <f>IF(AND(D40=""),"",C40/30*L39)</f>
        <v>13690</v>
      </c>
      <c r="M40" s="75">
        <f t="shared" si="65"/>
        <v>18071</v>
      </c>
      <c r="N40" s="75">
        <f t="shared" si="59"/>
        <v>1369</v>
      </c>
      <c r="O40" s="75">
        <f t="shared" si="60"/>
        <v>0</v>
      </c>
      <c r="P40" s="78">
        <f t="shared" si="49"/>
        <v>0</v>
      </c>
      <c r="Q40" s="78">
        <f t="shared" si="50"/>
        <v>0</v>
      </c>
      <c r="R40" s="78">
        <f t="shared" si="51"/>
        <v>0</v>
      </c>
      <c r="S40" s="78">
        <f t="shared" si="52"/>
        <v>0</v>
      </c>
      <c r="T40" s="78">
        <f t="shared" si="53"/>
        <v>0</v>
      </c>
      <c r="U40" s="126">
        <f>IF(AND($D$7=""),"",IF(AND(L40=""),"",(T40)*U$7%/1))</f>
        <v>0</v>
      </c>
      <c r="V40" s="127">
        <f t="shared" si="55"/>
        <v>3176</v>
      </c>
      <c r="W40" s="74">
        <f t="shared" si="62"/>
        <v>1100</v>
      </c>
      <c r="X40" s="74">
        <f t="shared" si="63"/>
        <v>0</v>
      </c>
      <c r="Y40" s="53">
        <f t="shared" si="56"/>
        <v>4276</v>
      </c>
      <c r="Z40" s="53">
        <f t="shared" si="61"/>
        <v>0</v>
      </c>
      <c r="AA40" s="76"/>
      <c r="AB40" s="76"/>
      <c r="AC40" s="47"/>
      <c r="AD40" s="47"/>
      <c r="AE40" s="47"/>
      <c r="AF40" s="47"/>
      <c r="AG40" s="47"/>
      <c r="AH40" s="47"/>
      <c r="AI40" s="47"/>
      <c r="AJ40" s="47"/>
    </row>
    <row r="41" spans="1:36" ht="15" customHeight="1">
      <c r="A41" s="49">
        <v>32</v>
      </c>
      <c r="B41" s="50">
        <v>42644</v>
      </c>
      <c r="C41" s="71">
        <f t="shared" si="57"/>
        <v>31</v>
      </c>
      <c r="D41" s="72">
        <f>IF(AND(C41=""),"",C41/31*D$38)</f>
        <v>13690</v>
      </c>
      <c r="E41" s="51">
        <f t="shared" si="64"/>
        <v>18071</v>
      </c>
      <c r="F41" s="51">
        <f t="shared" si="58"/>
        <v>1369</v>
      </c>
      <c r="G41" s="74">
        <f t="shared" si="44"/>
        <v>0</v>
      </c>
      <c r="H41" s="74">
        <f t="shared" si="45"/>
        <v>0</v>
      </c>
      <c r="I41" s="74">
        <f t="shared" si="46"/>
        <v>0</v>
      </c>
      <c r="J41" s="74">
        <f t="shared" si="47"/>
        <v>0</v>
      </c>
      <c r="K41" s="52">
        <f t="shared" si="48"/>
        <v>33130</v>
      </c>
      <c r="L41" s="75">
        <f t="shared" si="66"/>
        <v>13690</v>
      </c>
      <c r="M41" s="75">
        <f t="shared" si="65"/>
        <v>18071</v>
      </c>
      <c r="N41" s="75">
        <f t="shared" si="59"/>
        <v>1369</v>
      </c>
      <c r="O41" s="75">
        <f t="shared" si="60"/>
        <v>0</v>
      </c>
      <c r="P41" s="78">
        <f t="shared" si="49"/>
        <v>0</v>
      </c>
      <c r="Q41" s="78">
        <f t="shared" si="50"/>
        <v>0</v>
      </c>
      <c r="R41" s="78">
        <f t="shared" si="51"/>
        <v>0</v>
      </c>
      <c r="S41" s="78">
        <f t="shared" si="52"/>
        <v>0</v>
      </c>
      <c r="T41" s="78">
        <f t="shared" si="53"/>
        <v>0</v>
      </c>
      <c r="U41" s="126">
        <f t="shared" si="54"/>
        <v>0</v>
      </c>
      <c r="V41" s="127">
        <f t="shared" si="55"/>
        <v>3176</v>
      </c>
      <c r="W41" s="74">
        <f t="shared" si="62"/>
        <v>1100</v>
      </c>
      <c r="X41" s="74">
        <f t="shared" si="63"/>
        <v>0</v>
      </c>
      <c r="Y41" s="53">
        <f t="shared" si="56"/>
        <v>4276</v>
      </c>
      <c r="Z41" s="53">
        <f t="shared" si="61"/>
        <v>0</v>
      </c>
      <c r="AA41" s="76"/>
      <c r="AB41" s="76"/>
      <c r="AC41" s="47"/>
      <c r="AD41" s="47"/>
      <c r="AE41" s="47"/>
      <c r="AF41" s="47"/>
      <c r="AG41" s="47"/>
      <c r="AH41" s="47"/>
      <c r="AI41" s="47"/>
      <c r="AJ41" s="47"/>
    </row>
    <row r="42" spans="1:36" ht="15" customHeight="1">
      <c r="A42" s="49">
        <v>33</v>
      </c>
      <c r="B42" s="50">
        <v>42675</v>
      </c>
      <c r="C42" s="71">
        <f>IF(AND(D$7=""),"",30)</f>
        <v>30</v>
      </c>
      <c r="D42" s="72">
        <f>IF(AND(C42=""),"",C42/30*D$38)</f>
        <v>13690</v>
      </c>
      <c r="E42" s="51">
        <f t="shared" si="64"/>
        <v>18071</v>
      </c>
      <c r="F42" s="51">
        <f t="shared" si="58"/>
        <v>1369</v>
      </c>
      <c r="G42" s="74">
        <f t="shared" si="44"/>
        <v>0</v>
      </c>
      <c r="H42" s="74">
        <f t="shared" si="45"/>
        <v>0</v>
      </c>
      <c r="I42" s="74">
        <f t="shared" si="46"/>
        <v>0</v>
      </c>
      <c r="J42" s="74">
        <f t="shared" si="47"/>
        <v>0</v>
      </c>
      <c r="K42" s="52">
        <f t="shared" si="48"/>
        <v>33130</v>
      </c>
      <c r="L42" s="75">
        <f>IF(AND(D42=""),"",C42/30*L41)</f>
        <v>13690</v>
      </c>
      <c r="M42" s="75">
        <f t="shared" si="65"/>
        <v>18071</v>
      </c>
      <c r="N42" s="75">
        <f t="shared" si="59"/>
        <v>1369</v>
      </c>
      <c r="O42" s="75">
        <f t="shared" si="60"/>
        <v>0</v>
      </c>
      <c r="P42" s="78">
        <f t="shared" si="49"/>
        <v>0</v>
      </c>
      <c r="Q42" s="78">
        <f t="shared" si="50"/>
        <v>0</v>
      </c>
      <c r="R42" s="78">
        <f t="shared" si="51"/>
        <v>0</v>
      </c>
      <c r="S42" s="78">
        <f t="shared" si="52"/>
        <v>0</v>
      </c>
      <c r="T42" s="78">
        <f t="shared" si="53"/>
        <v>0</v>
      </c>
      <c r="U42" s="126">
        <f t="shared" si="54"/>
        <v>0</v>
      </c>
      <c r="V42" s="127">
        <f>IF(AND($D$7=""),"",IF(AND(D42=""),"",ROUND((D42+E42)*10%/1,0)))</f>
        <v>3176</v>
      </c>
      <c r="W42" s="74">
        <f t="shared" si="62"/>
        <v>1100</v>
      </c>
      <c r="X42" s="74">
        <f t="shared" si="63"/>
        <v>0</v>
      </c>
      <c r="Y42" s="53">
        <f t="shared" si="56"/>
        <v>4276</v>
      </c>
      <c r="Z42" s="53">
        <f t="shared" si="61"/>
        <v>0</v>
      </c>
      <c r="AA42" s="76"/>
      <c r="AB42" s="76"/>
      <c r="AC42" s="47"/>
      <c r="AD42" s="47"/>
      <c r="AE42" s="47"/>
      <c r="AF42" s="47"/>
      <c r="AG42" s="47"/>
      <c r="AH42" s="47"/>
      <c r="AI42" s="47"/>
      <c r="AJ42" s="47"/>
    </row>
    <row r="43" spans="1:36" ht="15" customHeight="1">
      <c r="A43" s="49">
        <v>34</v>
      </c>
      <c r="B43" s="50">
        <v>42705</v>
      </c>
      <c r="C43" s="71">
        <f t="shared" si="57"/>
        <v>31</v>
      </c>
      <c r="D43" s="72">
        <f>IF(AND(C43=""),"",C43/31*D$38)</f>
        <v>13690</v>
      </c>
      <c r="E43" s="51">
        <f t="shared" si="64"/>
        <v>18071</v>
      </c>
      <c r="F43" s="51">
        <f t="shared" si="58"/>
        <v>1369</v>
      </c>
      <c r="G43" s="74">
        <f t="shared" si="44"/>
        <v>0</v>
      </c>
      <c r="H43" s="74">
        <f t="shared" si="45"/>
        <v>0</v>
      </c>
      <c r="I43" s="74">
        <f t="shared" si="46"/>
        <v>0</v>
      </c>
      <c r="J43" s="74">
        <f t="shared" si="47"/>
        <v>0</v>
      </c>
      <c r="K43" s="52">
        <f t="shared" si="48"/>
        <v>33130</v>
      </c>
      <c r="L43" s="75">
        <f t="shared" si="66"/>
        <v>13690</v>
      </c>
      <c r="M43" s="75">
        <f t="shared" si="65"/>
        <v>18071</v>
      </c>
      <c r="N43" s="75">
        <f t="shared" si="59"/>
        <v>1369</v>
      </c>
      <c r="O43" s="75">
        <f t="shared" si="60"/>
        <v>0</v>
      </c>
      <c r="P43" s="78">
        <f t="shared" si="49"/>
        <v>0</v>
      </c>
      <c r="Q43" s="78">
        <f t="shared" si="50"/>
        <v>0</v>
      </c>
      <c r="R43" s="78">
        <f t="shared" si="51"/>
        <v>0</v>
      </c>
      <c r="S43" s="78">
        <f t="shared" si="52"/>
        <v>0</v>
      </c>
      <c r="T43" s="78">
        <f t="shared" si="53"/>
        <v>0</v>
      </c>
      <c r="U43" s="126">
        <f t="shared" si="54"/>
        <v>0</v>
      </c>
      <c r="V43" s="127">
        <f t="shared" si="55"/>
        <v>3176</v>
      </c>
      <c r="W43" s="74">
        <f t="shared" si="62"/>
        <v>1100</v>
      </c>
      <c r="X43" s="74">
        <f t="shared" si="63"/>
        <v>0</v>
      </c>
      <c r="Y43" s="53">
        <f t="shared" si="56"/>
        <v>4276</v>
      </c>
      <c r="Z43" s="53">
        <f t="shared" si="61"/>
        <v>0</v>
      </c>
      <c r="AA43" s="76"/>
      <c r="AB43" s="76"/>
      <c r="AC43" s="47"/>
      <c r="AD43" s="47"/>
      <c r="AE43" s="47"/>
      <c r="AF43" s="47"/>
      <c r="AG43" s="47"/>
      <c r="AH43" s="47"/>
      <c r="AI43" s="47"/>
      <c r="AJ43" s="47"/>
    </row>
    <row r="44" spans="1:36" ht="15" customHeight="1">
      <c r="A44" s="49">
        <v>35</v>
      </c>
      <c r="B44" s="50">
        <v>42736</v>
      </c>
      <c r="C44" s="71">
        <f t="shared" si="57"/>
        <v>31</v>
      </c>
      <c r="D44" s="72">
        <f>IF(AND(C44=""),"",C44/31*D$38)</f>
        <v>13690</v>
      </c>
      <c r="E44" s="51">
        <f>IF(AND($D$7=""),"",IF(AND(D44=""),"",ROUND(D44*1.36,0)))</f>
        <v>18618</v>
      </c>
      <c r="F44" s="51">
        <f t="shared" si="58"/>
        <v>1369</v>
      </c>
      <c r="G44" s="74">
        <f t="shared" si="44"/>
        <v>0</v>
      </c>
      <c r="H44" s="74">
        <f t="shared" si="45"/>
        <v>0</v>
      </c>
      <c r="I44" s="74">
        <f t="shared" si="46"/>
        <v>0</v>
      </c>
      <c r="J44" s="74">
        <f t="shared" si="47"/>
        <v>0</v>
      </c>
      <c r="K44" s="52">
        <f t="shared" si="48"/>
        <v>33677</v>
      </c>
      <c r="L44" s="75">
        <f t="shared" si="66"/>
        <v>13690</v>
      </c>
      <c r="M44" s="75">
        <f>IF(AND($D$7=""),"",IF(AND(L44=""),"",ROUND(L44*1.36,0)))</f>
        <v>18618</v>
      </c>
      <c r="N44" s="75">
        <f t="shared" si="59"/>
        <v>1369</v>
      </c>
      <c r="O44" s="75">
        <f t="shared" si="60"/>
        <v>0</v>
      </c>
      <c r="P44" s="78">
        <f t="shared" si="49"/>
        <v>0</v>
      </c>
      <c r="Q44" s="78">
        <f t="shared" si="50"/>
        <v>0</v>
      </c>
      <c r="R44" s="78">
        <f t="shared" si="51"/>
        <v>0</v>
      </c>
      <c r="S44" s="78">
        <f t="shared" si="52"/>
        <v>0</v>
      </c>
      <c r="T44" s="78">
        <f t="shared" si="53"/>
        <v>0</v>
      </c>
      <c r="U44" s="126">
        <f t="shared" si="54"/>
        <v>0</v>
      </c>
      <c r="V44" s="127">
        <f t="shared" si="55"/>
        <v>3231</v>
      </c>
      <c r="W44" s="74">
        <f t="shared" si="62"/>
        <v>1100</v>
      </c>
      <c r="X44" s="74">
        <f t="shared" si="63"/>
        <v>0</v>
      </c>
      <c r="Y44" s="53">
        <f t="shared" si="56"/>
        <v>4331</v>
      </c>
      <c r="Z44" s="53">
        <f t="shared" si="61"/>
        <v>0</v>
      </c>
      <c r="AA44" s="76"/>
      <c r="AB44" s="76"/>
      <c r="AC44" s="47"/>
      <c r="AD44" s="47"/>
      <c r="AE44" s="47"/>
      <c r="AF44" s="47"/>
      <c r="AG44" s="47"/>
      <c r="AH44" s="47"/>
      <c r="AI44" s="47"/>
      <c r="AJ44" s="47"/>
    </row>
    <row r="45" spans="1:36" ht="15.75">
      <c r="A45" s="49">
        <v>36</v>
      </c>
      <c r="B45" s="50">
        <v>42767</v>
      </c>
      <c r="C45" s="71">
        <f>IF(AND(D$7=""),"",28)</f>
        <v>28</v>
      </c>
      <c r="D45" s="72">
        <f>IF(AND(C45=""),"",C45/28*D$38)</f>
        <v>13690</v>
      </c>
      <c r="E45" s="51">
        <f>IF(AND($D$7=""),"",IF(AND(D45=""),"",ROUND(D45*1.36,0)))</f>
        <v>18618</v>
      </c>
      <c r="F45" s="51">
        <f t="shared" si="58"/>
        <v>1369</v>
      </c>
      <c r="G45" s="74">
        <f t="shared" si="44"/>
        <v>0</v>
      </c>
      <c r="H45" s="74">
        <f t="shared" si="45"/>
        <v>0</v>
      </c>
      <c r="I45" s="74">
        <f t="shared" si="46"/>
        <v>0</v>
      </c>
      <c r="J45" s="74">
        <f t="shared" si="47"/>
        <v>0</v>
      </c>
      <c r="K45" s="52">
        <f t="shared" si="48"/>
        <v>33677</v>
      </c>
      <c r="L45" s="75">
        <f>IF(AND(D45=""),"",C45/28*L44)</f>
        <v>13690</v>
      </c>
      <c r="M45" s="75">
        <f>IF(AND($D$7=""),"",IF(AND(L45=""),"",ROUND(L45*1.36,0)))</f>
        <v>18618</v>
      </c>
      <c r="N45" s="75">
        <f t="shared" si="59"/>
        <v>1369</v>
      </c>
      <c r="O45" s="75">
        <f t="shared" si="60"/>
        <v>0</v>
      </c>
      <c r="P45" s="78">
        <f t="shared" si="49"/>
        <v>0</v>
      </c>
      <c r="Q45" s="78">
        <f t="shared" si="50"/>
        <v>0</v>
      </c>
      <c r="R45" s="78">
        <f t="shared" si="51"/>
        <v>0</v>
      </c>
      <c r="S45" s="78">
        <f>IF(AND($D$7=""),"",IF(AND(G45=""),"",G45-O45))</f>
        <v>0</v>
      </c>
      <c r="T45" s="78">
        <f t="shared" si="53"/>
        <v>0</v>
      </c>
      <c r="U45" s="126">
        <f t="shared" si="54"/>
        <v>0</v>
      </c>
      <c r="V45" s="127">
        <f t="shared" si="55"/>
        <v>3231</v>
      </c>
      <c r="W45" s="74">
        <f t="shared" si="62"/>
        <v>1100</v>
      </c>
      <c r="X45" s="74">
        <f t="shared" si="63"/>
        <v>0</v>
      </c>
      <c r="Y45" s="53">
        <f t="shared" si="56"/>
        <v>4331</v>
      </c>
      <c r="Z45" s="53">
        <f t="shared" si="61"/>
        <v>0</v>
      </c>
      <c r="AA45" s="76"/>
      <c r="AB45" s="76"/>
      <c r="AC45" s="47"/>
      <c r="AD45" s="47"/>
      <c r="AE45" s="47"/>
      <c r="AF45" s="47"/>
      <c r="AG45" s="47"/>
      <c r="AH45" s="47"/>
      <c r="AI45" s="47"/>
      <c r="AJ45" s="47"/>
    </row>
    <row r="46" spans="1:36" ht="15.75">
      <c r="A46" s="49">
        <v>37</v>
      </c>
      <c r="B46" s="146" t="s">
        <v>141</v>
      </c>
      <c r="C46" s="147"/>
      <c r="D46" s="72">
        <f>IF(AND(D$7=""),"",6774)</f>
        <v>6774</v>
      </c>
      <c r="E46" s="125"/>
      <c r="F46" s="125"/>
      <c r="G46" s="83"/>
      <c r="H46" s="83"/>
      <c r="I46" s="83"/>
      <c r="J46" s="83"/>
      <c r="K46" s="52">
        <f t="shared" si="48"/>
        <v>6774</v>
      </c>
      <c r="L46" s="75"/>
      <c r="M46" s="75"/>
      <c r="N46" s="75"/>
      <c r="O46" s="75">
        <f>IF(AND(D$7=""),"",6774)</f>
        <v>6774</v>
      </c>
      <c r="P46" s="78"/>
      <c r="Q46" s="78"/>
      <c r="R46" s="78"/>
      <c r="S46" s="78"/>
      <c r="T46" s="78"/>
      <c r="U46" s="126"/>
      <c r="V46" s="127"/>
      <c r="W46" s="74"/>
      <c r="X46" s="74"/>
      <c r="Y46" s="53"/>
      <c r="Z46" s="53"/>
      <c r="AA46" s="76"/>
      <c r="AB46" s="76"/>
      <c r="AC46" s="47"/>
      <c r="AD46" s="47"/>
      <c r="AE46" s="47"/>
      <c r="AF46" s="47"/>
      <c r="AG46" s="47"/>
      <c r="AH46" s="47"/>
      <c r="AI46" s="47"/>
      <c r="AJ46" s="47"/>
    </row>
    <row r="47" spans="1:36" ht="18.75" customHeight="1">
      <c r="A47" s="143" t="s">
        <v>61</v>
      </c>
      <c r="B47" s="143"/>
      <c r="C47" s="143"/>
      <c r="D47" s="54">
        <f>IF(AND($D$7=""),"",SUM(D34:D46))</f>
        <v>169454</v>
      </c>
      <c r="E47" s="54">
        <f t="shared" ref="E47:J47" si="67">IF(AND($D$7=""),"",SUM(E34:E45))</f>
        <v>212114</v>
      </c>
      <c r="F47" s="54">
        <f t="shared" si="67"/>
        <v>16268</v>
      </c>
      <c r="G47" s="54">
        <f t="shared" si="67"/>
        <v>0</v>
      </c>
      <c r="H47" s="54">
        <f t="shared" si="67"/>
        <v>0</v>
      </c>
      <c r="I47" s="54">
        <f t="shared" si="67"/>
        <v>0</v>
      </c>
      <c r="J47" s="54">
        <f t="shared" si="67"/>
        <v>0</v>
      </c>
      <c r="K47" s="55">
        <f>IF(AND($D$7=""),"",SUM(K34:K46))</f>
        <v>397836</v>
      </c>
      <c r="L47" s="56">
        <f>IF(AND($D$7=""),"",SUM(L34:L45))</f>
        <v>162590</v>
      </c>
      <c r="M47" s="56">
        <f>IF(AND($D$7=""),"",SUM(M34:M45))</f>
        <v>195501</v>
      </c>
      <c r="N47" s="56">
        <f>IF(AND($D$7=""),"",SUM(N34:N45))</f>
        <v>14939</v>
      </c>
      <c r="O47" s="56">
        <f>IF(AND($D$7=""),"",SUM(O34:O46))</f>
        <v>6774</v>
      </c>
      <c r="P47" s="84">
        <f t="shared" ref="P47:Z47" si="68">IF(AND($D$7=""),"",SUM(P34:P45))</f>
        <v>90</v>
      </c>
      <c r="Q47" s="84">
        <f t="shared" si="68"/>
        <v>16613</v>
      </c>
      <c r="R47" s="84">
        <f t="shared" si="68"/>
        <v>1329</v>
      </c>
      <c r="S47" s="84">
        <f t="shared" si="68"/>
        <v>0</v>
      </c>
      <c r="T47" s="84">
        <f t="shared" si="68"/>
        <v>18032</v>
      </c>
      <c r="U47" s="54">
        <f t="shared" si="68"/>
        <v>1803.2</v>
      </c>
      <c r="V47" s="54">
        <f t="shared" si="68"/>
        <v>37478</v>
      </c>
      <c r="W47" s="54">
        <f t="shared" si="68"/>
        <v>12100</v>
      </c>
      <c r="X47" s="54">
        <f t="shared" si="68"/>
        <v>0</v>
      </c>
      <c r="Y47" s="54">
        <f t="shared" si="68"/>
        <v>51381</v>
      </c>
      <c r="Z47" s="54">
        <f t="shared" si="68"/>
        <v>13239</v>
      </c>
      <c r="AA47" s="57"/>
      <c r="AB47" s="57"/>
      <c r="AC47" s="47"/>
      <c r="AD47" s="47"/>
      <c r="AE47" s="47"/>
      <c r="AF47" s="47"/>
      <c r="AG47" s="47"/>
      <c r="AH47" s="47"/>
      <c r="AI47" s="47"/>
      <c r="AJ47" s="47"/>
    </row>
    <row r="48" spans="1:36" ht="28.5" customHeight="1">
      <c r="A48" s="142" t="s">
        <v>64</v>
      </c>
      <c r="B48" s="142"/>
      <c r="C48" s="142"/>
      <c r="D48" s="59">
        <f>IF(AND($D$7=""),"",SUM(D20+D33+D47))</f>
        <v>470804</v>
      </c>
      <c r="E48" s="59">
        <f>IF(AND($D$7=""),"",SUM(E20+E33+E47))</f>
        <v>474162</v>
      </c>
      <c r="F48" s="59">
        <f t="shared" ref="F48:O48" si="69">IF(AND($D$7=""),"",SUM(F20+F33+F47))</f>
        <v>38983</v>
      </c>
      <c r="G48" s="59">
        <f t="shared" si="69"/>
        <v>0</v>
      </c>
      <c r="H48" s="59">
        <f t="shared" si="69"/>
        <v>0</v>
      </c>
      <c r="I48" s="59">
        <f t="shared" si="69"/>
        <v>0</v>
      </c>
      <c r="J48" s="59">
        <f t="shared" si="69"/>
        <v>0</v>
      </c>
      <c r="K48" s="59">
        <f>IF(AND($D$7=""),"",SUM(K20+K33+K47))</f>
        <v>983949</v>
      </c>
      <c r="L48" s="59">
        <f t="shared" si="69"/>
        <v>454790</v>
      </c>
      <c r="M48" s="59">
        <f t="shared" si="69"/>
        <v>195501</v>
      </c>
      <c r="N48" s="59">
        <f t="shared" si="69"/>
        <v>14939</v>
      </c>
      <c r="O48" s="59">
        <f t="shared" si="69"/>
        <v>6774</v>
      </c>
      <c r="P48" s="59">
        <f t="shared" ref="P48:X48" si="70">IF(AND($D$7=""),"",SUM(P20+P33+P47))</f>
        <v>9240</v>
      </c>
      <c r="Q48" s="59">
        <f t="shared" si="70"/>
        <v>278661</v>
      </c>
      <c r="R48" s="59">
        <f t="shared" si="70"/>
        <v>24044</v>
      </c>
      <c r="S48" s="59">
        <f t="shared" si="70"/>
        <v>0</v>
      </c>
      <c r="T48" s="59">
        <f>IF(AND($D$7=""),"",SUM(T20+T33+T47))</f>
        <v>311945</v>
      </c>
      <c r="U48" s="59">
        <f>IF(AND($D$7=""),"",SUM(U20+U33+U47))</f>
        <v>31194.500000000004</v>
      </c>
      <c r="V48" s="59">
        <f>IF(AND($D$7=""),"",SUM(V20+V33+V47))</f>
        <v>86401</v>
      </c>
      <c r="W48" s="59">
        <f>IF(AND($D$7=""),"",SUM(W20+W33+W47))</f>
        <v>12100</v>
      </c>
      <c r="X48" s="59">
        <f t="shared" si="70"/>
        <v>0</v>
      </c>
      <c r="Y48" s="59">
        <f>IF(AND($D$7=""),"",SUM(Y20+Y33+Y47))</f>
        <v>129693</v>
      </c>
      <c r="Z48" s="167">
        <f>IF(AND(D7=""),"",ROUND(T49-U49-V49,0))</f>
        <v>228837</v>
      </c>
      <c r="AA48" s="59"/>
      <c r="AB48" s="59"/>
      <c r="AC48" s="47"/>
      <c r="AD48" s="47"/>
      <c r="AE48" s="47"/>
      <c r="AF48" s="47"/>
      <c r="AG48" s="47"/>
      <c r="AH48" s="47"/>
      <c r="AI48" s="47"/>
      <c r="AJ48" s="47"/>
    </row>
    <row r="49" spans="1:36" ht="22.5">
      <c r="A49" s="60"/>
      <c r="B49" s="61"/>
      <c r="C49" s="62"/>
      <c r="D49" s="63"/>
      <c r="E49" s="64"/>
      <c r="F49" s="65"/>
      <c r="G49" s="64"/>
      <c r="H49" s="64"/>
      <c r="I49" s="64"/>
      <c r="J49" s="64"/>
      <c r="K49" s="66"/>
      <c r="L49" s="67"/>
      <c r="M49" s="67"/>
      <c r="N49" s="67"/>
      <c r="O49" s="67"/>
      <c r="P49" s="64"/>
      <c r="Q49" s="64"/>
      <c r="R49" s="64"/>
      <c r="S49" s="64"/>
      <c r="T49" s="123">
        <f>IF(AND(D7=""),"",ROUND(T48,0))</f>
        <v>311945</v>
      </c>
      <c r="U49" s="123">
        <f>IF(AND(D7=""),"",ROUND(U48,0))</f>
        <v>31195</v>
      </c>
      <c r="V49" s="123">
        <f>IF(AND(D7=""),"",SUM(V20+V33+V34))</f>
        <v>51913</v>
      </c>
      <c r="W49" s="124"/>
      <c r="X49" s="124"/>
      <c r="Y49" s="124"/>
      <c r="Z49" s="168"/>
      <c r="AA49" s="64"/>
      <c r="AB49" s="64"/>
      <c r="AC49" s="47"/>
      <c r="AD49" s="47"/>
      <c r="AE49" s="47"/>
      <c r="AF49" s="47"/>
      <c r="AG49" s="47"/>
      <c r="AH49" s="47"/>
      <c r="AI49" s="47"/>
      <c r="AJ49" s="47"/>
    </row>
    <row r="50" spans="1:36">
      <c r="A50" s="47"/>
      <c r="B50" s="47"/>
      <c r="C50" s="68"/>
      <c r="D50" s="47"/>
      <c r="E50" s="47"/>
      <c r="F50" s="47"/>
      <c r="G50" s="47"/>
      <c r="H50" s="47"/>
      <c r="I50" s="47"/>
      <c r="J50" s="47"/>
      <c r="K50" s="47"/>
      <c r="L50" s="47"/>
      <c r="M50" s="47"/>
      <c r="N50" s="157" t="s">
        <v>131</v>
      </c>
      <c r="O50" s="157"/>
      <c r="P50" s="157"/>
      <c r="Q50" s="157"/>
      <c r="R50" s="158" t="str">
        <f>IF(AND($E$5=""),"",IF(AND(Z48=0),"","( Rs. "&amp;LOOKUP(IF(INT(RIGHT(Z48,7)/100000)&gt;19,INT(RIGHT(Z48,7)/1000000),IF(INT(RIGHT(Z48,7)/100000)&gt;=10,INT(RIGHT(Z48,7)/100000),0)),{0,1,2,3,4,5,6,7,8,9,10,11,12,13,14,15,16,17,18,19},{""," TEN "," TWENTY "," THIRTY "," FOURTY "," FIFTY "," SIXTY "," SEVENTY "," EIGHTY "," NINETY "," TEN "," ELEVEN "," TWELVE "," THIRTEEN "," FOURTEEN "," FIFTEEN "," SIXTEEN"," SEVENTEEN"," EIGHTEEN "," NINETEEN "})&amp;IF((IF(INT(RIGHT(Z48,7)/100000)&gt;19,INT(RIGHT(Z48,7)/1000000),IF(INT(RIGHT(Z48,7)/100000)&gt;=10,INT(RIGHT(Z48,7)/100000),0))+IF(INT(RIGHT(Z48,7)/100000)&gt;19,INT(RIGHT(Z48,6)/100000),IF(INT(RIGHT(Z48,7)/100000)&gt;10,0,INT(RIGHT(Z48,6)/100000))))&gt;0,LOOKUP(IF(INT(RIGHT(Z48,7)/100000)&gt;19,INT(RIGHT(Z48,6)/100000),IF(INT(RIGHT(Z48,7)/100000)&gt;10,0,INT(RIGHT(Z48,6)/100000))),{0,1,2,3,4,5,6,7,8,9,10,11,12,13,14,15,16,17,18,19},{""," ONE "," TWO "," THREE "," FOUR "," FIVE "," SIX "," SEVEN "," EIGHT "," NINE "," TEN "," ELEVEN "," TWELVE "," THIRTEEN "," FOURTEEN "," FIFTEEN "," SIXTEEN"," SEVENTEEN"," EIGHTEEN "," NINETEEN "})&amp;" Lac. "," ")&amp;LOOKUP(IF(INT(RIGHT(Z48,5)/1000)&gt;19,INT(RIGHT(Z48,5)/10000),IF(INT(RIGHT(Z48,5)/1000)&gt;=10,INT(RIGHT(Z48,5)/1000),0)),{0,1,2,3,4,5,6,7,8,9,10,11,12,13,14,15,16,17,18,19},{""," TEN "," TWENTY "," THIRTY "," FOURTY "," FIFTY "," SIXTY "," SEVENTY "," EIGHTY "," NINETY "," TEN "," ELEVEN "," TWELVE "," THIRTEEN "," FOURTEEN "," FIFTEEN "," SIXTEEN"," SEVENTEEN"," EIGHTEEN "," NINETEEN "})&amp;IF((IF(INT(RIGHT(Z48,5)/1000)&gt;19,INT(RIGHT(Z48,4)/1000),IF(INT(RIGHT(Z48,5)/1000)&gt;10,0,INT(RIGHT(Z48,4)/1000)))+IF(INT(RIGHT(Z48,5)/1000)&gt;19,INT(RIGHT(Z48,5)/10000),IF(INT(RIGHT(Z48,5)/1000)&gt;=10,INT(RIGHT(Z48,5)/1000),0)))&gt;0,LOOKUP(IF(INT(RIGHT(Z48,5)/1000)&gt;19,INT(RIGHT(Z48,4)/1000),IF(INT(RIGHT(Z48,5)/1000)&gt;10,0,INT(RIGHT(Z48,4)/1000))),{0,1,2,3,4,5,6,7,8,9,10,11,12,13,14,15,16,17,18,19},{""," ONE "," TWO "," THREE "," FOUR "," FIVE "," SIX "," SEVEN "," EIGHT "," NINE "," TEN "," ELEVEN "," TWELVE "," THIRTEEN "," FOURTEEN "," FIFTEEN "," SIXTEEN"," SEVENTEEN"," EIGHTEEN "," NINETEEN "})&amp;" THOUSAND "," ")&amp;IF((INT((RIGHT(Z48,3))/100))&gt;0,LOOKUP(INT((RIGHT(Z48,3))/100),{0,1,2,3,4,5,6,7,8,9,10,11,12,13,14,15,16,17,18,19},{""," ONE "," TWO "," THREE "," FOUR "," FIVE "," SIX "," SEVEN "," EIGHT "," NINE "," TEN "," ELEVEN "," TWELVE "," THIRTEEN "," FOURTEEN "," FIFTEEN "," SIXTEEN"," SEVENTEEN"," EIGHTEEN "," NINETEEN "})&amp;" HUNDRED "," ")&amp;LOOKUP(IF(INT(RIGHT(Z48,2))&gt;19,INT(RIGHT(Z48,2)/10),IF(INT(RIGHT(Z48,2))&gt;=10,INT(RIGHT(Z48,2)),0)),{0,1,2,3,4,5,6,7,8,9,10,11,12,13,14,15,16,17,18,19},{""," TEN "," TWENTY "," THIRTY "," FOURTY "," FIFTY "," SIXTY "," SEVENTY "," EIGHTY "," NINETY "," TEN "," ELEVEN "," TWELVE "," THIRTEEN "," FOURTEEN "," FIFTEEN "," SIXTEEN"," SEVENTEEN"," EIGHTEEN "," NINETEEN "})&amp;LOOKUP(IF(INT(RIGHT(Z48,2))&lt;10,INT(RIGHT(Z48,1)),IF(INT(RIGHT(Z48,2))&lt;20,0,INT(RIGHT(Z48,1)))),{0,1,2,3,4,5,6,7,8,9,10,11,12,13,14,15,16,17,18,19},{""," ONE "," TWO "," THREE "," FOUR "," FIVE "," SIX "," SEVEN "," EIGHT "," NINE "," TEN "," ELEVEN "," TWELVE "," THIRTEEN "," FOURTEEN "," FIFTEEN "," SIXTEEN"," SEVENTEEN"," EIGHTEEN "," NINETEEN "})&amp;" Only)"))</f>
        <v>( Rs.  TWO  Lac.  TWENTY  EIGHT  THOUSAND  EIGHT  HUNDRED  THIRTY  SEVEN  Only)</v>
      </c>
      <c r="S50" s="158"/>
      <c r="T50" s="158"/>
      <c r="U50" s="158"/>
      <c r="V50" s="158"/>
      <c r="W50" s="158"/>
      <c r="X50" s="158"/>
      <c r="Y50" s="158"/>
      <c r="Z50" s="158"/>
      <c r="AA50" s="158"/>
      <c r="AB50" s="47"/>
      <c r="AC50" s="47"/>
      <c r="AD50" s="47"/>
      <c r="AE50" s="47"/>
      <c r="AF50" s="47"/>
      <c r="AG50" s="47"/>
      <c r="AH50" s="47"/>
      <c r="AI50" s="47"/>
      <c r="AJ50" s="47"/>
    </row>
    <row r="51" spans="1:36">
      <c r="A51" s="47"/>
      <c r="B51" s="47"/>
      <c r="C51" s="68"/>
      <c r="D51" s="47"/>
      <c r="E51" s="47"/>
      <c r="F51" s="47"/>
      <c r="G51" s="47"/>
      <c r="H51" s="47"/>
      <c r="I51" s="47"/>
      <c r="J51" s="47"/>
      <c r="K51" s="47"/>
      <c r="L51" s="47"/>
      <c r="M51" s="47"/>
      <c r="N51" s="157"/>
      <c r="O51" s="157"/>
      <c r="P51" s="157"/>
      <c r="Q51" s="157"/>
      <c r="R51" s="158"/>
      <c r="S51" s="158"/>
      <c r="T51" s="158"/>
      <c r="U51" s="158"/>
      <c r="V51" s="158"/>
      <c r="W51" s="158"/>
      <c r="X51" s="158"/>
      <c r="Y51" s="158"/>
      <c r="Z51" s="158"/>
      <c r="AA51" s="158"/>
      <c r="AB51" s="47"/>
      <c r="AC51" s="47"/>
      <c r="AD51" s="47"/>
      <c r="AE51" s="47"/>
      <c r="AF51" s="47"/>
      <c r="AG51" s="47"/>
      <c r="AH51" s="47"/>
      <c r="AI51" s="47"/>
      <c r="AJ51" s="47"/>
    </row>
    <row r="52" spans="1:36">
      <c r="A52" s="47"/>
      <c r="B52" s="47"/>
      <c r="C52" s="68"/>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row>
    <row r="53" spans="1:36">
      <c r="A53" s="47"/>
      <c r="B53" s="47"/>
      <c r="C53" s="68"/>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row>
    <row r="54" spans="1:36">
      <c r="A54" s="47"/>
      <c r="B54" s="47"/>
      <c r="C54" s="68"/>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row>
  </sheetData>
  <sheetProtection password="C1FB" sheet="1" objects="1" scenarios="1" formatCells="0" formatColumns="0" formatRows="0" selectLockedCells="1"/>
  <mergeCells count="49">
    <mergeCell ref="N50:Q51"/>
    <mergeCell ref="R50:AA51"/>
    <mergeCell ref="AB4:AB7"/>
    <mergeCell ref="AG15:AI16"/>
    <mergeCell ref="L4:O5"/>
    <mergeCell ref="P4:T5"/>
    <mergeCell ref="U4:Y5"/>
    <mergeCell ref="V6:V7"/>
    <mergeCell ref="Y6:Y7"/>
    <mergeCell ref="Z4:Z7"/>
    <mergeCell ref="AA4:AA7"/>
    <mergeCell ref="Z48:Z49"/>
    <mergeCell ref="A1:D1"/>
    <mergeCell ref="E1:K1"/>
    <mergeCell ref="A2:D2"/>
    <mergeCell ref="A3:D3"/>
    <mergeCell ref="E3:G3"/>
    <mergeCell ref="E2:H2"/>
    <mergeCell ref="I2:J2"/>
    <mergeCell ref="H3:I3"/>
    <mergeCell ref="J3:K3"/>
    <mergeCell ref="A4:K4"/>
    <mergeCell ref="K5:K7"/>
    <mergeCell ref="I5:I6"/>
    <mergeCell ref="J5:J6"/>
    <mergeCell ref="H5:H6"/>
    <mergeCell ref="A48:C48"/>
    <mergeCell ref="A20:C20"/>
    <mergeCell ref="A47:C47"/>
    <mergeCell ref="F5:F6"/>
    <mergeCell ref="G5:G6"/>
    <mergeCell ref="E5:E7"/>
    <mergeCell ref="D5:D6"/>
    <mergeCell ref="C5:C7"/>
    <mergeCell ref="B5:B7"/>
    <mergeCell ref="A5:A7"/>
    <mergeCell ref="A33:C33"/>
    <mergeCell ref="B46:C46"/>
    <mergeCell ref="L3:M3"/>
    <mergeCell ref="N2:O2"/>
    <mergeCell ref="P2:T2"/>
    <mergeCell ref="N3:O3"/>
    <mergeCell ref="P3:Q3"/>
    <mergeCell ref="S3:T3"/>
    <mergeCell ref="L1:N1"/>
    <mergeCell ref="O1:P1"/>
    <mergeCell ref="Q1:R1"/>
    <mergeCell ref="S1:T1"/>
    <mergeCell ref="L2:M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Y23"/>
  <sheetViews>
    <sheetView workbookViewId="0">
      <selection activeCell="L12" sqref="L12:N12"/>
    </sheetView>
  </sheetViews>
  <sheetFormatPr defaultColWidth="8.85546875" defaultRowHeight="15"/>
  <cols>
    <col min="1" max="13" width="6.7109375" style="11" customWidth="1"/>
    <col min="14" max="16384" width="8.85546875" style="11"/>
  </cols>
  <sheetData>
    <row r="1" spans="1:16">
      <c r="A1" s="179" t="s">
        <v>36</v>
      </c>
      <c r="B1" s="179"/>
      <c r="C1" s="179"/>
      <c r="D1" s="179"/>
      <c r="E1" s="179"/>
      <c r="F1" s="179"/>
      <c r="G1" s="179"/>
      <c r="H1" s="179"/>
      <c r="I1" s="179"/>
      <c r="J1" s="179"/>
      <c r="K1" s="179"/>
      <c r="L1" s="179"/>
      <c r="M1" s="179"/>
      <c r="N1" s="179"/>
      <c r="O1" s="44"/>
      <c r="P1" s="44"/>
    </row>
    <row r="2" spans="1:16">
      <c r="A2" s="180"/>
      <c r="B2" s="180"/>
      <c r="C2" s="180"/>
      <c r="D2" s="180"/>
      <c r="E2" s="180"/>
      <c r="F2" s="180"/>
      <c r="G2" s="180"/>
      <c r="H2" s="180"/>
      <c r="I2" s="180"/>
      <c r="J2" s="180"/>
      <c r="K2" s="180"/>
      <c r="L2" s="180"/>
      <c r="M2" s="180"/>
      <c r="N2" s="180"/>
      <c r="O2" s="44"/>
      <c r="P2" s="44"/>
    </row>
    <row r="3" spans="1:16" ht="18.75">
      <c r="A3" s="174" t="s">
        <v>33</v>
      </c>
      <c r="B3" s="174"/>
      <c r="C3" s="175" t="str">
        <f>IF(AND('Master Data'!E2=""),"",UPPER('Master Data'!E2))</f>
        <v>MOTIRAM</v>
      </c>
      <c r="D3" s="175"/>
      <c r="E3" s="175"/>
      <c r="F3" s="175"/>
      <c r="G3" s="175"/>
      <c r="H3" s="175"/>
      <c r="I3" s="175"/>
      <c r="J3" s="175"/>
      <c r="K3" s="175"/>
      <c r="L3" s="175"/>
      <c r="M3" s="175"/>
      <c r="N3" s="175"/>
      <c r="O3" s="44"/>
      <c r="P3" s="44"/>
    </row>
    <row r="4" spans="1:16" ht="18.75">
      <c r="A4" s="174" t="s">
        <v>34</v>
      </c>
      <c r="B4" s="174"/>
      <c r="C4" s="176"/>
      <c r="D4" s="176"/>
      <c r="E4" s="176"/>
      <c r="F4" s="176"/>
      <c r="G4" s="176"/>
      <c r="H4" s="176"/>
      <c r="I4" s="176"/>
      <c r="J4" s="176"/>
      <c r="K4" s="176"/>
      <c r="L4" s="176"/>
      <c r="M4" s="176"/>
      <c r="N4" s="176"/>
      <c r="O4" s="44"/>
      <c r="P4" s="44"/>
    </row>
    <row r="5" spans="1:16" ht="18.75">
      <c r="A5" s="174" t="s">
        <v>35</v>
      </c>
      <c r="B5" s="174"/>
      <c r="C5" s="175" t="str">
        <f>IF(AND('Master Data'!E3=""),"",UPPER('Master Data'!E3))</f>
        <v>ABXXXXX5</v>
      </c>
      <c r="D5" s="175"/>
      <c r="E5" s="175"/>
      <c r="F5" s="175"/>
      <c r="G5" s="175"/>
      <c r="H5" s="177" t="s">
        <v>1</v>
      </c>
      <c r="I5" s="177"/>
      <c r="J5" s="176" t="s">
        <v>2</v>
      </c>
      <c r="K5" s="176"/>
      <c r="L5" s="176"/>
      <c r="M5" s="176"/>
      <c r="N5" s="176"/>
      <c r="O5" s="44"/>
      <c r="P5" s="44"/>
    </row>
    <row r="6" spans="1:16" ht="18.75">
      <c r="A6" s="45"/>
      <c r="B6" s="45"/>
      <c r="C6" s="45"/>
      <c r="D6" s="45"/>
      <c r="E6" s="45"/>
      <c r="F6" s="45"/>
      <c r="G6" s="45"/>
      <c r="H6" s="45"/>
      <c r="I6" s="45"/>
      <c r="J6" s="45"/>
      <c r="K6" s="45"/>
      <c r="L6" s="45"/>
      <c r="M6" s="45"/>
      <c r="N6" s="45"/>
      <c r="O6" s="44"/>
      <c r="P6" s="44"/>
    </row>
    <row r="7" spans="1:16" ht="18.75">
      <c r="A7" s="178" t="s">
        <v>38</v>
      </c>
      <c r="B7" s="178"/>
      <c r="C7" s="178"/>
      <c r="D7" s="178"/>
      <c r="E7" s="178"/>
      <c r="F7" s="178"/>
      <c r="G7" s="178"/>
      <c r="H7" s="178"/>
      <c r="I7" s="178"/>
      <c r="J7" s="178"/>
      <c r="K7" s="178"/>
      <c r="L7" s="178" t="s">
        <v>37</v>
      </c>
      <c r="M7" s="178"/>
      <c r="N7" s="178"/>
      <c r="O7" s="44"/>
      <c r="P7" s="44"/>
    </row>
    <row r="8" spans="1:16" ht="18.75">
      <c r="A8" s="181" t="s">
        <v>135</v>
      </c>
      <c r="B8" s="182"/>
      <c r="C8" s="182"/>
      <c r="D8" s="182"/>
      <c r="E8" s="182"/>
      <c r="F8" s="182"/>
      <c r="G8" s="182"/>
      <c r="H8" s="182"/>
      <c r="I8" s="182"/>
      <c r="J8" s="182"/>
      <c r="K8" s="183"/>
      <c r="L8" s="172">
        <f>'Master Data'!L20</f>
        <v>138600</v>
      </c>
      <c r="M8" s="173"/>
      <c r="N8" s="173"/>
      <c r="O8" s="44"/>
      <c r="P8" s="44"/>
    </row>
    <row r="9" spans="1:16" ht="18.75">
      <c r="A9" s="169" t="s">
        <v>136</v>
      </c>
      <c r="B9" s="170"/>
      <c r="C9" s="170"/>
      <c r="D9" s="170"/>
      <c r="E9" s="170"/>
      <c r="F9" s="170"/>
      <c r="G9" s="170"/>
      <c r="H9" s="170"/>
      <c r="I9" s="170"/>
      <c r="J9" s="170"/>
      <c r="K9" s="171"/>
      <c r="L9" s="172">
        <f>'Master Data'!Z20</f>
        <v>64155</v>
      </c>
      <c r="M9" s="173"/>
      <c r="N9" s="173"/>
      <c r="O9" s="44"/>
      <c r="P9" s="44"/>
    </row>
    <row r="10" spans="1:16" ht="18.75">
      <c r="A10" s="178" t="s">
        <v>39</v>
      </c>
      <c r="B10" s="178"/>
      <c r="C10" s="178"/>
      <c r="D10" s="178"/>
      <c r="E10" s="178"/>
      <c r="F10" s="178"/>
      <c r="G10" s="178"/>
      <c r="H10" s="178"/>
      <c r="I10" s="178"/>
      <c r="J10" s="178"/>
      <c r="K10" s="178"/>
      <c r="L10" s="178" t="s">
        <v>37</v>
      </c>
      <c r="M10" s="178"/>
      <c r="N10" s="178"/>
      <c r="O10" s="44"/>
      <c r="P10" s="44"/>
    </row>
    <row r="11" spans="1:16" ht="18.75">
      <c r="A11" s="181" t="s">
        <v>65</v>
      </c>
      <c r="B11" s="182"/>
      <c r="C11" s="182"/>
      <c r="D11" s="182"/>
      <c r="E11" s="182"/>
      <c r="F11" s="182"/>
      <c r="G11" s="182"/>
      <c r="H11" s="182"/>
      <c r="I11" s="182"/>
      <c r="J11" s="182"/>
      <c r="K11" s="183"/>
      <c r="L11" s="172">
        <f>'Master Data'!L33</f>
        <v>153600</v>
      </c>
      <c r="M11" s="173"/>
      <c r="N11" s="173"/>
      <c r="O11" s="44"/>
      <c r="P11" s="44"/>
    </row>
    <row r="12" spans="1:16" ht="18.75">
      <c r="A12" s="169" t="s">
        <v>66</v>
      </c>
      <c r="B12" s="170"/>
      <c r="C12" s="170"/>
      <c r="D12" s="170"/>
      <c r="E12" s="170"/>
      <c r="F12" s="170"/>
      <c r="G12" s="170"/>
      <c r="H12" s="170"/>
      <c r="I12" s="170"/>
      <c r="J12" s="170"/>
      <c r="K12" s="171"/>
      <c r="L12" s="172">
        <f>'Master Data'!Z33</f>
        <v>151446</v>
      </c>
      <c r="M12" s="173"/>
      <c r="N12" s="173"/>
      <c r="O12" s="44"/>
      <c r="P12" s="44"/>
    </row>
    <row r="13" spans="1:16" ht="18.75">
      <c r="A13" s="178" t="s">
        <v>40</v>
      </c>
      <c r="B13" s="178"/>
      <c r="C13" s="178"/>
      <c r="D13" s="178"/>
      <c r="E13" s="178"/>
      <c r="F13" s="178"/>
      <c r="G13" s="178"/>
      <c r="H13" s="178"/>
      <c r="I13" s="178"/>
      <c r="J13" s="178"/>
      <c r="K13" s="178"/>
      <c r="L13" s="178" t="s">
        <v>37</v>
      </c>
      <c r="M13" s="178"/>
      <c r="N13" s="178"/>
      <c r="O13" s="44"/>
      <c r="P13" s="44"/>
    </row>
    <row r="14" spans="1:16" ht="18.75">
      <c r="A14" s="181" t="s">
        <v>67</v>
      </c>
      <c r="B14" s="182"/>
      <c r="C14" s="182"/>
      <c r="D14" s="182"/>
      <c r="E14" s="182"/>
      <c r="F14" s="182"/>
      <c r="G14" s="182"/>
      <c r="H14" s="182"/>
      <c r="I14" s="182"/>
      <c r="J14" s="182"/>
      <c r="K14" s="183"/>
      <c r="L14" s="172">
        <f>'Master Data'!L47+'Master Data'!M47+'Master Data'!N47+'Master Data'!O47</f>
        <v>379804</v>
      </c>
      <c r="M14" s="173"/>
      <c r="N14" s="173"/>
      <c r="O14" s="44"/>
      <c r="P14" s="44"/>
    </row>
    <row r="15" spans="1:16" ht="18.75">
      <c r="A15" s="169" t="s">
        <v>126</v>
      </c>
      <c r="B15" s="170"/>
      <c r="C15" s="170"/>
      <c r="D15" s="170"/>
      <c r="E15" s="170"/>
      <c r="F15" s="170"/>
      <c r="G15" s="170"/>
      <c r="H15" s="170"/>
      <c r="I15" s="170"/>
      <c r="J15" s="170"/>
      <c r="K15" s="171"/>
      <c r="L15" s="172">
        <f>'Master Data'!Z47</f>
        <v>13239</v>
      </c>
      <c r="M15" s="173"/>
      <c r="N15" s="173"/>
      <c r="O15" s="44"/>
      <c r="P15" s="44"/>
    </row>
    <row r="16" spans="1:16" ht="18.75">
      <c r="A16" s="178" t="s">
        <v>42</v>
      </c>
      <c r="B16" s="178"/>
      <c r="C16" s="178"/>
      <c r="D16" s="178"/>
      <c r="E16" s="178"/>
      <c r="F16" s="178"/>
      <c r="G16" s="178"/>
      <c r="H16" s="178"/>
      <c r="I16" s="178"/>
      <c r="J16" s="178"/>
      <c r="K16" s="178"/>
      <c r="L16" s="178" t="s">
        <v>37</v>
      </c>
      <c r="M16" s="178"/>
      <c r="N16" s="178"/>
      <c r="O16" s="44"/>
      <c r="P16" s="44"/>
    </row>
    <row r="17" spans="1:25" ht="33" customHeight="1">
      <c r="A17" s="184" t="s">
        <v>41</v>
      </c>
      <c r="B17" s="185"/>
      <c r="C17" s="185"/>
      <c r="D17" s="185"/>
      <c r="E17" s="185"/>
      <c r="F17" s="185"/>
      <c r="G17" s="185"/>
      <c r="H17" s="185"/>
      <c r="I17" s="185"/>
      <c r="J17" s="185"/>
      <c r="K17" s="186"/>
      <c r="L17" s="187">
        <v>611850</v>
      </c>
      <c r="M17" s="188"/>
      <c r="N17" s="189"/>
      <c r="O17" s="44"/>
      <c r="P17" s="44"/>
      <c r="Q17" s="93"/>
      <c r="R17" s="93"/>
      <c r="S17" s="93"/>
      <c r="T17" s="93"/>
      <c r="U17" s="93"/>
      <c r="V17" s="93"/>
      <c r="W17" s="93"/>
      <c r="X17" s="93"/>
      <c r="Y17" s="93"/>
    </row>
    <row r="18" spans="1:25">
      <c r="A18" s="44"/>
      <c r="B18" s="44"/>
      <c r="C18" s="44"/>
      <c r="D18" s="44"/>
      <c r="E18" s="44"/>
      <c r="F18" s="44"/>
      <c r="G18" s="44"/>
      <c r="H18" s="44"/>
      <c r="I18" s="44"/>
      <c r="J18" s="44"/>
      <c r="K18" s="44"/>
      <c r="L18" s="44"/>
      <c r="M18" s="44"/>
      <c r="N18" s="44"/>
      <c r="O18" s="44"/>
      <c r="P18" s="44"/>
    </row>
    <row r="19" spans="1:25">
      <c r="A19" s="44"/>
      <c r="B19" s="44"/>
      <c r="C19" s="44"/>
      <c r="D19" s="44"/>
      <c r="E19" s="44"/>
      <c r="F19" s="44"/>
      <c r="G19" s="44"/>
      <c r="H19" s="44"/>
      <c r="I19" s="44"/>
      <c r="J19" s="44"/>
      <c r="K19" s="44"/>
      <c r="L19" s="44"/>
      <c r="M19" s="44"/>
      <c r="N19" s="44"/>
      <c r="O19" s="44"/>
      <c r="P19" s="44"/>
    </row>
    <row r="20" spans="1:25">
      <c r="A20" s="44"/>
      <c r="B20" s="44"/>
      <c r="C20" s="44"/>
      <c r="D20" s="44"/>
      <c r="E20" s="44"/>
      <c r="F20" s="44"/>
      <c r="G20" s="44"/>
      <c r="H20" s="44"/>
      <c r="I20" s="44"/>
      <c r="J20" s="44"/>
      <c r="K20" s="44"/>
      <c r="L20" s="44"/>
      <c r="M20" s="44"/>
      <c r="N20" s="44"/>
      <c r="O20" s="44"/>
      <c r="P20" s="44"/>
    </row>
    <row r="21" spans="1:25">
      <c r="A21" s="44"/>
      <c r="B21" s="44"/>
      <c r="C21" s="44"/>
      <c r="D21" s="44"/>
      <c r="E21" s="44"/>
      <c r="F21" s="44"/>
      <c r="G21" s="44"/>
      <c r="H21" s="44"/>
      <c r="I21" s="44"/>
      <c r="J21" s="44"/>
      <c r="K21" s="44"/>
      <c r="L21" s="44"/>
      <c r="M21" s="44"/>
      <c r="N21" s="44"/>
      <c r="O21" s="44"/>
      <c r="P21" s="44"/>
    </row>
    <row r="22" spans="1:25">
      <c r="A22" s="44"/>
      <c r="B22" s="44"/>
      <c r="C22" s="44"/>
      <c r="D22" s="44"/>
      <c r="E22" s="44"/>
      <c r="F22" s="44"/>
      <c r="G22" s="44"/>
      <c r="H22" s="44"/>
      <c r="I22" s="44"/>
      <c r="J22" s="44"/>
      <c r="K22" s="44"/>
      <c r="L22" s="44"/>
      <c r="M22" s="44"/>
      <c r="N22" s="44"/>
      <c r="O22" s="44"/>
      <c r="P22" s="44"/>
    </row>
    <row r="23" spans="1:25">
      <c r="A23" s="44"/>
      <c r="B23" s="44"/>
      <c r="C23" s="44"/>
      <c r="D23" s="44"/>
      <c r="E23" s="44"/>
      <c r="F23" s="44"/>
      <c r="G23" s="44"/>
      <c r="H23" s="44"/>
      <c r="I23" s="44"/>
      <c r="J23" s="44"/>
      <c r="K23" s="44"/>
      <c r="L23" s="44"/>
      <c r="M23" s="44"/>
      <c r="N23" s="44"/>
      <c r="O23" s="44"/>
      <c r="P23" s="44"/>
    </row>
  </sheetData>
  <sheetProtection password="C1FB" sheet="1" objects="1" scenarios="1" selectLockedCells="1"/>
  <mergeCells count="31">
    <mergeCell ref="A17:K17"/>
    <mergeCell ref="L17:N17"/>
    <mergeCell ref="A16:K16"/>
    <mergeCell ref="L16:N16"/>
    <mergeCell ref="A13:K13"/>
    <mergeCell ref="L13:N13"/>
    <mergeCell ref="A14:K14"/>
    <mergeCell ref="L14:N14"/>
    <mergeCell ref="A15:K15"/>
    <mergeCell ref="L15:N15"/>
    <mergeCell ref="A1:N2"/>
    <mergeCell ref="A11:K11"/>
    <mergeCell ref="L11:N11"/>
    <mergeCell ref="A7:K7"/>
    <mergeCell ref="L7:N7"/>
    <mergeCell ref="L8:N8"/>
    <mergeCell ref="A9:K9"/>
    <mergeCell ref="L9:N9"/>
    <mergeCell ref="A8:K8"/>
    <mergeCell ref="A12:K12"/>
    <mergeCell ref="L12:N12"/>
    <mergeCell ref="A3:B3"/>
    <mergeCell ref="C3:N3"/>
    <mergeCell ref="A4:B4"/>
    <mergeCell ref="C4:N4"/>
    <mergeCell ref="A5:B5"/>
    <mergeCell ref="C5:G5"/>
    <mergeCell ref="H5:I5"/>
    <mergeCell ref="J5:N5"/>
    <mergeCell ref="A10:K10"/>
    <mergeCell ref="L10:N1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AD36"/>
  <sheetViews>
    <sheetView workbookViewId="0">
      <selection activeCell="B16" sqref="B16:C16"/>
    </sheetView>
  </sheetViews>
  <sheetFormatPr defaultColWidth="8.85546875" defaultRowHeight="15"/>
  <cols>
    <col min="1" max="1" width="6.28515625" customWidth="1"/>
    <col min="2" max="2" width="6.140625" customWidth="1"/>
    <col min="3" max="6" width="6.7109375" customWidth="1"/>
    <col min="7" max="7" width="7.42578125" customWidth="1"/>
    <col min="8" max="8" width="8.28515625" customWidth="1"/>
    <col min="9" max="10" width="6.7109375" customWidth="1"/>
    <col min="11" max="12" width="6.42578125" customWidth="1"/>
    <col min="13" max="13" width="6.28515625" customWidth="1"/>
    <col min="14" max="14" width="6.140625" customWidth="1"/>
    <col min="25" max="25" width="9.140625" customWidth="1"/>
    <col min="26" max="30" width="8.85546875" hidden="1" customWidth="1"/>
  </cols>
  <sheetData>
    <row r="1" spans="1:14" ht="15.75">
      <c r="A1" s="191" t="s">
        <v>45</v>
      </c>
      <c r="B1" s="191"/>
      <c r="C1" s="191"/>
      <c r="D1" s="191"/>
      <c r="E1" s="191"/>
      <c r="F1" s="191"/>
      <c r="G1" s="191"/>
      <c r="H1" s="191"/>
      <c r="I1" s="191"/>
      <c r="J1" s="191"/>
      <c r="K1" s="191"/>
      <c r="L1" s="191"/>
      <c r="M1" s="191"/>
      <c r="N1" s="191"/>
    </row>
    <row r="2" spans="1:14" ht="42" customHeight="1">
      <c r="A2" s="192" t="s">
        <v>0</v>
      </c>
      <c r="B2" s="192"/>
      <c r="C2" s="192"/>
      <c r="D2" s="192"/>
      <c r="E2" s="192"/>
      <c r="F2" s="192"/>
      <c r="G2" s="192"/>
      <c r="H2" s="192"/>
      <c r="I2" s="192"/>
      <c r="J2" s="192"/>
      <c r="K2" s="192"/>
      <c r="L2" s="192"/>
      <c r="M2" s="192"/>
      <c r="N2" s="192"/>
    </row>
    <row r="3" spans="1:14">
      <c r="A3" s="195" t="s">
        <v>33</v>
      </c>
      <c r="B3" s="195"/>
      <c r="C3" s="194" t="str">
        <f>UPPER(IF('89 (1) Form'!C3="","",'89 (1) Form'!C3))</f>
        <v>MOTIRAM</v>
      </c>
      <c r="D3" s="194"/>
      <c r="E3" s="194"/>
      <c r="F3" s="194"/>
      <c r="G3" s="194"/>
      <c r="H3" s="194"/>
      <c r="I3" s="194"/>
      <c r="J3" s="194"/>
      <c r="K3" s="194"/>
      <c r="L3" s="194"/>
      <c r="M3" s="194"/>
      <c r="N3" s="194"/>
    </row>
    <row r="4" spans="1:14">
      <c r="A4" s="195" t="s">
        <v>34</v>
      </c>
      <c r="B4" s="195"/>
      <c r="C4" s="194" t="str">
        <f>UPPER(IF('89 (1) Form'!C4="","",'89 (1) Form'!C4))</f>
        <v/>
      </c>
      <c r="D4" s="194"/>
      <c r="E4" s="194"/>
      <c r="F4" s="194"/>
      <c r="G4" s="194"/>
      <c r="H4" s="194"/>
      <c r="I4" s="194"/>
      <c r="J4" s="194"/>
      <c r="K4" s="194"/>
      <c r="L4" s="194"/>
      <c r="M4" s="194"/>
      <c r="N4" s="194"/>
    </row>
    <row r="5" spans="1:14">
      <c r="A5" s="195" t="s">
        <v>35</v>
      </c>
      <c r="B5" s="195"/>
      <c r="C5" s="194" t="str">
        <f>UPPER(IF('89 (1) Form'!C5="","",'89 (1) Form'!C5))</f>
        <v>ABXXXXX5</v>
      </c>
      <c r="D5" s="194"/>
      <c r="E5" s="194"/>
      <c r="F5" s="194"/>
      <c r="G5" s="194"/>
      <c r="H5" s="193" t="s">
        <v>1</v>
      </c>
      <c r="I5" s="193"/>
      <c r="J5" s="194" t="str">
        <f>UPPER(IF('89 (1) Form'!J5="","",'89 (1) Form'!J5))</f>
        <v xml:space="preserve">INDIAN RESIDENT </v>
      </c>
      <c r="K5" s="194"/>
      <c r="L5" s="194"/>
      <c r="M5" s="194"/>
      <c r="N5" s="194"/>
    </row>
    <row r="6" spans="1:14" ht="30" customHeight="1">
      <c r="A6" s="190" t="s">
        <v>3</v>
      </c>
      <c r="B6" s="190"/>
      <c r="C6" s="190"/>
      <c r="D6" s="190"/>
      <c r="E6" s="190"/>
      <c r="F6" s="190"/>
      <c r="G6" s="190"/>
      <c r="H6" s="190"/>
      <c r="I6" s="190"/>
      <c r="J6" s="190"/>
      <c r="K6" s="190"/>
      <c r="L6" s="190"/>
      <c r="M6" s="190"/>
      <c r="N6" s="190"/>
    </row>
    <row r="7" spans="1:14" ht="28.5" customHeight="1">
      <c r="A7" s="199" t="s">
        <v>4</v>
      </c>
      <c r="B7" s="199"/>
      <c r="C7" s="199"/>
      <c r="D7" s="199"/>
      <c r="E7" s="199"/>
      <c r="F7" s="199"/>
      <c r="G7" s="199"/>
      <c r="H7" s="199"/>
      <c r="I7" s="199"/>
      <c r="J7" s="199"/>
      <c r="K7" s="199"/>
      <c r="L7" s="200">
        <f>'Master Data'!Z48+'Master Data'!U49</f>
        <v>260032</v>
      </c>
      <c r="M7" s="201"/>
      <c r="N7" s="202"/>
    </row>
    <row r="8" spans="1:14" ht="30" customHeight="1">
      <c r="A8" s="199" t="s">
        <v>5</v>
      </c>
      <c r="B8" s="199"/>
      <c r="C8" s="199"/>
      <c r="D8" s="199"/>
      <c r="E8" s="199"/>
      <c r="F8" s="199"/>
      <c r="G8" s="199"/>
      <c r="H8" s="199"/>
      <c r="I8" s="199"/>
      <c r="J8" s="199"/>
      <c r="K8" s="199"/>
      <c r="L8" s="204" t="s">
        <v>43</v>
      </c>
      <c r="M8" s="205"/>
      <c r="N8" s="206"/>
    </row>
    <row r="9" spans="1:14" ht="45.75" customHeight="1">
      <c r="A9" s="199" t="s">
        <v>6</v>
      </c>
      <c r="B9" s="199"/>
      <c r="C9" s="199"/>
      <c r="D9" s="199"/>
      <c r="E9" s="199"/>
      <c r="F9" s="199"/>
      <c r="G9" s="199"/>
      <c r="H9" s="199"/>
      <c r="I9" s="199"/>
      <c r="J9" s="199"/>
      <c r="K9" s="199"/>
      <c r="L9" s="204" t="s">
        <v>43</v>
      </c>
      <c r="M9" s="205"/>
      <c r="N9" s="206"/>
    </row>
    <row r="10" spans="1:14" ht="26.25" customHeight="1">
      <c r="A10" s="199" t="s">
        <v>7</v>
      </c>
      <c r="B10" s="199"/>
      <c r="C10" s="199"/>
      <c r="D10" s="199"/>
      <c r="E10" s="199"/>
      <c r="F10" s="199"/>
      <c r="G10" s="199"/>
      <c r="H10" s="199"/>
      <c r="I10" s="199"/>
      <c r="J10" s="199"/>
      <c r="K10" s="199"/>
      <c r="L10" s="204" t="s">
        <v>43</v>
      </c>
      <c r="M10" s="205"/>
      <c r="N10" s="206"/>
    </row>
    <row r="11" spans="1:14" ht="30.75" customHeight="1">
      <c r="A11" s="199" t="s">
        <v>8</v>
      </c>
      <c r="B11" s="199"/>
      <c r="C11" s="199"/>
      <c r="D11" s="199"/>
      <c r="E11" s="199"/>
      <c r="F11" s="199"/>
      <c r="G11" s="199"/>
      <c r="H11" s="199"/>
      <c r="I11" s="199"/>
      <c r="J11" s="199"/>
      <c r="K11" s="199"/>
      <c r="L11" s="204" t="s">
        <v>44</v>
      </c>
      <c r="M11" s="205"/>
      <c r="N11" s="206"/>
    </row>
    <row r="12" spans="1:14">
      <c r="A12" s="203" t="s">
        <v>9</v>
      </c>
      <c r="B12" s="203"/>
      <c r="C12" s="203"/>
      <c r="D12" s="203"/>
      <c r="E12" s="203"/>
      <c r="F12" s="203"/>
      <c r="G12" s="203"/>
      <c r="H12" s="203"/>
      <c r="I12" s="203"/>
      <c r="J12" s="203"/>
      <c r="K12" s="203"/>
      <c r="L12" s="203"/>
      <c r="M12" s="203"/>
      <c r="N12" s="203"/>
    </row>
    <row r="13" spans="1:14">
      <c r="A13" s="2" t="s">
        <v>46</v>
      </c>
      <c r="B13" s="224" t="str">
        <f>UPPER(IF('89 (1) Form'!C3="","",'89 (1) Form'!C3))</f>
        <v>MOTIRAM</v>
      </c>
      <c r="C13" s="224"/>
      <c r="D13" s="224"/>
      <c r="E13" s="224"/>
      <c r="F13" s="225" t="s">
        <v>47</v>
      </c>
      <c r="G13" s="225"/>
      <c r="H13" s="225"/>
      <c r="I13" s="225"/>
      <c r="J13" s="225"/>
      <c r="K13" s="225"/>
      <c r="L13" s="225"/>
      <c r="M13" s="225"/>
      <c r="N13" s="225"/>
    </row>
    <row r="14" spans="1:14">
      <c r="A14" s="225" t="s">
        <v>48</v>
      </c>
      <c r="B14" s="225"/>
      <c r="C14" s="225"/>
      <c r="D14" s="225"/>
    </row>
    <row r="15" spans="1:14">
      <c r="A15" s="226" t="s">
        <v>49</v>
      </c>
      <c r="B15" s="226"/>
      <c r="C15" s="226"/>
      <c r="D15" s="227">
        <f ca="1">TODAY()</f>
        <v>43121</v>
      </c>
      <c r="E15" s="228"/>
    </row>
    <row r="16" spans="1:14">
      <c r="A16" t="s">
        <v>50</v>
      </c>
      <c r="B16" s="232"/>
      <c r="C16" s="232"/>
    </row>
    <row r="17" spans="1:27">
      <c r="A17" t="s">
        <v>10</v>
      </c>
      <c r="B17" s="229"/>
      <c r="C17" s="230"/>
      <c r="K17" s="196" t="s">
        <v>11</v>
      </c>
      <c r="L17" s="196"/>
      <c r="M17" s="196"/>
      <c r="N17" s="196"/>
    </row>
    <row r="19" spans="1:27" ht="15.75">
      <c r="A19" s="197" t="s">
        <v>12</v>
      </c>
      <c r="B19" s="197"/>
      <c r="C19" s="197"/>
      <c r="D19" s="197"/>
      <c r="E19" s="197"/>
      <c r="F19" s="197"/>
      <c r="G19" s="197"/>
      <c r="H19" s="197"/>
      <c r="I19" s="197"/>
      <c r="J19" s="197"/>
      <c r="K19" s="197"/>
      <c r="L19" s="197"/>
      <c r="M19" s="197"/>
      <c r="N19" s="197"/>
      <c r="Z19">
        <f>ROUND(IF(L23&lt;=250000,0,IF(L23&gt;=500000,12500,IF(L23&lt;=500000,0+(L23-250000)*0.05))),0)</f>
        <v>12500</v>
      </c>
      <c r="AA19">
        <f>ROUND(Z19*3%,0)</f>
        <v>375</v>
      </c>
    </row>
    <row r="20" spans="1:27">
      <c r="A20" s="3"/>
      <c r="B20" s="3"/>
      <c r="C20" s="3"/>
      <c r="D20" s="3"/>
      <c r="E20" s="231" t="s">
        <v>51</v>
      </c>
      <c r="F20" s="231"/>
      <c r="G20" s="231"/>
      <c r="H20" s="231"/>
      <c r="I20" s="231"/>
      <c r="J20" s="231"/>
      <c r="K20" s="3"/>
      <c r="L20" s="3"/>
      <c r="M20" s="3"/>
      <c r="N20" s="3"/>
    </row>
    <row r="21" spans="1:27" ht="15.75">
      <c r="A21" s="198" t="s">
        <v>13</v>
      </c>
      <c r="B21" s="198"/>
      <c r="C21" s="198"/>
      <c r="D21" s="198"/>
      <c r="E21" s="198"/>
      <c r="F21" s="198"/>
      <c r="G21" s="198"/>
      <c r="H21" s="198"/>
      <c r="I21" s="198"/>
      <c r="J21" s="198"/>
      <c r="K21" s="198"/>
      <c r="L21" s="207">
        <f>L23-L22</f>
        <v>351818</v>
      </c>
      <c r="M21" s="207"/>
      <c r="N21" s="207"/>
      <c r="Z21">
        <f>ROUND(IF(L23&lt;=500000,0,IF(L23&gt;=1000000,100000,IF(L23&lt;=1000000,(L23-500000)*0.2,"0"))),0)</f>
        <v>22370</v>
      </c>
      <c r="AA21">
        <f>ROUND(Z21*3%,0)</f>
        <v>671</v>
      </c>
    </row>
    <row r="22" spans="1:27" ht="15.75">
      <c r="A22" s="198" t="s">
        <v>14</v>
      </c>
      <c r="B22" s="198"/>
      <c r="C22" s="198"/>
      <c r="D22" s="198"/>
      <c r="E22" s="198"/>
      <c r="F22" s="198"/>
      <c r="G22" s="198"/>
      <c r="H22" s="198"/>
      <c r="I22" s="198"/>
      <c r="J22" s="198"/>
      <c r="K22" s="198"/>
      <c r="L22" s="208">
        <f>L7</f>
        <v>260032</v>
      </c>
      <c r="M22" s="208"/>
      <c r="N22" s="208"/>
      <c r="Z22">
        <f>ROUND(IF(L23&gt;1000000,(L23-1000000)*0.3,"0"),0)</f>
        <v>0</v>
      </c>
      <c r="AA22">
        <f>ROUND(Z22*3%,0)</f>
        <v>0</v>
      </c>
    </row>
    <row r="23" spans="1:27" ht="15.75" customHeight="1">
      <c r="A23" s="211" t="s">
        <v>16</v>
      </c>
      <c r="B23" s="211"/>
      <c r="C23" s="211"/>
      <c r="D23" s="211"/>
      <c r="E23" s="211"/>
      <c r="F23" s="211"/>
      <c r="G23" s="211"/>
      <c r="H23" s="211"/>
      <c r="I23" s="211"/>
      <c r="J23" s="211"/>
      <c r="K23" s="211"/>
      <c r="L23" s="209">
        <f>'89 (1) Form'!L17</f>
        <v>611850</v>
      </c>
      <c r="M23" s="209"/>
      <c r="N23" s="209"/>
      <c r="Z23">
        <f>ROUND(IF(L23&lt;=250000,0,IF(L23&lt;=500000,(L23-250000)*0.05,IF(L23&lt;=1000000,12500+(L23-500000)*0.2,IF(L23&gt;1000000,112500+(L23-1000000)*0.3,"0")))),0)</f>
        <v>34870</v>
      </c>
      <c r="AA23">
        <f>ROUND(Z23*3%,0)</f>
        <v>1046</v>
      </c>
    </row>
    <row r="24" spans="1:27" ht="15.75">
      <c r="A24" s="198" t="s">
        <v>15</v>
      </c>
      <c r="B24" s="198"/>
      <c r="C24" s="198"/>
      <c r="D24" s="198"/>
      <c r="E24" s="198"/>
      <c r="F24" s="198"/>
      <c r="G24" s="198"/>
      <c r="H24" s="198"/>
      <c r="I24" s="198"/>
      <c r="J24" s="198"/>
      <c r="K24" s="198"/>
      <c r="L24" s="210">
        <f>Z23+AA23</f>
        <v>35916</v>
      </c>
      <c r="M24" s="210"/>
      <c r="N24" s="210"/>
      <c r="Z24">
        <f>ROUND(IF(L21&lt;=250000,0,IF(L21&lt;=500000,(L21-250000)*0.05,IF(L21&lt;=1000000,12500+(L21-500000)*0.2,IF(L21&gt;1000000,112500+(L21-1000000)*0.3,"0")))),0)</f>
        <v>5091</v>
      </c>
      <c r="AA24">
        <f>ROUND(Z24*3%,0)</f>
        <v>153</v>
      </c>
    </row>
    <row r="25" spans="1:27" ht="15.75">
      <c r="A25" s="198" t="s">
        <v>17</v>
      </c>
      <c r="B25" s="198"/>
      <c r="C25" s="198"/>
      <c r="D25" s="198"/>
      <c r="E25" s="198"/>
      <c r="F25" s="198"/>
      <c r="G25" s="198"/>
      <c r="H25" s="198"/>
      <c r="I25" s="198"/>
      <c r="J25" s="198"/>
      <c r="K25" s="198"/>
      <c r="L25" s="209">
        <f>Z24+AA24</f>
        <v>5244</v>
      </c>
      <c r="M25" s="209"/>
      <c r="N25" s="209"/>
    </row>
    <row r="26" spans="1:27" ht="15.75">
      <c r="A26" s="198" t="s">
        <v>18</v>
      </c>
      <c r="B26" s="198"/>
      <c r="C26" s="198"/>
      <c r="D26" s="198"/>
      <c r="E26" s="198"/>
      <c r="F26" s="198"/>
      <c r="G26" s="198"/>
      <c r="H26" s="198"/>
      <c r="I26" s="198"/>
      <c r="J26" s="198"/>
      <c r="K26" s="198"/>
      <c r="L26" s="209">
        <f>L24-L25</f>
        <v>30672</v>
      </c>
      <c r="M26" s="209"/>
      <c r="N26" s="209"/>
    </row>
    <row r="27" spans="1:27" ht="15.75">
      <c r="A27" s="198" t="s">
        <v>19</v>
      </c>
      <c r="B27" s="198"/>
      <c r="C27" s="198"/>
      <c r="D27" s="198"/>
      <c r="E27" s="198"/>
      <c r="F27" s="198"/>
      <c r="G27" s="198"/>
      <c r="H27" s="198"/>
      <c r="I27" s="198"/>
      <c r="J27" s="198"/>
      <c r="K27" s="198"/>
      <c r="L27" s="213">
        <f>M36</f>
        <v>4974</v>
      </c>
      <c r="M27" s="213"/>
      <c r="N27" s="213"/>
    </row>
    <row r="28" spans="1:27" ht="30" customHeight="1">
      <c r="A28" s="211" t="s">
        <v>20</v>
      </c>
      <c r="B28" s="211"/>
      <c r="C28" s="211"/>
      <c r="D28" s="211"/>
      <c r="E28" s="211"/>
      <c r="F28" s="211"/>
      <c r="G28" s="211"/>
      <c r="H28" s="211"/>
      <c r="I28" s="211"/>
      <c r="J28" s="211"/>
      <c r="K28" s="211"/>
      <c r="L28" s="214">
        <f>L26-L27</f>
        <v>25698</v>
      </c>
      <c r="M28" s="214"/>
      <c r="N28" s="214"/>
    </row>
    <row r="29" spans="1:27" ht="9.75" customHeight="1"/>
    <row r="30" spans="1:27">
      <c r="A30" s="212" t="s">
        <v>21</v>
      </c>
      <c r="B30" s="212"/>
      <c r="C30" s="212"/>
      <c r="D30" s="212"/>
      <c r="E30" s="212"/>
      <c r="F30" s="212"/>
      <c r="G30" s="212"/>
      <c r="H30" s="212"/>
      <c r="I30" s="212"/>
      <c r="J30" s="212"/>
      <c r="K30" s="212"/>
      <c r="L30" s="212"/>
      <c r="M30" s="212"/>
      <c r="N30" s="212"/>
    </row>
    <row r="31" spans="1:27" s="1" customFormat="1" ht="111.75" customHeight="1">
      <c r="A31" s="215" t="s">
        <v>22</v>
      </c>
      <c r="B31" s="215"/>
      <c r="C31" s="215" t="s">
        <v>23</v>
      </c>
      <c r="D31" s="215"/>
      <c r="E31" s="215" t="s">
        <v>24</v>
      </c>
      <c r="F31" s="215"/>
      <c r="G31" s="215" t="s">
        <v>25</v>
      </c>
      <c r="H31" s="215"/>
      <c r="I31" s="215" t="s">
        <v>26</v>
      </c>
      <c r="J31" s="215"/>
      <c r="K31" s="215" t="s">
        <v>27</v>
      </c>
      <c r="L31" s="215"/>
      <c r="M31" s="215" t="s">
        <v>28</v>
      </c>
      <c r="N31" s="215"/>
    </row>
    <row r="32" spans="1:27">
      <c r="A32" s="193">
        <v>1</v>
      </c>
      <c r="B32" s="193"/>
      <c r="C32" s="193">
        <v>2</v>
      </c>
      <c r="D32" s="193"/>
      <c r="E32" s="193">
        <v>3</v>
      </c>
      <c r="F32" s="193"/>
      <c r="G32" s="193">
        <v>4</v>
      </c>
      <c r="H32" s="193"/>
      <c r="I32" s="193">
        <v>5</v>
      </c>
      <c r="J32" s="193"/>
      <c r="K32" s="193">
        <v>6</v>
      </c>
      <c r="L32" s="193"/>
      <c r="M32" s="193">
        <v>7</v>
      </c>
      <c r="N32" s="193"/>
    </row>
    <row r="33" spans="1:29">
      <c r="A33" s="193" t="s">
        <v>29</v>
      </c>
      <c r="B33" s="193"/>
      <c r="C33" s="218">
        <f>ROUND('89 (1) Form'!L8,-1)</f>
        <v>138600</v>
      </c>
      <c r="D33" s="219"/>
      <c r="E33" s="218">
        <f>ROUND('89 (1) Form'!L9,-1)</f>
        <v>64160</v>
      </c>
      <c r="F33" s="219"/>
      <c r="G33" s="219">
        <f>C33+E33</f>
        <v>202760</v>
      </c>
      <c r="H33" s="219"/>
      <c r="I33" s="219">
        <f>Z33+AB33</f>
        <v>0</v>
      </c>
      <c r="J33" s="219"/>
      <c r="K33" s="219">
        <f>AA33+AC33</f>
        <v>0</v>
      </c>
      <c r="L33" s="219"/>
      <c r="M33" s="219">
        <f>K33-I33</f>
        <v>0</v>
      </c>
      <c r="N33" s="219"/>
      <c r="Z33">
        <f>ROUND(IF(C33&lt;=270000,0,IF(C33&lt;=500000,(C33-270000)*0.1,IF(C33&lt;=1000000,23000+(C33-500000)*0.2,IF(C33&gt;1000000,123000+(C33-1000000)*0.3,"0")))),0)</f>
        <v>0</v>
      </c>
      <c r="AA33">
        <f>ROUND(IF(G33&lt;=270000,0,IF(G33&lt;=500000,(G33-270000)*0.1,IF(G33&lt;=1000000,23000+(G33-500000)*0.2,IF(G33&gt;1000000,123000+(G33-1000000)*0.3,"0")))),0)</f>
        <v>0</v>
      </c>
      <c r="AB33">
        <f t="shared" ref="AB33:AC35" si="0">ROUND(Z33*3%,0)</f>
        <v>0</v>
      </c>
      <c r="AC33">
        <f t="shared" si="0"/>
        <v>0</v>
      </c>
    </row>
    <row r="34" spans="1:29">
      <c r="A34" s="193" t="s">
        <v>30</v>
      </c>
      <c r="B34" s="193"/>
      <c r="C34" s="218">
        <f>ROUND('89 (1) Form'!L11,-1)</f>
        <v>153600</v>
      </c>
      <c r="D34" s="219"/>
      <c r="E34" s="218">
        <f>ROUND('89 (1) Form'!L12,-1)</f>
        <v>151450</v>
      </c>
      <c r="F34" s="219"/>
      <c r="G34" s="219">
        <f>C34+E34</f>
        <v>305050</v>
      </c>
      <c r="H34" s="219"/>
      <c r="I34" s="219">
        <f>Z34+AB34</f>
        <v>0</v>
      </c>
      <c r="J34" s="219"/>
      <c r="K34" s="219">
        <f>AA34+AC34</f>
        <v>3610</v>
      </c>
      <c r="L34" s="219"/>
      <c r="M34" s="219">
        <f>K34-I34</f>
        <v>3610</v>
      </c>
      <c r="N34" s="219"/>
      <c r="Z34">
        <f>ROUND(IF(C34&lt;=270000,0,IF(C34&lt;=500000,(C34-270000)*0.1,IF(C34&lt;=1000000,23000+(C34-500000)*0.2,IF(C34&gt;1000000,123000+(C34-1000000)*0.3,"0")))),0)</f>
        <v>0</v>
      </c>
      <c r="AA34">
        <f>ROUND(IF(G34&lt;=270000,0,IF(G34&lt;=500000,(G34-270000)*0.1,IF(G34&lt;=1000000,23000+(G34-500000)*0.2,IF(G34&gt;1000000,123000+(G34-1000000)*0.3,"0")))),0)</f>
        <v>3505</v>
      </c>
      <c r="AB34">
        <f t="shared" si="0"/>
        <v>0</v>
      </c>
      <c r="AC34">
        <f t="shared" si="0"/>
        <v>105</v>
      </c>
    </row>
    <row r="35" spans="1:29">
      <c r="A35" s="193" t="s">
        <v>31</v>
      </c>
      <c r="B35" s="193"/>
      <c r="C35" s="218">
        <f>ROUND('89 (1) Form'!L14,-1)</f>
        <v>379800</v>
      </c>
      <c r="D35" s="219"/>
      <c r="E35" s="218">
        <f>ROUND('89 (1) Form'!L15,-1)</f>
        <v>13240</v>
      </c>
      <c r="F35" s="218"/>
      <c r="G35" s="218">
        <f>C35+E35</f>
        <v>393040</v>
      </c>
      <c r="H35" s="218"/>
      <c r="I35" s="219">
        <f>Z35+AB35</f>
        <v>8219</v>
      </c>
      <c r="J35" s="219"/>
      <c r="K35" s="219">
        <f>AA35+AC35</f>
        <v>9583</v>
      </c>
      <c r="L35" s="219"/>
      <c r="M35" s="219">
        <f>K35-I35</f>
        <v>1364</v>
      </c>
      <c r="N35" s="219"/>
      <c r="Z35">
        <f>ROUND(IF(C35&lt;=300000,0,IF(C35&lt;=500000,(C35-300000)*0.1,IF(C35&lt;=1000000,20000+(C35-500000)*0.2,IF(C35&gt;1000000,120000+(C35-1000000)*0.3,"0")))),0)</f>
        <v>7980</v>
      </c>
      <c r="AA35">
        <f>ROUND(IF(G35&lt;=300000,0,IF(G35&lt;=500000,(G35-300000)*0.1,IF(G35&lt;=1000000,20000+(G35-500000)*0.2,IF(G35&gt;1000000,120000+(G35-1000000)*0.3,"0")))),0)</f>
        <v>9304</v>
      </c>
      <c r="AB35">
        <f t="shared" si="0"/>
        <v>239</v>
      </c>
      <c r="AC35">
        <f t="shared" si="0"/>
        <v>279</v>
      </c>
    </row>
    <row r="36" spans="1:29" ht="18" customHeight="1">
      <c r="A36" s="216" t="s">
        <v>32</v>
      </c>
      <c r="B36" s="217"/>
      <c r="C36" s="220"/>
      <c r="D36" s="221"/>
      <c r="E36" s="220"/>
      <c r="F36" s="221"/>
      <c r="G36" s="220"/>
      <c r="H36" s="221"/>
      <c r="I36" s="220"/>
      <c r="J36" s="221"/>
      <c r="K36" s="220"/>
      <c r="L36" s="221"/>
      <c r="M36" s="222">
        <f>SUM(M33:N35)</f>
        <v>4974</v>
      </c>
      <c r="N36" s="223"/>
    </row>
  </sheetData>
  <sheetProtection password="C1FB" sheet="1" objects="1" scenarios="1" formatCells="0" formatColumns="0" formatRows="0" selectLockedCells="1"/>
  <mergeCells count="91">
    <mergeCell ref="A15:C15"/>
    <mergeCell ref="D15:E15"/>
    <mergeCell ref="B17:C17"/>
    <mergeCell ref="E20:J20"/>
    <mergeCell ref="A14:D14"/>
    <mergeCell ref="B16:C16"/>
    <mergeCell ref="B13:E13"/>
    <mergeCell ref="F13:N13"/>
    <mergeCell ref="E35:F35"/>
    <mergeCell ref="G35:H35"/>
    <mergeCell ref="I35:J35"/>
    <mergeCell ref="K35:L35"/>
    <mergeCell ref="M35:N35"/>
    <mergeCell ref="E34:F34"/>
    <mergeCell ref="G34:H34"/>
    <mergeCell ref="I34:J34"/>
    <mergeCell ref="K34:L34"/>
    <mergeCell ref="M34:N34"/>
    <mergeCell ref="M33:N33"/>
    <mergeCell ref="M32:N32"/>
    <mergeCell ref="A33:B33"/>
    <mergeCell ref="A34:B34"/>
    <mergeCell ref="E36:F36"/>
    <mergeCell ref="G36:H36"/>
    <mergeCell ref="I36:J36"/>
    <mergeCell ref="K36:L36"/>
    <mergeCell ref="M36:N36"/>
    <mergeCell ref="I32:J32"/>
    <mergeCell ref="K32:L32"/>
    <mergeCell ref="I33:J33"/>
    <mergeCell ref="K33:L33"/>
    <mergeCell ref="A32:B32"/>
    <mergeCell ref="C32:D32"/>
    <mergeCell ref="E32:F32"/>
    <mergeCell ref="G32:H32"/>
    <mergeCell ref="E33:F33"/>
    <mergeCell ref="G33:H33"/>
    <mergeCell ref="A36:B36"/>
    <mergeCell ref="C33:D33"/>
    <mergeCell ref="C34:D34"/>
    <mergeCell ref="C35:D35"/>
    <mergeCell ref="C36:D36"/>
    <mergeCell ref="A35:B35"/>
    <mergeCell ref="A30:N30"/>
    <mergeCell ref="L26:N26"/>
    <mergeCell ref="L27:N27"/>
    <mergeCell ref="L28:N28"/>
    <mergeCell ref="A31:B31"/>
    <mergeCell ref="C31:D31"/>
    <mergeCell ref="E31:F31"/>
    <mergeCell ref="G31:H31"/>
    <mergeCell ref="I31:J31"/>
    <mergeCell ref="K31:L31"/>
    <mergeCell ref="M31:N31"/>
    <mergeCell ref="L25:N25"/>
    <mergeCell ref="A25:K25"/>
    <mergeCell ref="A26:K26"/>
    <mergeCell ref="A27:K27"/>
    <mergeCell ref="A28:K28"/>
    <mergeCell ref="L22:N22"/>
    <mergeCell ref="L23:N23"/>
    <mergeCell ref="L24:N24"/>
    <mergeCell ref="A24:K24"/>
    <mergeCell ref="A23:K23"/>
    <mergeCell ref="K17:N17"/>
    <mergeCell ref="A19:N19"/>
    <mergeCell ref="A22:K22"/>
    <mergeCell ref="A7:K7"/>
    <mergeCell ref="L7:N7"/>
    <mergeCell ref="A8:K8"/>
    <mergeCell ref="A9:K9"/>
    <mergeCell ref="A10:K10"/>
    <mergeCell ref="A11:K11"/>
    <mergeCell ref="A12:N12"/>
    <mergeCell ref="L8:N8"/>
    <mergeCell ref="L9:N9"/>
    <mergeCell ref="L10:N10"/>
    <mergeCell ref="L11:N11"/>
    <mergeCell ref="A21:K21"/>
    <mergeCell ref="L21:N21"/>
    <mergeCell ref="A6:N6"/>
    <mergeCell ref="A1:N1"/>
    <mergeCell ref="A2:N2"/>
    <mergeCell ref="H5:I5"/>
    <mergeCell ref="J5:N5"/>
    <mergeCell ref="A5:B5"/>
    <mergeCell ref="A4:B4"/>
    <mergeCell ref="A3:B3"/>
    <mergeCell ref="C3:N3"/>
    <mergeCell ref="C4:N4"/>
    <mergeCell ref="C5:G5"/>
  </mergeCells>
  <pageMargins left="0.45" right="0.2" top="0.35" bottom="0.2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1:W41"/>
  <sheetViews>
    <sheetView workbookViewId="0">
      <selection activeCell="H28" sqref="H28"/>
    </sheetView>
  </sheetViews>
  <sheetFormatPr defaultColWidth="8.85546875" defaultRowHeight="15"/>
  <cols>
    <col min="1" max="3" width="8.85546875" style="11"/>
    <col min="4" max="8" width="7.7109375" style="11" customWidth="1"/>
    <col min="9" max="9" width="8.85546875" style="11"/>
    <col min="10" max="10" width="12.28515625" style="11" customWidth="1"/>
    <col min="11" max="11" width="8.85546875" style="11"/>
    <col min="12" max="12" width="7.7109375" style="11" customWidth="1"/>
    <col min="13" max="18" width="8.85546875" style="11"/>
    <col min="19" max="19" width="11.42578125" style="11" bestFit="1" customWidth="1"/>
    <col min="20" max="20" width="10.140625" style="11" customWidth="1"/>
    <col min="21" max="21" width="10" style="11" customWidth="1"/>
    <col min="22" max="16384" width="8.85546875" style="11"/>
  </cols>
  <sheetData>
    <row r="1" spans="1:22" ht="21">
      <c r="A1" s="20"/>
      <c r="B1" s="233" t="str">
        <f>'Master Data'!E1</f>
        <v>Block Elementry Education , Panchayat Samiti- Sojat City (pali)</v>
      </c>
      <c r="C1" s="233"/>
      <c r="D1" s="233"/>
      <c r="E1" s="233"/>
      <c r="F1" s="233"/>
      <c r="G1" s="233"/>
      <c r="H1" s="233"/>
      <c r="I1" s="233"/>
      <c r="J1" s="233"/>
      <c r="K1" s="233"/>
      <c r="L1" s="233"/>
      <c r="M1" s="233"/>
      <c r="N1" s="233"/>
      <c r="O1" s="233"/>
      <c r="P1" s="233"/>
      <c r="Q1" s="233"/>
      <c r="R1" s="233"/>
      <c r="S1" s="233"/>
    </row>
    <row r="2" spans="1:22" ht="18.75">
      <c r="E2" s="234" t="s">
        <v>108</v>
      </c>
      <c r="F2" s="234"/>
      <c r="G2" s="234"/>
      <c r="H2" s="234"/>
      <c r="I2" s="234"/>
      <c r="J2" s="234"/>
      <c r="K2" s="234"/>
      <c r="L2" s="234"/>
      <c r="M2" s="234"/>
      <c r="N2" s="234"/>
      <c r="O2" s="234"/>
      <c r="P2" s="234"/>
    </row>
    <row r="3" spans="1:22" ht="18.75">
      <c r="A3" s="235" t="s">
        <v>109</v>
      </c>
      <c r="B3" s="235"/>
      <c r="C3" s="235"/>
      <c r="D3" s="236" t="str">
        <f>UPPER('Master Data'!E2)</f>
        <v>MOTIRAM</v>
      </c>
      <c r="E3" s="236"/>
      <c r="F3" s="236"/>
      <c r="G3" s="236"/>
      <c r="H3" s="21" t="s">
        <v>110</v>
      </c>
      <c r="I3" s="237" t="str">
        <f>PROPER('Master Data'!K2)</f>
        <v>Teacher</v>
      </c>
      <c r="J3" s="237"/>
      <c r="K3" s="237"/>
      <c r="L3" s="235" t="s">
        <v>111</v>
      </c>
      <c r="M3" s="235"/>
      <c r="N3" s="235"/>
      <c r="O3" s="238" t="str">
        <f>UPPER('Master Data'!P2)</f>
        <v>G.U.P.S. POTALIYA</v>
      </c>
      <c r="P3" s="238"/>
      <c r="Q3" s="238"/>
      <c r="R3" s="238"/>
      <c r="S3" s="238"/>
      <c r="T3" s="238"/>
      <c r="U3" s="238"/>
      <c r="V3" s="22"/>
    </row>
    <row r="4" spans="1:22" ht="15.75" customHeight="1">
      <c r="A4" s="249" t="s">
        <v>86</v>
      </c>
      <c r="B4" s="251" t="s">
        <v>96</v>
      </c>
      <c r="C4" s="251"/>
      <c r="D4" s="251"/>
      <c r="E4" s="251"/>
      <c r="F4" s="251"/>
      <c r="G4" s="251"/>
      <c r="H4" s="251"/>
      <c r="I4" s="251"/>
      <c r="J4" s="249" t="s">
        <v>95</v>
      </c>
      <c r="K4" s="259" t="s">
        <v>87</v>
      </c>
      <c r="L4" s="259"/>
      <c r="M4" s="259"/>
      <c r="N4" s="253" t="s">
        <v>74</v>
      </c>
      <c r="O4" s="254"/>
      <c r="P4" s="254"/>
      <c r="Q4" s="254"/>
      <c r="R4" s="255"/>
      <c r="S4" s="260" t="s">
        <v>132</v>
      </c>
      <c r="T4" s="261" t="s">
        <v>91</v>
      </c>
      <c r="U4" s="261" t="s">
        <v>92</v>
      </c>
    </row>
    <row r="5" spans="1:22" s="24" customFormat="1" ht="45" customHeight="1">
      <c r="A5" s="250"/>
      <c r="B5" s="23" t="str">
        <f>'Master Data'!D5:D6</f>
        <v>Basic With Grade Pay</v>
      </c>
      <c r="C5" s="23" t="str">
        <f>'Master Data'!E5:E6</f>
        <v>D.A.</v>
      </c>
      <c r="D5" s="23" t="str">
        <f>'Master Data'!F5:F6</f>
        <v>H.R.A.          %</v>
      </c>
      <c r="E5" s="23" t="str">
        <f>'Master Data'!G5:G6</f>
        <v>C.C.A.</v>
      </c>
      <c r="F5" s="23" t="str">
        <f>'Master Data'!H5:H6</f>
        <v>Handi. All.</v>
      </c>
      <c r="G5" s="23" t="str">
        <f>'Master Data'!I5:I6</f>
        <v>Other All.</v>
      </c>
      <c r="H5" s="23" t="str">
        <f>IF(AND('Master Data'!J5=""),"",'Master Data'!J5)</f>
        <v/>
      </c>
      <c r="I5" s="23" t="s">
        <v>85</v>
      </c>
      <c r="J5" s="256"/>
      <c r="K5" s="6" t="s">
        <v>97</v>
      </c>
      <c r="L5" s="6" t="s">
        <v>62</v>
      </c>
      <c r="M5" s="6" t="s">
        <v>32</v>
      </c>
      <c r="N5" s="5" t="s">
        <v>93</v>
      </c>
      <c r="O5" s="5" t="s">
        <v>88</v>
      </c>
      <c r="P5" s="5" t="s">
        <v>89</v>
      </c>
      <c r="Q5" s="5" t="s">
        <v>94</v>
      </c>
      <c r="R5" s="5" t="s">
        <v>90</v>
      </c>
      <c r="S5" s="260"/>
      <c r="T5" s="261"/>
      <c r="U5" s="261"/>
    </row>
    <row r="6" spans="1:22">
      <c r="A6" s="25">
        <f>'Master Data'!B14</f>
        <v>41883</v>
      </c>
      <c r="B6" s="26">
        <f>ROUND('Master Data'!D14,0)</f>
        <v>12330</v>
      </c>
      <c r="C6" s="26">
        <f>'Master Data'!E14</f>
        <v>5061</v>
      </c>
      <c r="D6" s="26">
        <f>'Master Data'!F14</f>
        <v>473</v>
      </c>
      <c r="E6" s="26">
        <f>'Master Data'!G14</f>
        <v>0</v>
      </c>
      <c r="F6" s="26">
        <f>'Master Data'!H14</f>
        <v>0</v>
      </c>
      <c r="G6" s="26">
        <f>'Master Data'!I14</f>
        <v>0</v>
      </c>
      <c r="H6" s="26">
        <f>'Master Data'!J14</f>
        <v>0</v>
      </c>
      <c r="I6" s="27">
        <f>'Master Data'!K14</f>
        <v>17864</v>
      </c>
      <c r="J6" s="4">
        <f>'Master Data'!L14</f>
        <v>12000</v>
      </c>
      <c r="K6" s="4">
        <f>IF(AND(I6=""),"",IF(AND(J6=""),"",I6-J6))</f>
        <v>5864</v>
      </c>
      <c r="L6" s="39"/>
      <c r="M6" s="4">
        <f>IF(AND(K6=""),"",SUM(K6:L6))</f>
        <v>5864</v>
      </c>
      <c r="N6" s="7">
        <f>'Master Data'!W14</f>
        <v>0</v>
      </c>
      <c r="O6" s="7">
        <f>ROUND('Master Data'!V14,0)</f>
        <v>979</v>
      </c>
      <c r="P6" s="129">
        <f>'Master Data'!U14</f>
        <v>586.4</v>
      </c>
      <c r="Q6" s="7">
        <f>'Master Data'!X14</f>
        <v>0</v>
      </c>
      <c r="R6" s="7">
        <f>ROUND('Master Data'!Y14,0)</f>
        <v>1565</v>
      </c>
      <c r="S6" s="7">
        <f>'Master Data'!Z14</f>
        <v>4299</v>
      </c>
      <c r="T6" s="28" t="str">
        <f>IF(AND('Master Data'!AA14=""),"",'Master Data'!AA14)</f>
        <v/>
      </c>
      <c r="U6" s="28" t="str">
        <f>IF(AND('Master Data'!AB14=""),"",'Master Data'!AB14)</f>
        <v/>
      </c>
    </row>
    <row r="7" spans="1:22">
      <c r="A7" s="25">
        <f>'Master Data'!B15</f>
        <v>41913</v>
      </c>
      <c r="B7" s="26">
        <f>ROUND('Master Data'!D15,0)</f>
        <v>12900</v>
      </c>
      <c r="C7" s="26">
        <f>'Master Data'!E15</f>
        <v>13803</v>
      </c>
      <c r="D7" s="26">
        <f>'Master Data'!F15</f>
        <v>1290</v>
      </c>
      <c r="E7" s="26">
        <f>'Master Data'!G15</f>
        <v>0</v>
      </c>
      <c r="F7" s="26">
        <f>'Master Data'!H15</f>
        <v>0</v>
      </c>
      <c r="G7" s="26">
        <f>'Master Data'!I15</f>
        <v>0</v>
      </c>
      <c r="H7" s="26">
        <f>'Master Data'!J15</f>
        <v>0</v>
      </c>
      <c r="I7" s="27">
        <f>'Master Data'!K15</f>
        <v>27993</v>
      </c>
      <c r="J7" s="4">
        <f>'Master Data'!L15</f>
        <v>12000</v>
      </c>
      <c r="K7" s="4">
        <f t="shared" ref="K7:K22" si="0">IF(AND(I7=""),"",IF(AND(J7=""),"",I7-J7))</f>
        <v>15993</v>
      </c>
      <c r="L7" s="4" t="str">
        <f>IF(AND(L6=""),"",L6)</f>
        <v/>
      </c>
      <c r="M7" s="4">
        <f t="shared" ref="M7:M22" si="1">IF(AND(K7=""),"",SUM(K7:L7))</f>
        <v>15993</v>
      </c>
      <c r="N7" s="7">
        <f>'Master Data'!W15</f>
        <v>0</v>
      </c>
      <c r="O7" s="7">
        <f>ROUND('Master Data'!V15,0)</f>
        <v>2670</v>
      </c>
      <c r="P7" s="129">
        <f>'Master Data'!U15</f>
        <v>1599.3000000000002</v>
      </c>
      <c r="Q7" s="7">
        <f>'Master Data'!X15</f>
        <v>0</v>
      </c>
      <c r="R7" s="7">
        <f>ROUND('Master Data'!Y15,0)</f>
        <v>4269</v>
      </c>
      <c r="S7" s="7">
        <f>'Master Data'!Z15</f>
        <v>11724</v>
      </c>
      <c r="T7" s="28" t="str">
        <f>IF(AND('Master Data'!AA15=""),"",'Master Data'!AA15)</f>
        <v/>
      </c>
      <c r="U7" s="28" t="str">
        <f>IF(AND('Master Data'!AB15=""),"",'Master Data'!AB15)</f>
        <v/>
      </c>
    </row>
    <row r="8" spans="1:22">
      <c r="A8" s="25">
        <f>'Master Data'!B16</f>
        <v>41944</v>
      </c>
      <c r="B8" s="26">
        <f>ROUND('Master Data'!D16,0)</f>
        <v>12900</v>
      </c>
      <c r="C8" s="26">
        <f>'Master Data'!E16</f>
        <v>13803</v>
      </c>
      <c r="D8" s="26">
        <f>'Master Data'!F16</f>
        <v>1290</v>
      </c>
      <c r="E8" s="26">
        <f>'Master Data'!G16</f>
        <v>0</v>
      </c>
      <c r="F8" s="26">
        <f>'Master Data'!H16</f>
        <v>0</v>
      </c>
      <c r="G8" s="26">
        <f>'Master Data'!I16</f>
        <v>0</v>
      </c>
      <c r="H8" s="26">
        <f>'Master Data'!J16</f>
        <v>0</v>
      </c>
      <c r="I8" s="27">
        <f>'Master Data'!K16</f>
        <v>27993</v>
      </c>
      <c r="J8" s="4">
        <f>'Master Data'!L16</f>
        <v>12000</v>
      </c>
      <c r="K8" s="4">
        <f t="shared" si="0"/>
        <v>15993</v>
      </c>
      <c r="L8" s="4" t="str">
        <f t="shared" ref="L8:L23" si="2">L7</f>
        <v/>
      </c>
      <c r="M8" s="4">
        <f t="shared" si="1"/>
        <v>15993</v>
      </c>
      <c r="N8" s="7">
        <f>'Master Data'!W16</f>
        <v>0</v>
      </c>
      <c r="O8" s="7">
        <f>ROUND('Master Data'!V16,0)</f>
        <v>2670</v>
      </c>
      <c r="P8" s="129">
        <f>'Master Data'!U16</f>
        <v>1599.3000000000002</v>
      </c>
      <c r="Q8" s="7">
        <f>'Master Data'!X16</f>
        <v>0</v>
      </c>
      <c r="R8" s="7">
        <f>ROUND('Master Data'!Y16,0)</f>
        <v>4269</v>
      </c>
      <c r="S8" s="7">
        <f>'Master Data'!Z16</f>
        <v>11724</v>
      </c>
      <c r="T8" s="28" t="str">
        <f>IF(AND('Master Data'!AA16=""),"",'Master Data'!AA16)</f>
        <v/>
      </c>
      <c r="U8" s="28" t="str">
        <f>IF(AND('Master Data'!AB16=""),"",'Master Data'!AB16)</f>
        <v/>
      </c>
    </row>
    <row r="9" spans="1:22">
      <c r="A9" s="25">
        <f>'Master Data'!B17</f>
        <v>41974</v>
      </c>
      <c r="B9" s="26">
        <f>ROUND('Master Data'!D17,0)</f>
        <v>12900</v>
      </c>
      <c r="C9" s="26">
        <f>'Master Data'!E17</f>
        <v>13803</v>
      </c>
      <c r="D9" s="26">
        <f>'Master Data'!F17</f>
        <v>1290</v>
      </c>
      <c r="E9" s="26">
        <f>'Master Data'!G17</f>
        <v>0</v>
      </c>
      <c r="F9" s="26">
        <f>'Master Data'!H17</f>
        <v>0</v>
      </c>
      <c r="G9" s="26">
        <f>'Master Data'!I17</f>
        <v>0</v>
      </c>
      <c r="H9" s="26">
        <f>'Master Data'!J17</f>
        <v>0</v>
      </c>
      <c r="I9" s="27">
        <f>'Master Data'!K17</f>
        <v>27993</v>
      </c>
      <c r="J9" s="4">
        <f>'Master Data'!L17</f>
        <v>12000</v>
      </c>
      <c r="K9" s="4">
        <f t="shared" si="0"/>
        <v>15993</v>
      </c>
      <c r="L9" s="4" t="str">
        <f t="shared" si="2"/>
        <v/>
      </c>
      <c r="M9" s="4">
        <f t="shared" si="1"/>
        <v>15993</v>
      </c>
      <c r="N9" s="7">
        <f>'Master Data'!W17</f>
        <v>0</v>
      </c>
      <c r="O9" s="7">
        <f>ROUND('Master Data'!V17,0)</f>
        <v>2670</v>
      </c>
      <c r="P9" s="129">
        <f>'Master Data'!U17</f>
        <v>1599.3000000000002</v>
      </c>
      <c r="Q9" s="7">
        <f>'Master Data'!X17</f>
        <v>0</v>
      </c>
      <c r="R9" s="7">
        <f>ROUND('Master Data'!Y17,0)</f>
        <v>4269</v>
      </c>
      <c r="S9" s="7">
        <f>'Master Data'!Z17</f>
        <v>11724</v>
      </c>
      <c r="T9" s="28" t="str">
        <f>IF(AND('Master Data'!AA17=""),"",'Master Data'!AA17)</f>
        <v/>
      </c>
      <c r="U9" s="28" t="str">
        <f>IF(AND('Master Data'!AB17=""),"",'Master Data'!AB17)</f>
        <v/>
      </c>
    </row>
    <row r="10" spans="1:22">
      <c r="A10" s="25">
        <f>'Master Data'!B18</f>
        <v>42005</v>
      </c>
      <c r="B10" s="26">
        <f>ROUND('Master Data'!D18,0)</f>
        <v>12900</v>
      </c>
      <c r="C10" s="26">
        <f>'Master Data'!E18</f>
        <v>14577</v>
      </c>
      <c r="D10" s="26">
        <f>'Master Data'!F18</f>
        <v>1290</v>
      </c>
      <c r="E10" s="26">
        <f>'Master Data'!G18</f>
        <v>0</v>
      </c>
      <c r="F10" s="26">
        <f>'Master Data'!H18</f>
        <v>0</v>
      </c>
      <c r="G10" s="26">
        <f>'Master Data'!I18</f>
        <v>0</v>
      </c>
      <c r="H10" s="26">
        <f>'Master Data'!J18</f>
        <v>0</v>
      </c>
      <c r="I10" s="27">
        <f>'Master Data'!K18</f>
        <v>28767</v>
      </c>
      <c r="J10" s="4">
        <f>'Master Data'!L18</f>
        <v>12000</v>
      </c>
      <c r="K10" s="4">
        <f t="shared" si="0"/>
        <v>16767</v>
      </c>
      <c r="L10" s="4" t="str">
        <f t="shared" si="2"/>
        <v/>
      </c>
      <c r="M10" s="4">
        <f t="shared" si="1"/>
        <v>16767</v>
      </c>
      <c r="N10" s="7">
        <f>'Master Data'!W18</f>
        <v>0</v>
      </c>
      <c r="O10" s="7">
        <f>ROUND('Master Data'!V18,0)</f>
        <v>2748</v>
      </c>
      <c r="P10" s="129">
        <f>'Master Data'!U18</f>
        <v>1676.7</v>
      </c>
      <c r="Q10" s="7">
        <f>'Master Data'!X18</f>
        <v>0</v>
      </c>
      <c r="R10" s="7">
        <f>ROUND('Master Data'!Y18,0)</f>
        <v>4425</v>
      </c>
      <c r="S10" s="7">
        <f>'Master Data'!Z18</f>
        <v>12342</v>
      </c>
      <c r="T10" s="28" t="str">
        <f>IF(AND('Master Data'!AA18=""),"",'Master Data'!AA18)</f>
        <v/>
      </c>
      <c r="U10" s="28" t="str">
        <f>IF(AND('Master Data'!AB18=""),"",'Master Data'!AB18)</f>
        <v/>
      </c>
    </row>
    <row r="11" spans="1:22">
      <c r="A11" s="25">
        <f>'Master Data'!B19</f>
        <v>42036</v>
      </c>
      <c r="B11" s="26">
        <f>ROUND('Master Data'!D19,0)</f>
        <v>12900</v>
      </c>
      <c r="C11" s="26">
        <f>'Master Data'!E19</f>
        <v>14577</v>
      </c>
      <c r="D11" s="26">
        <f>'Master Data'!F19</f>
        <v>1290</v>
      </c>
      <c r="E11" s="26">
        <f>'Master Data'!G19</f>
        <v>0</v>
      </c>
      <c r="F11" s="26">
        <f>'Master Data'!H19</f>
        <v>0</v>
      </c>
      <c r="G11" s="26">
        <f>'Master Data'!I19</f>
        <v>0</v>
      </c>
      <c r="H11" s="26">
        <f>'Master Data'!J19</f>
        <v>0</v>
      </c>
      <c r="I11" s="27">
        <f>'Master Data'!K19</f>
        <v>28767</v>
      </c>
      <c r="J11" s="4">
        <f>'Master Data'!L19</f>
        <v>12000</v>
      </c>
      <c r="K11" s="4">
        <f t="shared" si="0"/>
        <v>16767</v>
      </c>
      <c r="L11" s="4" t="str">
        <f t="shared" si="2"/>
        <v/>
      </c>
      <c r="M11" s="4">
        <f t="shared" si="1"/>
        <v>16767</v>
      </c>
      <c r="N11" s="7">
        <f>'Master Data'!W19</f>
        <v>0</v>
      </c>
      <c r="O11" s="7">
        <f>ROUND('Master Data'!V19,0)</f>
        <v>2748</v>
      </c>
      <c r="P11" s="129">
        <f>'Master Data'!U19</f>
        <v>1676.7</v>
      </c>
      <c r="Q11" s="7">
        <f>'Master Data'!X19</f>
        <v>0</v>
      </c>
      <c r="R11" s="7">
        <f>ROUND('Master Data'!Y19,0)</f>
        <v>4425</v>
      </c>
      <c r="S11" s="7">
        <f>'Master Data'!Z19</f>
        <v>12342</v>
      </c>
      <c r="T11" s="28" t="str">
        <f>IF(AND('Master Data'!AA19=""),"",'Master Data'!AA19)</f>
        <v/>
      </c>
      <c r="U11" s="28" t="str">
        <f>IF(AND('Master Data'!AB19=""),"",'Master Data'!AB19)</f>
        <v/>
      </c>
    </row>
    <row r="12" spans="1:22">
      <c r="A12" s="25">
        <f>'Master Data'!B21</f>
        <v>42064</v>
      </c>
      <c r="B12" s="26">
        <f>ROUND('Master Data'!D21,0)</f>
        <v>12900</v>
      </c>
      <c r="C12" s="26">
        <f>'Master Data'!E21</f>
        <v>14577</v>
      </c>
      <c r="D12" s="26">
        <f>'Master Data'!F21</f>
        <v>1290</v>
      </c>
      <c r="E12" s="26">
        <f>'Master Data'!G21</f>
        <v>0</v>
      </c>
      <c r="F12" s="26">
        <f>'Master Data'!H21</f>
        <v>0</v>
      </c>
      <c r="G12" s="26">
        <f>'Master Data'!I21</f>
        <v>0</v>
      </c>
      <c r="H12" s="26">
        <f>'Master Data'!J21</f>
        <v>0</v>
      </c>
      <c r="I12" s="27">
        <f>'Master Data'!K21</f>
        <v>28767</v>
      </c>
      <c r="J12" s="4">
        <f>'Master Data'!L21</f>
        <v>12000</v>
      </c>
      <c r="K12" s="4">
        <f t="shared" si="0"/>
        <v>16767</v>
      </c>
      <c r="L12" s="4" t="str">
        <f t="shared" si="2"/>
        <v/>
      </c>
      <c r="M12" s="4">
        <f t="shared" si="1"/>
        <v>16767</v>
      </c>
      <c r="N12" s="7">
        <f>'Master Data'!W21</f>
        <v>0</v>
      </c>
      <c r="O12" s="7">
        <f>ROUND('Master Data'!V21,0)</f>
        <v>2748</v>
      </c>
      <c r="P12" s="129">
        <f>'Master Data'!U21</f>
        <v>1676.7</v>
      </c>
      <c r="Q12" s="7">
        <f>'Master Data'!X21</f>
        <v>0</v>
      </c>
      <c r="R12" s="7">
        <f>ROUND('Master Data'!Y21,0)</f>
        <v>4425</v>
      </c>
      <c r="S12" s="7">
        <f>'Master Data'!Z21</f>
        <v>12342</v>
      </c>
      <c r="T12" s="28" t="str">
        <f>IF(AND('Master Data'!AA21=""),"",'Master Data'!AA21)</f>
        <v/>
      </c>
      <c r="U12" s="28" t="str">
        <f>IF(AND('Master Data'!AB21=""),"",'Master Data'!AB21)</f>
        <v/>
      </c>
    </row>
    <row r="13" spans="1:22">
      <c r="A13" s="25">
        <f>'Master Data'!B22</f>
        <v>42095</v>
      </c>
      <c r="B13" s="26">
        <f>ROUND('Master Data'!D22,0)</f>
        <v>12900</v>
      </c>
      <c r="C13" s="26">
        <f>'Master Data'!E22</f>
        <v>14577</v>
      </c>
      <c r="D13" s="26">
        <f>'Master Data'!F22</f>
        <v>1290</v>
      </c>
      <c r="E13" s="26">
        <f>'Master Data'!G22</f>
        <v>0</v>
      </c>
      <c r="F13" s="26">
        <f>'Master Data'!H22</f>
        <v>0</v>
      </c>
      <c r="G13" s="26">
        <f>'Master Data'!I22</f>
        <v>0</v>
      </c>
      <c r="H13" s="26">
        <f>'Master Data'!J22</f>
        <v>0</v>
      </c>
      <c r="I13" s="27">
        <f>'Master Data'!K22</f>
        <v>28767</v>
      </c>
      <c r="J13" s="4">
        <f>'Master Data'!L22</f>
        <v>12000</v>
      </c>
      <c r="K13" s="4">
        <f t="shared" si="0"/>
        <v>16767</v>
      </c>
      <c r="L13" s="4" t="str">
        <f t="shared" si="2"/>
        <v/>
      </c>
      <c r="M13" s="4">
        <f t="shared" si="1"/>
        <v>16767</v>
      </c>
      <c r="N13" s="7">
        <f>'Master Data'!W22</f>
        <v>0</v>
      </c>
      <c r="O13" s="7">
        <f>ROUND('Master Data'!V22,0)</f>
        <v>2748</v>
      </c>
      <c r="P13" s="129">
        <f>'Master Data'!U22</f>
        <v>1676.7</v>
      </c>
      <c r="Q13" s="7">
        <f>'Master Data'!X22</f>
        <v>0</v>
      </c>
      <c r="R13" s="7">
        <f>ROUND('Master Data'!Y22,0)</f>
        <v>4425</v>
      </c>
      <c r="S13" s="7">
        <f>'Master Data'!Z22</f>
        <v>12342</v>
      </c>
      <c r="T13" s="28" t="str">
        <f>IF(AND('Master Data'!AA22=""),"",'Master Data'!AA22)</f>
        <v/>
      </c>
      <c r="U13" s="28" t="str">
        <f>IF(AND('Master Data'!AB22=""),"",'Master Data'!AB22)</f>
        <v/>
      </c>
    </row>
    <row r="14" spans="1:22">
      <c r="A14" s="25">
        <f>'Master Data'!B23</f>
        <v>42125</v>
      </c>
      <c r="B14" s="26">
        <f>ROUND('Master Data'!D23,0)</f>
        <v>12900</v>
      </c>
      <c r="C14" s="26">
        <f>'Master Data'!E23</f>
        <v>14577</v>
      </c>
      <c r="D14" s="26">
        <f>'Master Data'!F23</f>
        <v>1290</v>
      </c>
      <c r="E14" s="26">
        <f>'Master Data'!G23</f>
        <v>0</v>
      </c>
      <c r="F14" s="26">
        <f>'Master Data'!H23</f>
        <v>0</v>
      </c>
      <c r="G14" s="26">
        <f>'Master Data'!I23</f>
        <v>0</v>
      </c>
      <c r="H14" s="26">
        <f>'Master Data'!J23</f>
        <v>0</v>
      </c>
      <c r="I14" s="27">
        <f>'Master Data'!K23</f>
        <v>28767</v>
      </c>
      <c r="J14" s="4">
        <f>'Master Data'!L23</f>
        <v>12000</v>
      </c>
      <c r="K14" s="4">
        <f t="shared" si="0"/>
        <v>16767</v>
      </c>
      <c r="L14" s="4" t="str">
        <f t="shared" si="2"/>
        <v/>
      </c>
      <c r="M14" s="4">
        <f t="shared" si="1"/>
        <v>16767</v>
      </c>
      <c r="N14" s="7">
        <f>'Master Data'!W23</f>
        <v>0</v>
      </c>
      <c r="O14" s="7">
        <f>ROUND('Master Data'!V23,0)</f>
        <v>2748</v>
      </c>
      <c r="P14" s="129">
        <f>'Master Data'!U23</f>
        <v>1676.7</v>
      </c>
      <c r="Q14" s="7">
        <f>'Master Data'!X23</f>
        <v>0</v>
      </c>
      <c r="R14" s="7">
        <f>ROUND('Master Data'!Y23,0)</f>
        <v>4425</v>
      </c>
      <c r="S14" s="7">
        <f>'Master Data'!Z23</f>
        <v>12342</v>
      </c>
      <c r="T14" s="28" t="str">
        <f>IF(AND('Master Data'!AA23=""),"",'Master Data'!AA23)</f>
        <v/>
      </c>
      <c r="U14" s="28" t="str">
        <f>IF(AND('Master Data'!AB23=""),"",'Master Data'!AB23)</f>
        <v/>
      </c>
    </row>
    <row r="15" spans="1:22">
      <c r="A15" s="25">
        <f>'Master Data'!B24</f>
        <v>42156</v>
      </c>
      <c r="B15" s="26">
        <f>ROUND('Master Data'!D24,0)</f>
        <v>12900</v>
      </c>
      <c r="C15" s="26">
        <f>'Master Data'!E24</f>
        <v>14577</v>
      </c>
      <c r="D15" s="26">
        <f>'Master Data'!F24</f>
        <v>1290</v>
      </c>
      <c r="E15" s="26">
        <f>'Master Data'!G24</f>
        <v>0</v>
      </c>
      <c r="F15" s="26">
        <f>'Master Data'!H24</f>
        <v>0</v>
      </c>
      <c r="G15" s="26">
        <f>'Master Data'!I24</f>
        <v>0</v>
      </c>
      <c r="H15" s="26">
        <f>'Master Data'!J24</f>
        <v>0</v>
      </c>
      <c r="I15" s="27">
        <f>'Master Data'!K24</f>
        <v>28767</v>
      </c>
      <c r="J15" s="4">
        <f>'Master Data'!L24</f>
        <v>12000</v>
      </c>
      <c r="K15" s="4">
        <f t="shared" si="0"/>
        <v>16767</v>
      </c>
      <c r="L15" s="4" t="str">
        <f t="shared" si="2"/>
        <v/>
      </c>
      <c r="M15" s="4">
        <f t="shared" si="1"/>
        <v>16767</v>
      </c>
      <c r="N15" s="7">
        <f>'Master Data'!W24</f>
        <v>0</v>
      </c>
      <c r="O15" s="7">
        <f>ROUND('Master Data'!V24,0)</f>
        <v>2748</v>
      </c>
      <c r="P15" s="129">
        <f>'Master Data'!U24</f>
        <v>1676.7</v>
      </c>
      <c r="Q15" s="7">
        <f>'Master Data'!X24</f>
        <v>0</v>
      </c>
      <c r="R15" s="7">
        <f>ROUND('Master Data'!Y24,0)</f>
        <v>4425</v>
      </c>
      <c r="S15" s="7">
        <f>'Master Data'!Z24</f>
        <v>12342</v>
      </c>
      <c r="T15" s="28" t="str">
        <f>IF(AND('Master Data'!AA24=""),"",'Master Data'!AA24)</f>
        <v/>
      </c>
      <c r="U15" s="28" t="str">
        <f>IF(AND('Master Data'!AB24=""),"",'Master Data'!AB24)</f>
        <v/>
      </c>
    </row>
    <row r="16" spans="1:22">
      <c r="A16" s="25">
        <f>'Master Data'!B25</f>
        <v>42186</v>
      </c>
      <c r="B16" s="26">
        <f>ROUND('Master Data'!D25,0)</f>
        <v>13290</v>
      </c>
      <c r="C16" s="26">
        <f>'Master Data'!E25</f>
        <v>15815</v>
      </c>
      <c r="D16" s="26">
        <f>'Master Data'!F25</f>
        <v>1329</v>
      </c>
      <c r="E16" s="26">
        <f>'Master Data'!G25</f>
        <v>0</v>
      </c>
      <c r="F16" s="26">
        <f>'Master Data'!H25</f>
        <v>0</v>
      </c>
      <c r="G16" s="26">
        <f>'Master Data'!I25</f>
        <v>0</v>
      </c>
      <c r="H16" s="26">
        <f>'Master Data'!J25</f>
        <v>0</v>
      </c>
      <c r="I16" s="27">
        <f>'Master Data'!K25</f>
        <v>30434</v>
      </c>
      <c r="J16" s="4">
        <f>'Master Data'!L25</f>
        <v>13200</v>
      </c>
      <c r="K16" s="4">
        <f t="shared" si="0"/>
        <v>17234</v>
      </c>
      <c r="L16" s="4" t="str">
        <f t="shared" si="2"/>
        <v/>
      </c>
      <c r="M16" s="4">
        <f t="shared" si="1"/>
        <v>17234</v>
      </c>
      <c r="N16" s="7">
        <f>'Master Data'!W25</f>
        <v>0</v>
      </c>
      <c r="O16" s="7">
        <f>ROUND('Master Data'!V25,0)</f>
        <v>2911</v>
      </c>
      <c r="P16" s="129">
        <f>'Master Data'!U25</f>
        <v>1723.4</v>
      </c>
      <c r="Q16" s="7">
        <f>'Master Data'!X25</f>
        <v>0</v>
      </c>
      <c r="R16" s="7">
        <f>ROUND('Master Data'!Y25,0)</f>
        <v>4634</v>
      </c>
      <c r="S16" s="7">
        <f>'Master Data'!Z25</f>
        <v>12600</v>
      </c>
      <c r="T16" s="28" t="str">
        <f>IF(AND('Master Data'!AA25=""),"",'Master Data'!AA25)</f>
        <v/>
      </c>
      <c r="U16" s="28" t="str">
        <f>IF(AND('Master Data'!AB25=""),"",'Master Data'!AB25)</f>
        <v/>
      </c>
    </row>
    <row r="17" spans="1:21">
      <c r="A17" s="25">
        <f>'Master Data'!B26</f>
        <v>42217</v>
      </c>
      <c r="B17" s="26">
        <f>ROUND('Master Data'!D26,0)</f>
        <v>13290</v>
      </c>
      <c r="C17" s="26">
        <f>'Master Data'!E26</f>
        <v>15815</v>
      </c>
      <c r="D17" s="26">
        <f>'Master Data'!F26</f>
        <v>1329</v>
      </c>
      <c r="E17" s="26">
        <f>'Master Data'!G26</f>
        <v>0</v>
      </c>
      <c r="F17" s="26">
        <f>'Master Data'!H26</f>
        <v>0</v>
      </c>
      <c r="G17" s="26">
        <f>'Master Data'!I26</f>
        <v>0</v>
      </c>
      <c r="H17" s="26">
        <f>'Master Data'!J26</f>
        <v>0</v>
      </c>
      <c r="I17" s="27">
        <f>'Master Data'!K26</f>
        <v>30434</v>
      </c>
      <c r="J17" s="4">
        <f>'Master Data'!L26</f>
        <v>13200</v>
      </c>
      <c r="K17" s="4">
        <f t="shared" si="0"/>
        <v>17234</v>
      </c>
      <c r="L17" s="4" t="str">
        <f t="shared" si="2"/>
        <v/>
      </c>
      <c r="M17" s="4">
        <f t="shared" si="1"/>
        <v>17234</v>
      </c>
      <c r="N17" s="7">
        <f>'Master Data'!W26</f>
        <v>0</v>
      </c>
      <c r="O17" s="7">
        <f>ROUND('Master Data'!V26,0)</f>
        <v>2911</v>
      </c>
      <c r="P17" s="129">
        <f>'Master Data'!U26</f>
        <v>1723.4</v>
      </c>
      <c r="Q17" s="7">
        <f>'Master Data'!X26</f>
        <v>0</v>
      </c>
      <c r="R17" s="7">
        <f>ROUND('Master Data'!Y26,0)</f>
        <v>4634</v>
      </c>
      <c r="S17" s="7">
        <f>'Master Data'!Z26</f>
        <v>12600</v>
      </c>
      <c r="T17" s="28" t="str">
        <f>IF(AND('Master Data'!AA26=""),"",'Master Data'!AA26)</f>
        <v/>
      </c>
      <c r="U17" s="28" t="str">
        <f>IF(AND('Master Data'!AB26=""),"",'Master Data'!AB26)</f>
        <v/>
      </c>
    </row>
    <row r="18" spans="1:21">
      <c r="A18" s="25">
        <f>'Master Data'!B27</f>
        <v>42248</v>
      </c>
      <c r="B18" s="26">
        <f>ROUND('Master Data'!D27,0)</f>
        <v>13290</v>
      </c>
      <c r="C18" s="26">
        <f>'Master Data'!E27</f>
        <v>15815</v>
      </c>
      <c r="D18" s="26">
        <f>'Master Data'!F27</f>
        <v>1329</v>
      </c>
      <c r="E18" s="26">
        <f>'Master Data'!G27</f>
        <v>0</v>
      </c>
      <c r="F18" s="26">
        <f>'Master Data'!H27</f>
        <v>0</v>
      </c>
      <c r="G18" s="26">
        <f>'Master Data'!I27</f>
        <v>0</v>
      </c>
      <c r="H18" s="26">
        <f>'Master Data'!J27</f>
        <v>0</v>
      </c>
      <c r="I18" s="27">
        <f>'Master Data'!K27</f>
        <v>30434</v>
      </c>
      <c r="J18" s="4">
        <f>'Master Data'!L27</f>
        <v>13200</v>
      </c>
      <c r="K18" s="4">
        <f t="shared" si="0"/>
        <v>17234</v>
      </c>
      <c r="L18" s="4" t="str">
        <f t="shared" si="2"/>
        <v/>
      </c>
      <c r="M18" s="4">
        <f t="shared" si="1"/>
        <v>17234</v>
      </c>
      <c r="N18" s="7">
        <f>'Master Data'!W27</f>
        <v>0</v>
      </c>
      <c r="O18" s="7">
        <f>ROUND('Master Data'!V27,0)</f>
        <v>2911</v>
      </c>
      <c r="P18" s="129">
        <f>'Master Data'!U27</f>
        <v>1723.4</v>
      </c>
      <c r="Q18" s="7">
        <f>'Master Data'!X27</f>
        <v>0</v>
      </c>
      <c r="R18" s="7">
        <f>ROUND('Master Data'!Y27,0)</f>
        <v>4634</v>
      </c>
      <c r="S18" s="7">
        <f>'Master Data'!Z27</f>
        <v>12600</v>
      </c>
      <c r="T18" s="28" t="str">
        <f>IF(AND('Master Data'!AA27=""),"",'Master Data'!AA27)</f>
        <v/>
      </c>
      <c r="U18" s="28" t="str">
        <f>IF(AND('Master Data'!AB27=""),"",'Master Data'!AB27)</f>
        <v/>
      </c>
    </row>
    <row r="19" spans="1:21">
      <c r="A19" s="25">
        <f>'Master Data'!B28</f>
        <v>42278</v>
      </c>
      <c r="B19" s="26">
        <f>ROUND('Master Data'!D28,0)</f>
        <v>13290</v>
      </c>
      <c r="C19" s="26">
        <f>'Master Data'!E28</f>
        <v>15815</v>
      </c>
      <c r="D19" s="26">
        <f>'Master Data'!F28</f>
        <v>1329</v>
      </c>
      <c r="E19" s="26">
        <f>'Master Data'!G28</f>
        <v>0</v>
      </c>
      <c r="F19" s="26">
        <f>'Master Data'!H28</f>
        <v>0</v>
      </c>
      <c r="G19" s="26">
        <f>'Master Data'!I28</f>
        <v>0</v>
      </c>
      <c r="H19" s="26">
        <f>'Master Data'!J28</f>
        <v>0</v>
      </c>
      <c r="I19" s="27">
        <f>'Master Data'!K28</f>
        <v>30434</v>
      </c>
      <c r="J19" s="4">
        <f>'Master Data'!L28</f>
        <v>13200</v>
      </c>
      <c r="K19" s="4">
        <f t="shared" si="0"/>
        <v>17234</v>
      </c>
      <c r="L19" s="4" t="str">
        <f t="shared" si="2"/>
        <v/>
      </c>
      <c r="M19" s="4">
        <f t="shared" si="1"/>
        <v>17234</v>
      </c>
      <c r="N19" s="7">
        <f>'Master Data'!W28</f>
        <v>0</v>
      </c>
      <c r="O19" s="7">
        <f>ROUND('Master Data'!V28,0)</f>
        <v>2911</v>
      </c>
      <c r="P19" s="129">
        <f>'Master Data'!U28</f>
        <v>1723.4</v>
      </c>
      <c r="Q19" s="7">
        <f>'Master Data'!X28</f>
        <v>0</v>
      </c>
      <c r="R19" s="7">
        <f>ROUND('Master Data'!Y28,0)</f>
        <v>4634</v>
      </c>
      <c r="S19" s="7">
        <f>'Master Data'!Z28</f>
        <v>12600</v>
      </c>
      <c r="T19" s="28" t="str">
        <f>IF(AND('Master Data'!AA28=""),"",'Master Data'!AA28)</f>
        <v/>
      </c>
      <c r="U19" s="28" t="str">
        <f>IF(AND('Master Data'!AB28=""),"",'Master Data'!AB28)</f>
        <v/>
      </c>
    </row>
    <row r="20" spans="1:21">
      <c r="A20" s="25">
        <f>'Master Data'!B29</f>
        <v>42309</v>
      </c>
      <c r="B20" s="26">
        <f>ROUND('Master Data'!D29,0)</f>
        <v>13290</v>
      </c>
      <c r="C20" s="26">
        <f>'Master Data'!E29</f>
        <v>15815</v>
      </c>
      <c r="D20" s="26">
        <f>'Master Data'!F29</f>
        <v>1329</v>
      </c>
      <c r="E20" s="26">
        <f>'Master Data'!G29</f>
        <v>0</v>
      </c>
      <c r="F20" s="26">
        <f>'Master Data'!H29</f>
        <v>0</v>
      </c>
      <c r="G20" s="26">
        <f>'Master Data'!I29</f>
        <v>0</v>
      </c>
      <c r="H20" s="26">
        <f>'Master Data'!J29</f>
        <v>0</v>
      </c>
      <c r="I20" s="27">
        <f>'Master Data'!K29</f>
        <v>30434</v>
      </c>
      <c r="J20" s="4">
        <f>'Master Data'!L29</f>
        <v>13200</v>
      </c>
      <c r="K20" s="4">
        <f t="shared" si="0"/>
        <v>17234</v>
      </c>
      <c r="L20" s="4" t="str">
        <f t="shared" si="2"/>
        <v/>
      </c>
      <c r="M20" s="4">
        <f t="shared" si="1"/>
        <v>17234</v>
      </c>
      <c r="N20" s="7">
        <f>'Master Data'!W29</f>
        <v>0</v>
      </c>
      <c r="O20" s="7">
        <f>ROUND('Master Data'!V29,0)</f>
        <v>2911</v>
      </c>
      <c r="P20" s="129">
        <f>'Master Data'!U29</f>
        <v>1723.4</v>
      </c>
      <c r="Q20" s="7">
        <f>'Master Data'!X29</f>
        <v>0</v>
      </c>
      <c r="R20" s="7">
        <f>ROUND('Master Data'!Y29,0)</f>
        <v>4634</v>
      </c>
      <c r="S20" s="7">
        <f>'Master Data'!Z29</f>
        <v>12600</v>
      </c>
      <c r="T20" s="28" t="str">
        <f>IF(AND('Master Data'!AA29=""),"",'Master Data'!AA29)</f>
        <v/>
      </c>
      <c r="U20" s="28" t="str">
        <f>IF(AND('Master Data'!AB29=""),"",'Master Data'!AB29)</f>
        <v/>
      </c>
    </row>
    <row r="21" spans="1:21">
      <c r="A21" s="25">
        <f>'Master Data'!B30</f>
        <v>42339</v>
      </c>
      <c r="B21" s="26">
        <f>ROUND('Master Data'!D30,0)</f>
        <v>13290</v>
      </c>
      <c r="C21" s="26">
        <f>'Master Data'!E30</f>
        <v>15815</v>
      </c>
      <c r="D21" s="26">
        <f>'Master Data'!F30</f>
        <v>1329</v>
      </c>
      <c r="E21" s="26">
        <f>'Master Data'!G30</f>
        <v>0</v>
      </c>
      <c r="F21" s="26">
        <f>'Master Data'!H30</f>
        <v>0</v>
      </c>
      <c r="G21" s="26">
        <f>'Master Data'!I30</f>
        <v>0</v>
      </c>
      <c r="H21" s="26">
        <f>'Master Data'!J30</f>
        <v>0</v>
      </c>
      <c r="I21" s="27">
        <f>'Master Data'!K30</f>
        <v>30434</v>
      </c>
      <c r="J21" s="4">
        <f>'Master Data'!L30</f>
        <v>13200</v>
      </c>
      <c r="K21" s="4">
        <f t="shared" si="0"/>
        <v>17234</v>
      </c>
      <c r="L21" s="4" t="str">
        <f t="shared" si="2"/>
        <v/>
      </c>
      <c r="M21" s="4">
        <f t="shared" si="1"/>
        <v>17234</v>
      </c>
      <c r="N21" s="7">
        <f>'Master Data'!W30</f>
        <v>0</v>
      </c>
      <c r="O21" s="7">
        <f>ROUND('Master Data'!V30,0)</f>
        <v>2911</v>
      </c>
      <c r="P21" s="129">
        <f>'Master Data'!U30</f>
        <v>1723.4</v>
      </c>
      <c r="Q21" s="7">
        <f>'Master Data'!X30</f>
        <v>0</v>
      </c>
      <c r="R21" s="7">
        <f>ROUND('Master Data'!Y30,0)</f>
        <v>4634</v>
      </c>
      <c r="S21" s="7">
        <f>'Master Data'!Z30</f>
        <v>12600</v>
      </c>
      <c r="T21" s="28" t="str">
        <f>IF(AND('Master Data'!AA30=""),"",'Master Data'!AA30)</f>
        <v/>
      </c>
      <c r="U21" s="28" t="str">
        <f>IF(AND('Master Data'!AB30=""),"",'Master Data'!AB30)</f>
        <v/>
      </c>
    </row>
    <row r="22" spans="1:21">
      <c r="A22" s="25">
        <f>'Master Data'!B31</f>
        <v>42370</v>
      </c>
      <c r="B22" s="26">
        <f>ROUND('Master Data'!D31,0)</f>
        <v>13290</v>
      </c>
      <c r="C22" s="26">
        <f>'Master Data'!E31</f>
        <v>16613</v>
      </c>
      <c r="D22" s="26">
        <f>'Master Data'!F31</f>
        <v>1329</v>
      </c>
      <c r="E22" s="26">
        <f>'Master Data'!G31</f>
        <v>0</v>
      </c>
      <c r="F22" s="26">
        <f>'Master Data'!H31</f>
        <v>0</v>
      </c>
      <c r="G22" s="26">
        <f>'Master Data'!I31</f>
        <v>0</v>
      </c>
      <c r="H22" s="26">
        <f>'Master Data'!J31</f>
        <v>0</v>
      </c>
      <c r="I22" s="27">
        <f>'Master Data'!K31</f>
        <v>31232</v>
      </c>
      <c r="J22" s="4">
        <f>'Master Data'!L31</f>
        <v>13200</v>
      </c>
      <c r="K22" s="4">
        <f t="shared" si="0"/>
        <v>18032</v>
      </c>
      <c r="L22" s="4" t="str">
        <f t="shared" si="2"/>
        <v/>
      </c>
      <c r="M22" s="4">
        <f t="shared" si="1"/>
        <v>18032</v>
      </c>
      <c r="N22" s="7">
        <f>'Master Data'!W31</f>
        <v>0</v>
      </c>
      <c r="O22" s="7">
        <f>ROUND('Master Data'!V31,0)</f>
        <v>2990</v>
      </c>
      <c r="P22" s="129">
        <f>'Master Data'!U31</f>
        <v>1803.2</v>
      </c>
      <c r="Q22" s="7">
        <f>'Master Data'!X31</f>
        <v>0</v>
      </c>
      <c r="R22" s="7">
        <f>ROUND('Master Data'!Y31,0)</f>
        <v>4793</v>
      </c>
      <c r="S22" s="7">
        <f>'Master Data'!Z31</f>
        <v>13239</v>
      </c>
      <c r="T22" s="28" t="str">
        <f>IF(AND('Master Data'!AA31=""),"",'Master Data'!AA31)</f>
        <v/>
      </c>
      <c r="U22" s="28" t="str">
        <f>IF(AND('Master Data'!AB31=""),"",'Master Data'!AB31)</f>
        <v/>
      </c>
    </row>
    <row r="23" spans="1:21">
      <c r="A23" s="25">
        <f>'Master Data'!B32</f>
        <v>42401</v>
      </c>
      <c r="B23" s="26">
        <f>ROUND('Master Data'!D32,0)</f>
        <v>13290</v>
      </c>
      <c r="C23" s="26">
        <f>'Master Data'!E32</f>
        <v>16613</v>
      </c>
      <c r="D23" s="26">
        <f>'Master Data'!F32</f>
        <v>1329</v>
      </c>
      <c r="E23" s="26">
        <f>'Master Data'!G32</f>
        <v>0</v>
      </c>
      <c r="F23" s="26">
        <f>'Master Data'!H32</f>
        <v>0</v>
      </c>
      <c r="G23" s="26">
        <f>'Master Data'!I32</f>
        <v>0</v>
      </c>
      <c r="H23" s="26">
        <f>'Master Data'!J32</f>
        <v>0</v>
      </c>
      <c r="I23" s="27">
        <f>'Master Data'!K32</f>
        <v>31232</v>
      </c>
      <c r="J23" s="4">
        <f>'Master Data'!L32</f>
        <v>13200</v>
      </c>
      <c r="K23" s="4">
        <f>IF(AND(I23=""),"",IF(AND(J23=""),"",I23-J23))</f>
        <v>18032</v>
      </c>
      <c r="L23" s="4" t="str">
        <f t="shared" si="2"/>
        <v/>
      </c>
      <c r="M23" s="4">
        <f>IF(AND(K23=""),"",SUM(K23:L23))</f>
        <v>18032</v>
      </c>
      <c r="N23" s="7">
        <f>'Master Data'!W32</f>
        <v>0</v>
      </c>
      <c r="O23" s="7">
        <f>ROUND('Master Data'!V32,0)</f>
        <v>2990</v>
      </c>
      <c r="P23" s="129">
        <f>'Master Data'!U32</f>
        <v>1803.2</v>
      </c>
      <c r="Q23" s="7">
        <f>'Master Data'!X32</f>
        <v>0</v>
      </c>
      <c r="R23" s="7">
        <f>ROUND('Master Data'!Y32,0)</f>
        <v>4793</v>
      </c>
      <c r="S23" s="7">
        <f>'Master Data'!Z32</f>
        <v>13239</v>
      </c>
      <c r="T23" s="28"/>
      <c r="U23" s="28"/>
    </row>
    <row r="24" spans="1:21">
      <c r="A24" s="25">
        <f>'Master Data'!B34</f>
        <v>42430</v>
      </c>
      <c r="B24" s="26">
        <f>ROUND('Master Data'!D34,0)</f>
        <v>13290</v>
      </c>
      <c r="C24" s="26">
        <f>'Master Data'!E34</f>
        <v>16613</v>
      </c>
      <c r="D24" s="26">
        <f>'Master Data'!F34</f>
        <v>1329</v>
      </c>
      <c r="E24" s="94">
        <f>'Master Data'!G34</f>
        <v>0</v>
      </c>
      <c r="F24" s="94">
        <f>'Master Data'!H34</f>
        <v>0</v>
      </c>
      <c r="G24" s="94">
        <f>'Master Data'!I34</f>
        <v>0</v>
      </c>
      <c r="H24" s="94">
        <f>'Master Data'!J34</f>
        <v>0</v>
      </c>
      <c r="I24" s="95">
        <f>'Master Data'!K34</f>
        <v>31232</v>
      </c>
      <c r="J24" s="4">
        <f>'Master Data'!L34</f>
        <v>13200</v>
      </c>
      <c r="K24" s="4">
        <f>IF(AND(I24=""),"",IF(AND(J24=""),"",I24-J24))</f>
        <v>18032</v>
      </c>
      <c r="L24" s="4" t="str">
        <f>L23</f>
        <v/>
      </c>
      <c r="M24" s="4">
        <f>IF(AND(K24=""),"",SUM(K24:L24))</f>
        <v>18032</v>
      </c>
      <c r="N24" s="7">
        <f>'Master Data'!W34</f>
        <v>0</v>
      </c>
      <c r="O24" s="7">
        <f>ROUND('Master Data'!V34,0)</f>
        <v>2990</v>
      </c>
      <c r="P24" s="129">
        <f>'Master Data'!U34</f>
        <v>1803.2</v>
      </c>
      <c r="Q24" s="7">
        <f>'Master Data'!X34</f>
        <v>0</v>
      </c>
      <c r="R24" s="7">
        <f>ROUND('Master Data'!Y34,0)</f>
        <v>4793</v>
      </c>
      <c r="S24" s="7">
        <f>'Master Data'!Z34</f>
        <v>13239</v>
      </c>
      <c r="T24" s="28" t="str">
        <f>IF(AND('Master Data'!AA45=""),"",'Master Data'!AA45)</f>
        <v/>
      </c>
      <c r="U24" s="28" t="str">
        <f>IF(AND('Master Data'!AB45=""),"",'Master Data'!AB45)</f>
        <v/>
      </c>
    </row>
    <row r="25" spans="1:21">
      <c r="A25" s="25">
        <f>'Master Data'!B35</f>
        <v>42461</v>
      </c>
      <c r="B25" s="97"/>
      <c r="C25" s="97"/>
      <c r="D25" s="97"/>
      <c r="E25" s="98"/>
      <c r="F25" s="98"/>
      <c r="G25" s="98"/>
      <c r="H25" s="98"/>
      <c r="I25" s="99"/>
      <c r="J25" s="100"/>
      <c r="K25" s="100"/>
      <c r="L25" s="100"/>
      <c r="M25" s="100"/>
      <c r="N25" s="101"/>
      <c r="O25" s="101"/>
      <c r="P25" s="130"/>
      <c r="Q25" s="101"/>
      <c r="R25" s="102"/>
      <c r="S25" s="101"/>
      <c r="T25" s="103"/>
      <c r="U25" s="103"/>
    </row>
    <row r="26" spans="1:21">
      <c r="A26" s="25">
        <f>'Master Data'!B36</f>
        <v>42491</v>
      </c>
      <c r="B26" s="97"/>
      <c r="C26" s="97"/>
      <c r="D26" s="97"/>
      <c r="E26" s="98"/>
      <c r="F26" s="98"/>
      <c r="G26" s="98"/>
      <c r="H26" s="98"/>
      <c r="I26" s="99"/>
      <c r="J26" s="100"/>
      <c r="K26" s="100"/>
      <c r="L26" s="100"/>
      <c r="M26" s="100"/>
      <c r="N26" s="101"/>
      <c r="O26" s="101"/>
      <c r="P26" s="130"/>
      <c r="Q26" s="101"/>
      <c r="R26" s="102"/>
      <c r="S26" s="101"/>
      <c r="T26" s="103"/>
      <c r="U26" s="103"/>
    </row>
    <row r="27" spans="1:21">
      <c r="A27" s="25">
        <f>'Master Data'!B37</f>
        <v>42522</v>
      </c>
      <c r="B27" s="97"/>
      <c r="C27" s="97"/>
      <c r="D27" s="97"/>
      <c r="E27" s="98"/>
      <c r="F27" s="98"/>
      <c r="G27" s="98"/>
      <c r="H27" s="98"/>
      <c r="I27" s="99"/>
      <c r="J27" s="100"/>
      <c r="K27" s="100"/>
      <c r="L27" s="100"/>
      <c r="M27" s="100"/>
      <c r="N27" s="101"/>
      <c r="O27" s="101"/>
      <c r="P27" s="130"/>
      <c r="Q27" s="101"/>
      <c r="R27" s="102"/>
      <c r="S27" s="101"/>
      <c r="T27" s="103"/>
      <c r="U27" s="103"/>
    </row>
    <row r="28" spans="1:21">
      <c r="A28" s="25">
        <f>'Master Data'!B38</f>
        <v>42552</v>
      </c>
      <c r="B28" s="97"/>
      <c r="C28" s="97"/>
      <c r="D28" s="97"/>
      <c r="E28" s="98"/>
      <c r="F28" s="98"/>
      <c r="G28" s="98"/>
      <c r="H28" s="98"/>
      <c r="I28" s="99"/>
      <c r="J28" s="100"/>
      <c r="K28" s="100"/>
      <c r="L28" s="100"/>
      <c r="M28" s="100"/>
      <c r="N28" s="101"/>
      <c r="O28" s="101"/>
      <c r="P28" s="130"/>
      <c r="Q28" s="101"/>
      <c r="R28" s="102"/>
      <c r="S28" s="101"/>
      <c r="T28" s="103"/>
      <c r="U28" s="103"/>
    </row>
    <row r="29" spans="1:21" ht="18.75">
      <c r="A29" s="29" t="s">
        <v>85</v>
      </c>
      <c r="B29" s="30">
        <f>SUM(B6:B28)</f>
        <v>248040</v>
      </c>
      <c r="C29" s="30">
        <f>SUM(C6:C28)</f>
        <v>278661</v>
      </c>
      <c r="D29" s="30">
        <f t="shared" ref="D29:Q29" si="3">SUM(D6:D28)</f>
        <v>24044</v>
      </c>
      <c r="E29" s="30">
        <f t="shared" si="3"/>
        <v>0</v>
      </c>
      <c r="F29" s="30">
        <f t="shared" si="3"/>
        <v>0</v>
      </c>
      <c r="G29" s="30">
        <f t="shared" si="3"/>
        <v>0</v>
      </c>
      <c r="H29" s="30">
        <f t="shared" si="3"/>
        <v>0</v>
      </c>
      <c r="I29" s="30">
        <f>SUM(I6:I28)</f>
        <v>550745</v>
      </c>
      <c r="J29" s="30">
        <f t="shared" si="3"/>
        <v>238800</v>
      </c>
      <c r="K29" s="30">
        <f t="shared" si="3"/>
        <v>311945</v>
      </c>
      <c r="L29" s="30">
        <f t="shared" si="3"/>
        <v>0</v>
      </c>
      <c r="M29" s="30">
        <f t="shared" si="3"/>
        <v>311945</v>
      </c>
      <c r="N29" s="30">
        <f t="shared" si="3"/>
        <v>0</v>
      </c>
      <c r="O29" s="30">
        <f t="shared" si="3"/>
        <v>51913</v>
      </c>
      <c r="P29" s="131">
        <f>SUM(P6:P28)</f>
        <v>31194.500000000015</v>
      </c>
      <c r="Q29" s="30">
        <f t="shared" si="3"/>
        <v>0</v>
      </c>
      <c r="R29" s="128">
        <f>SUM(R6:R28)</f>
        <v>83105</v>
      </c>
      <c r="S29" s="96">
        <f>'Master Data'!Z48</f>
        <v>228837</v>
      </c>
      <c r="T29" s="30"/>
      <c r="U29" s="30"/>
    </row>
    <row r="30" spans="1:21" ht="17.25">
      <c r="A30" s="252" t="s">
        <v>120</v>
      </c>
      <c r="B30" s="252"/>
      <c r="C30" s="252"/>
      <c r="E30" s="252" t="s">
        <v>121</v>
      </c>
      <c r="F30" s="252"/>
      <c r="G30" s="252"/>
      <c r="H30" s="258" t="s">
        <v>98</v>
      </c>
      <c r="I30" s="258"/>
      <c r="J30" s="258"/>
      <c r="K30" s="257" t="str">
        <f>IF(AND($E$5=""),"",IF(AND(S29=0),"","( Rs. "&amp;LOOKUP(IF(INT(RIGHT(S29,7)/100000)&gt;19,INT(RIGHT(S29,7)/1000000),IF(INT(RIGHT(S29,7)/100000)&gt;=10,INT(RIGHT(S29,7)/100000),0)),{0,1,2,3,4,5,6,7,8,9,10,11,12,13,14,15,16,17,18,19},{""," TEN "," TWENTY "," THIRTY "," FOURTY "," FIFTY "," SIXTY "," SEVENTY "," EIGHTY "," NINETY "," TEN "," ELEVEN "," TWELVE "," THIRTEEN "," FOURTEEN "," FIFTEEN "," SIXTEEN"," SEVENTEEN"," EIGHTEEN "," NINETEEN "})&amp;IF((IF(INT(RIGHT(S29,7)/100000)&gt;19,INT(RIGHT(S29,7)/1000000),IF(INT(RIGHT(S29,7)/100000)&gt;=10,INT(RIGHT(S29,7)/100000),0))+IF(INT(RIGHT(S29,7)/100000)&gt;19,INT(RIGHT(S29,6)/100000),IF(INT(RIGHT(S29,7)/100000)&gt;10,0,INT(RIGHT(S29,6)/100000))))&gt;0,LOOKUP(IF(INT(RIGHT(S29,7)/100000)&gt;19,INT(RIGHT(S29,6)/100000),IF(INT(RIGHT(S29,7)/100000)&gt;10,0,INT(RIGHT(S29,6)/100000))),{0,1,2,3,4,5,6,7,8,9,10,11,12,13,14,15,16,17,18,19},{""," ONE "," TWO "," THREE "," FOUR "," FIVE "," SIX "," SEVEN "," EIGHT "," NINE "," TEN "," ELEVEN "," TWELVE "," THIRTEEN "," FOURTEEN "," FIFTEEN "," SIXTEEN"," SEVENTEEN"," EIGHTEEN "," NINETEEN "})&amp;" Lac. "," ")&amp;LOOKUP(IF(INT(RIGHT(S29,5)/1000)&gt;19,INT(RIGHT(S29,5)/10000),IF(INT(RIGHT(S29,5)/1000)&gt;=10,INT(RIGHT(S29,5)/1000),0)),{0,1,2,3,4,5,6,7,8,9,10,11,12,13,14,15,16,17,18,19},{""," TEN "," TWENTY "," THIRTY "," FOURTY "," FIFTY "," SIXTY "," SEVENTY "," EIGHTY "," NINETY "," TEN "," ELEVEN "," TWELVE "," THIRTEEN "," FOURTEEN "," FIFTEEN "," SIXTEEN"," SEVENTEEN"," EIGHTEEN "," NINETEEN "})&amp;IF((IF(INT(RIGHT(S29,5)/1000)&gt;19,INT(RIGHT(S29,4)/1000),IF(INT(RIGHT(S29,5)/1000)&gt;10,0,INT(RIGHT(S29,4)/1000)))+IF(INT(RIGHT(S29,5)/1000)&gt;19,INT(RIGHT(S29,5)/10000),IF(INT(RIGHT(S29,5)/1000)&gt;=10,INT(RIGHT(S29,5)/1000),0)))&gt;0,LOOKUP(IF(INT(RIGHT(S29,5)/1000)&gt;19,INT(RIGHT(S29,4)/1000),IF(INT(RIGHT(S29,5)/1000)&gt;10,0,INT(RIGHT(S29,4)/1000))),{0,1,2,3,4,5,6,7,8,9,10,11,12,13,14,15,16,17,18,19},{""," ONE "," TWO "," THREE "," FOUR "," FIVE "," SIX "," SEVEN "," EIGHT "," NINE "," TEN "," ELEVEN "," TWELVE "," THIRTEEN "," FOURTEEN "," FIFTEEN "," SIXTEEN"," SEVENTEEN"," EIGHTEEN "," NINETEEN "})&amp;" THOUSAND "," ")&amp;IF((INT((RIGHT(S29,3))/100))&gt;0,LOOKUP(INT((RIGHT(S29,3))/100),{0,1,2,3,4,5,6,7,8,9,10,11,12,13,14,15,16,17,18,19},{""," ONE "," TWO "," THREE "," FOUR "," FIVE "," SIX "," SEVEN "," EIGHT "," NINE "," TEN "," ELEVEN "," TWELVE "," THIRTEEN "," FOURTEEN "," FIFTEEN "," SIXTEEN"," SEVENTEEN"," EIGHTEEN "," NINETEEN "})&amp;" HUNDRED "," ")&amp;LOOKUP(IF(INT(RIGHT(S29,2))&gt;19,INT(RIGHT(S29,2)/10),IF(INT(RIGHT(S29,2))&gt;=10,INT(RIGHT(S29,2)),0)),{0,1,2,3,4,5,6,7,8,9,10,11,12,13,14,15,16,17,18,19},{""," TEN "," TWENTY "," THIRTY "," FOURTY "," FIFTY "," SIXTY "," SEVENTY "," EIGHTY "," NINETY "," TEN "," ELEVEN "," TWELVE "," THIRTEEN "," FOURTEEN "," FIFTEEN "," SIXTEEN"," SEVENTEEN"," EIGHTEEN "," NINETEEN "})&amp;LOOKUP(IF(INT(RIGHT(S29,2))&lt;10,INT(RIGHT(S29,1)),IF(INT(RIGHT(S29,2))&lt;20,0,INT(RIGHT(S29,1)))),{0,1,2,3,4,5,6,7,8,9,10,11,12,13,14,15,16,17,18,19},{""," ONE "," TWO "," THREE "," FOUR "," FIVE "," SIX "," SEVEN "," EIGHT "," NINE "," TEN "," ELEVEN "," TWELVE "," THIRTEEN "," FOURTEEN "," FIFTEEN "," SIXTEEN"," SEVENTEEN"," EIGHTEEN "," NINETEEN "})&amp;" Only)"))</f>
        <v>( Rs.  TWO  Lac.  TWENTY  EIGHT  THOUSAND  EIGHT  HUNDRED  THIRTY  SEVEN  Only)</v>
      </c>
      <c r="L30" s="257"/>
      <c r="M30" s="257"/>
      <c r="N30" s="257"/>
      <c r="O30" s="257"/>
      <c r="P30" s="257"/>
      <c r="Q30" s="257"/>
      <c r="R30" s="257"/>
      <c r="S30" s="257"/>
      <c r="T30" s="257"/>
      <c r="U30" s="257"/>
    </row>
    <row r="31" spans="1:21" ht="15.75">
      <c r="A31" s="40" t="s">
        <v>112</v>
      </c>
      <c r="B31" s="266">
        <f>ROUND(B29,0)</f>
        <v>248040</v>
      </c>
      <c r="C31" s="267"/>
      <c r="D31" s="31"/>
      <c r="E31" s="40" t="s">
        <v>115</v>
      </c>
      <c r="F31" s="265">
        <f>ROUND(N29,0)</f>
        <v>0</v>
      </c>
      <c r="G31" s="265"/>
      <c r="H31" s="32"/>
      <c r="I31" s="32"/>
      <c r="J31" s="33"/>
    </row>
    <row r="32" spans="1:21" ht="15.75">
      <c r="A32" s="40" t="s">
        <v>113</v>
      </c>
      <c r="B32" s="266">
        <f>ROUND(C29,0)</f>
        <v>278661</v>
      </c>
      <c r="C32" s="267"/>
      <c r="D32" s="31"/>
      <c r="E32" s="41" t="s">
        <v>116</v>
      </c>
      <c r="F32" s="265">
        <f>ROUND(O29,0)</f>
        <v>51913</v>
      </c>
      <c r="G32" s="265"/>
      <c r="H32" s="32"/>
      <c r="I32" s="262" t="s">
        <v>122</v>
      </c>
      <c r="J32" s="262"/>
      <c r="K32" s="263">
        <f>ROUND(B35-F35,0)</f>
        <v>467637</v>
      </c>
      <c r="L32" s="263"/>
    </row>
    <row r="33" spans="1:23" ht="15.75">
      <c r="A33" s="40" t="s">
        <v>114</v>
      </c>
      <c r="B33" s="266">
        <f>ROUND(D29,0)</f>
        <v>24044</v>
      </c>
      <c r="C33" s="267"/>
      <c r="D33" s="31"/>
      <c r="E33" s="41" t="s">
        <v>117</v>
      </c>
      <c r="F33" s="265">
        <f>ROUND(P29,0)</f>
        <v>31195</v>
      </c>
      <c r="G33" s="265"/>
      <c r="H33" s="32"/>
      <c r="I33" s="262" t="s">
        <v>123</v>
      </c>
      <c r="J33" s="262"/>
      <c r="K33" s="263">
        <f>ROUND(J29,0)</f>
        <v>238800</v>
      </c>
      <c r="L33" s="263"/>
    </row>
    <row r="34" spans="1:23" ht="18.75">
      <c r="A34" s="40" t="s">
        <v>119</v>
      </c>
      <c r="B34" s="266">
        <f>ROUND(E29+F29+G29+H29,0)</f>
        <v>0</v>
      </c>
      <c r="C34" s="267"/>
      <c r="D34" s="31"/>
      <c r="E34" s="41" t="s">
        <v>119</v>
      </c>
      <c r="F34" s="265">
        <f>ROUND(Q29,0)</f>
        <v>0</v>
      </c>
      <c r="G34" s="265"/>
      <c r="H34" s="32"/>
      <c r="I34" s="262" t="s">
        <v>124</v>
      </c>
      <c r="J34" s="262"/>
      <c r="K34" s="264">
        <f>ROUND(K32-K33,0)</f>
        <v>228837</v>
      </c>
      <c r="L34" s="264"/>
    </row>
    <row r="35" spans="1:23" ht="15.75">
      <c r="A35" s="43" t="s">
        <v>32</v>
      </c>
      <c r="B35" s="266">
        <f>SUM(B31:C34)</f>
        <v>550745</v>
      </c>
      <c r="C35" s="267"/>
      <c r="D35" s="31"/>
      <c r="E35" s="42" t="s">
        <v>118</v>
      </c>
      <c r="F35" s="265">
        <f>SUM(F31:G34)</f>
        <v>83108</v>
      </c>
      <c r="G35" s="265"/>
      <c r="H35" s="34"/>
      <c r="I35" s="35"/>
      <c r="J35" s="36"/>
    </row>
    <row r="37" spans="1:23" ht="18.75">
      <c r="A37" s="8"/>
      <c r="B37" s="9" t="s">
        <v>99</v>
      </c>
      <c r="C37" s="244"/>
      <c r="D37" s="244"/>
      <c r="E37" s="244"/>
      <c r="F37" s="244"/>
      <c r="G37" s="244"/>
      <c r="H37" s="244"/>
      <c r="I37" s="10"/>
      <c r="J37" s="245" t="s">
        <v>100</v>
      </c>
      <c r="K37" s="245"/>
      <c r="L37" s="246"/>
      <c r="M37" s="246"/>
      <c r="T37" s="12"/>
      <c r="U37" s="12"/>
      <c r="V37" s="12"/>
      <c r="W37" s="12"/>
    </row>
    <row r="38" spans="1:23" ht="18.75">
      <c r="A38" s="8"/>
      <c r="B38" s="247" t="s">
        <v>101</v>
      </c>
      <c r="C38" s="247"/>
      <c r="D38" s="247"/>
      <c r="E38" s="247"/>
      <c r="F38" s="247"/>
      <c r="G38" s="247"/>
      <c r="H38" s="247"/>
      <c r="I38" s="247"/>
      <c r="J38" s="13"/>
      <c r="K38" s="13"/>
      <c r="L38" s="13"/>
      <c r="M38" s="13"/>
      <c r="Q38" s="248" t="s">
        <v>102</v>
      </c>
      <c r="R38" s="248"/>
      <c r="S38" s="248"/>
      <c r="T38" s="248"/>
      <c r="U38" s="16"/>
      <c r="V38" s="16"/>
      <c r="W38" s="16"/>
    </row>
    <row r="39" spans="1:23" ht="18.75" customHeight="1">
      <c r="A39" s="17">
        <v>1</v>
      </c>
      <c r="B39" s="239" t="s">
        <v>103</v>
      </c>
      <c r="C39" s="239"/>
      <c r="D39" s="239"/>
      <c r="E39" s="239"/>
      <c r="F39" s="239"/>
      <c r="G39" s="239"/>
      <c r="H39" s="10"/>
      <c r="I39" s="10"/>
      <c r="J39" s="8"/>
      <c r="K39" s="8"/>
      <c r="L39" s="8"/>
      <c r="M39" s="8"/>
      <c r="Q39" s="242" t="s">
        <v>104</v>
      </c>
      <c r="R39" s="242"/>
      <c r="S39" s="242"/>
      <c r="T39" s="242"/>
      <c r="U39" s="37"/>
      <c r="V39" s="37"/>
      <c r="W39" s="37"/>
    </row>
    <row r="40" spans="1:23" ht="18.75">
      <c r="A40" s="18">
        <v>2</v>
      </c>
      <c r="B40" s="240" t="s">
        <v>105</v>
      </c>
      <c r="C40" s="240"/>
      <c r="D40" s="240"/>
      <c r="E40" s="240"/>
      <c r="F40" s="241" t="str">
        <f>IF(AND($D$3=""),"",CONCATENATE(D3,",","  ",I3))</f>
        <v>MOTIRAM,  Teacher</v>
      </c>
      <c r="G40" s="241"/>
      <c r="H40" s="241"/>
      <c r="I40" s="241"/>
      <c r="J40" s="9"/>
      <c r="K40" s="8"/>
      <c r="L40" s="8"/>
      <c r="M40" s="8"/>
      <c r="Q40" s="243" t="s">
        <v>106</v>
      </c>
      <c r="R40" s="243"/>
      <c r="S40" s="243"/>
      <c r="T40" s="243"/>
      <c r="U40" s="38"/>
      <c r="V40" s="38"/>
      <c r="W40" s="38"/>
    </row>
    <row r="41" spans="1:23" ht="18.75">
      <c r="A41" s="19">
        <v>3</v>
      </c>
      <c r="B41" s="240" t="s">
        <v>107</v>
      </c>
      <c r="C41" s="240"/>
      <c r="D41" s="14"/>
      <c r="E41" s="14"/>
      <c r="F41" s="8"/>
      <c r="G41" s="8"/>
      <c r="H41" s="8"/>
      <c r="I41" s="15"/>
      <c r="J41" s="16"/>
      <c r="K41" s="16"/>
      <c r="L41" s="16"/>
      <c r="M41" s="16"/>
      <c r="Q41" s="243"/>
      <c r="R41" s="243"/>
      <c r="S41" s="243"/>
      <c r="T41" s="243"/>
      <c r="U41" s="38"/>
      <c r="V41" s="38"/>
      <c r="W41" s="38"/>
    </row>
  </sheetData>
  <sheetProtection password="C1FB" sheet="1" objects="1" scenarios="1" formatCells="0" formatColumns="0" formatRows="0" selectLockedCells="1"/>
  <mergeCells count="46">
    <mergeCell ref="B31:C31"/>
    <mergeCell ref="B32:C32"/>
    <mergeCell ref="B33:C33"/>
    <mergeCell ref="B34:C34"/>
    <mergeCell ref="B35:C35"/>
    <mergeCell ref="F31:G31"/>
    <mergeCell ref="F32:G32"/>
    <mergeCell ref="F33:G33"/>
    <mergeCell ref="F34:G34"/>
    <mergeCell ref="F35:G35"/>
    <mergeCell ref="I32:J32"/>
    <mergeCell ref="K32:L32"/>
    <mergeCell ref="I33:J33"/>
    <mergeCell ref="K33:L33"/>
    <mergeCell ref="I34:J34"/>
    <mergeCell ref="K34:L34"/>
    <mergeCell ref="A4:A5"/>
    <mergeCell ref="B4:I4"/>
    <mergeCell ref="A30:C30"/>
    <mergeCell ref="E30:G30"/>
    <mergeCell ref="N4:R4"/>
    <mergeCell ref="J4:J5"/>
    <mergeCell ref="K30:U30"/>
    <mergeCell ref="H30:J30"/>
    <mergeCell ref="K4:M4"/>
    <mergeCell ref="S4:S5"/>
    <mergeCell ref="T4:T5"/>
    <mergeCell ref="U4:U5"/>
    <mergeCell ref="C37:H37"/>
    <mergeCell ref="J37:K37"/>
    <mergeCell ref="L37:M37"/>
    <mergeCell ref="B38:I38"/>
    <mergeCell ref="Q38:T38"/>
    <mergeCell ref="B39:G39"/>
    <mergeCell ref="B40:E40"/>
    <mergeCell ref="F40:I40"/>
    <mergeCell ref="B41:C41"/>
    <mergeCell ref="Q39:T39"/>
    <mergeCell ref="Q40:T41"/>
    <mergeCell ref="B1:S1"/>
    <mergeCell ref="E2:P2"/>
    <mergeCell ref="A3:C3"/>
    <mergeCell ref="D3:G3"/>
    <mergeCell ref="I3:K3"/>
    <mergeCell ref="L3:N3"/>
    <mergeCell ref="O3:U3"/>
  </mergeCells>
  <pageMargins left="0.7" right="0.2" top="0.25" bottom="0.25" header="0.3" footer="0.3"/>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Master Data</vt:lpstr>
      <vt:lpstr>89 (1) Form</vt:lpstr>
      <vt:lpstr>form10E</vt:lpstr>
      <vt:lpstr>arrear</vt:lpstr>
      <vt:lpstr>arrear!Print_Area</vt:lpstr>
      <vt:lpstr>form10E!Print_Area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2018-01-21T17:23:56Z</dcterms:modified>
</cp:coreProperties>
</file>